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9_Reims\Saint-Hoilde\PIECES A DEPOSER\"/>
    </mc:Choice>
  </mc:AlternateContent>
  <xr:revisionPtr revIDLastSave="0" documentId="13_ncr:1_{077A6811-0D5C-422B-BEE8-6A8567DC2A82}" xr6:coauthVersionLast="47" xr6:coauthVersionMax="47" xr10:uidLastSave="{00000000-0000-0000-0000-000000000000}"/>
  <bookViews>
    <workbookView xWindow="-28920" yWindow="-120" windowWidth="29040" windowHeight="1584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D202" i="1" l="1"/>
  <c r="B202" i="1"/>
  <c r="D201" i="1"/>
  <c r="B201" i="1"/>
  <c r="D200" i="1"/>
  <c r="B200" i="1"/>
  <c r="D199" i="1"/>
  <c r="B199" i="1"/>
  <c r="D198" i="1"/>
  <c r="B198" i="1"/>
  <c r="D197" i="1"/>
  <c r="B197" i="1"/>
  <c r="D196" i="1"/>
  <c r="B196" i="1"/>
  <c r="D195" i="1"/>
  <c r="B195" i="1"/>
  <c r="D194" i="1"/>
  <c r="B194" i="1"/>
  <c r="D193" i="1"/>
  <c r="B193" i="1"/>
  <c r="B192" i="1"/>
  <c r="B176" i="1"/>
  <c r="D176" i="1" s="1"/>
  <c r="D175" i="1"/>
  <c r="B175" i="1"/>
  <c r="D174" i="1"/>
  <c r="B174" i="1"/>
  <c r="D173" i="1"/>
  <c r="B173" i="1"/>
  <c r="D172" i="1"/>
  <c r="B172" i="1"/>
  <c r="D171" i="1"/>
  <c r="B171" i="1"/>
  <c r="D170" i="1"/>
  <c r="B170" i="1"/>
  <c r="D169" i="1"/>
  <c r="B169" i="1"/>
  <c r="D168" i="1"/>
  <c r="B168" i="1"/>
  <c r="D167" i="1"/>
  <c r="B167" i="1"/>
  <c r="B166" i="1"/>
  <c r="B147" i="1"/>
  <c r="D147" i="1" s="1"/>
  <c r="D146" i="1"/>
  <c r="D145" i="1"/>
  <c r="D144" i="1"/>
  <c r="D143" i="1"/>
  <c r="D142" i="1"/>
  <c r="D141" i="1"/>
  <c r="B120" i="1"/>
  <c r="D120" i="1" s="1"/>
  <c r="D119" i="1"/>
  <c r="B119" i="1"/>
  <c r="D118" i="1"/>
  <c r="B118" i="1"/>
  <c r="D117" i="1"/>
  <c r="B117" i="1"/>
  <c r="D116" i="1"/>
  <c r="B116" i="1"/>
  <c r="D115" i="1"/>
  <c r="B115" i="1"/>
  <c r="B95" i="1" l="1"/>
  <c r="D95" i="1" s="1"/>
  <c r="D94" i="1"/>
  <c r="D93" i="1"/>
  <c r="D92" i="1"/>
  <c r="D91" i="1"/>
  <c r="D90" i="1"/>
  <c r="D89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71" i="1"/>
  <c r="I270" i="1"/>
  <c r="GR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GR23" i="2"/>
  <c r="FL23" i="2"/>
  <c r="FC23" i="2"/>
  <c r="GH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M33" i="2"/>
  <c r="J13" i="4" s="1"/>
  <c r="K13" i="4" s="1"/>
  <c r="GS33" i="2"/>
  <c r="FP33" i="2"/>
  <c r="GG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GH43" i="2"/>
  <c r="FL43" i="2"/>
  <c r="FC43" i="2"/>
  <c r="GR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M53" i="2"/>
  <c r="FP53" i="2"/>
  <c r="HB53" i="2"/>
  <c r="GS53" i="2"/>
  <c r="GG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GH63" i="2"/>
  <c r="FL63" i="2"/>
  <c r="FC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M73" i="2"/>
  <c r="FP73" i="2"/>
  <c r="HC73" i="2"/>
  <c r="HI73" i="2" s="1"/>
  <c r="GG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AC154" i="2"/>
  <c r="EW155" i="2"/>
  <c r="ED154" i="2"/>
  <c r="DI154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FS156" i="2"/>
  <c r="ED155" i="2"/>
  <c r="EB156" i="2"/>
  <c r="EX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C157" i="2"/>
  <c r="EX157" i="2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D157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D159" i="2"/>
  <c r="HI160" i="2"/>
  <c r="FS160" i="2"/>
  <c r="EY159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HH161" i="2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Y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HH163" i="2"/>
  <c r="ED162" i="2"/>
  <c r="HG163" i="2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HG164" i="2"/>
  <c r="ED163" i="2"/>
  <c r="FS164" i="2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FR167" i="2"/>
  <c r="EX167" i="2"/>
  <c r="EY166" i="2"/>
  <c r="EA167" i="2"/>
  <c r="EC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DI167" i="2"/>
  <c r="HI168" i="2"/>
  <c r="EC168" i="2"/>
  <c r="EB168" i="2"/>
  <c r="DG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I172" i="2"/>
  <c r="EV172" i="2"/>
  <c r="EW172" i="2"/>
  <c r="EA172" i="2"/>
  <c r="EB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HH173" i="2"/>
  <c r="EX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HI175" i="2"/>
  <c r="EA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W178" i="2"/>
  <c r="ED177" i="2"/>
  <c r="EA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B179" i="2"/>
  <c r="DF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HG180" i="2" l="1"/>
  <c r="ED179" i="2"/>
  <c r="EY179" i="2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A185" i="2"/>
  <c r="EB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G186" i="2"/>
  <c r="EB186" i="2"/>
  <c r="HH186" i="2"/>
  <c r="FR186" i="2"/>
  <c r="ED185" i="2"/>
  <c r="EA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Y191" i="2"/>
  <c r="EV192" i="2"/>
  <c r="EC192" i="2"/>
  <c r="EB192" i="2"/>
  <c r="EA192" i="2"/>
  <c r="HH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FQ193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CN193" i="2"/>
  <c r="ED193" i="2"/>
  <c r="EB194" i="2"/>
  <c r="HG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FQ195" i="2"/>
  <c r="HG195" i="2"/>
  <c r="EB195" i="2"/>
  <c r="ED194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FS197" i="2" l="1"/>
  <c r="EW197" i="2"/>
  <c r="EY196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FS199" i="2"/>
  <c r="EA199" i="2"/>
  <c r="EB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ED200" i="2"/>
  <c r="HH201" i="2"/>
  <c r="HG201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FS202" i="2"/>
  <c r="FR202" i="2"/>
  <c r="ED201" i="2"/>
  <c r="EY201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146" i="2" s="1" a="1"/>
  <c r="FY146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65" i="2" a="1"/>
  <c r="FY165" i="2" s="1"/>
  <c r="FY140" i="2" a="1"/>
  <c r="FY140" i="2" s="1"/>
  <c r="FY133" i="2" a="1"/>
  <c r="FY133" i="2" s="1"/>
  <c r="FY120" i="2" a="1"/>
  <c r="FY120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188" i="2" a="1"/>
  <c r="FY188" i="2" s="1"/>
  <c r="FY126" i="2" a="1"/>
  <c r="FY126" i="2" s="1"/>
  <c r="FY178" i="2" a="1"/>
  <c r="FY178" i="2" s="1"/>
  <c r="AH92" i="2" a="1"/>
  <c r="AH92" i="2" s="1"/>
  <c r="FY190" i="2" a="1"/>
  <c r="FY190" i="2" s="1"/>
  <c r="FY169" i="2" a="1"/>
  <c r="FY169" i="2" s="1"/>
  <c r="FY124" i="2" a="1"/>
  <c r="FY124" i="2" s="1"/>
  <c r="FY149" i="2" a="1"/>
  <c r="FY149" i="2" s="1"/>
  <c r="FY164" i="2" a="1"/>
  <c r="FY16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68" i="2" a="1"/>
  <c r="BC68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CS52" i="2" a="1"/>
  <c r="CS52" i="2" s="1"/>
  <c r="CS116" i="2" a="1"/>
  <c r="CS116" i="2" s="1"/>
  <c r="AH151" i="2" a="1"/>
  <c r="AH151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86" i="2" a="1"/>
  <c r="FY86" i="2" s="1"/>
  <c r="FY115" i="2" a="1"/>
  <c r="FY115" i="2" s="1"/>
  <c r="FY182" i="2" a="1"/>
  <c r="FY182" i="2" s="1"/>
  <c r="FY196" i="2" a="1"/>
  <c r="FY196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34" i="2" a="1"/>
  <c r="EI34" i="2" s="1"/>
  <c r="EI20" i="2" a="1"/>
  <c r="EI20" i="2" s="1"/>
  <c r="EI35" i="2" a="1"/>
  <c r="EI35" i="2" s="1"/>
  <c r="EI37" i="2" a="1"/>
  <c r="EI37" i="2" s="1"/>
  <c r="CS114" i="2" a="1"/>
  <c r="CS114" i="2" s="1"/>
  <c r="DN31" i="2" a="1"/>
  <c r="DN31" i="2" s="1"/>
  <c r="DN6" i="2" a="1"/>
  <c r="DN6" i="2" s="1"/>
  <c r="DO6" i="2" s="1"/>
  <c r="BX107" i="2" a="1"/>
  <c r="BX107" i="2" s="1"/>
  <c r="FD82" i="2" a="1"/>
  <c r="FD82" i="2" s="1"/>
  <c r="HJ202" i="2"/>
  <c r="AX200" i="2"/>
  <c r="EY202" i="2" l="1"/>
  <c r="BC58" i="2" a="1"/>
  <c r="BC58" i="2" s="1"/>
  <c r="BC117" i="2" a="1"/>
  <c r="BC117" i="2" s="1"/>
  <c r="BC82" i="2" a="1"/>
  <c r="BC82" i="2" s="1"/>
  <c r="EI195" i="2" a="1"/>
  <c r="EI195" i="2" s="1"/>
  <c r="EI150" i="2" a="1"/>
  <c r="EI150" i="2" s="1"/>
  <c r="BC65" i="2" a="1"/>
  <c r="BC65" i="2" s="1"/>
  <c r="BC114" i="2" a="1"/>
  <c r="BC114" i="2" s="1"/>
  <c r="BC126" i="2" a="1"/>
  <c r="BC126" i="2" s="1"/>
  <c r="BC47" i="2" a="1"/>
  <c r="BC47" i="2" s="1"/>
  <c r="DN184" i="2" a="1"/>
  <c r="DN184" i="2" s="1"/>
  <c r="DN152" i="2" a="1"/>
  <c r="DN152" i="2" s="1"/>
  <c r="DN110" i="2" a="1"/>
  <c r="DN110" i="2" s="1"/>
  <c r="FR203" i="2"/>
  <c r="DN123" i="2" a="1"/>
  <c r="DN123" i="2" s="1"/>
  <c r="DN29" i="2" a="1"/>
  <c r="DN29" i="2" s="1"/>
  <c r="DN167" i="2" a="1"/>
  <c r="DN167" i="2" s="1"/>
  <c r="DN38" i="2" a="1"/>
  <c r="DN38" i="2" s="1"/>
  <c r="DN132" i="2" a="1"/>
  <c r="DN132" i="2" s="1"/>
  <c r="DN124" i="2" a="1"/>
  <c r="DN124" i="2" s="1"/>
  <c r="DN46" i="2" a="1"/>
  <c r="DN46" i="2" s="1"/>
  <c r="DN177" i="2" a="1"/>
  <c r="DN177" i="2" s="1"/>
  <c r="DN115" i="2" a="1"/>
  <c r="DN115" i="2" s="1"/>
  <c r="DN176" i="2" a="1"/>
  <c r="DN176" i="2" s="1"/>
  <c r="DN153" i="2" a="1"/>
  <c r="DN153" i="2" s="1"/>
  <c r="CS134" i="2" a="1"/>
  <c r="CS134" i="2" s="1"/>
  <c r="CS120" i="2" a="1"/>
  <c r="CS120" i="2" s="1"/>
  <c r="CS24" i="2" a="1"/>
  <c r="CS24" i="2" s="1"/>
  <c r="CS129" i="2" a="1"/>
  <c r="CS129" i="2" s="1"/>
  <c r="CS56" i="2" a="1"/>
  <c r="CS56" i="2" s="1"/>
  <c r="CS38" i="2" a="1"/>
  <c r="CS38" i="2" s="1"/>
  <c r="CS66" i="2" a="1"/>
  <c r="CS66" i="2" s="1"/>
  <c r="CS105" i="2" a="1"/>
  <c r="CS105" i="2" s="1"/>
  <c r="CS77" i="2" a="1"/>
  <c r="CS77" i="2" s="1"/>
  <c r="CS185" i="2" a="1"/>
  <c r="CS185" i="2" s="1"/>
  <c r="CS161" i="2" a="1"/>
  <c r="CS161" i="2" s="1"/>
  <c r="CS72" i="2" a="1"/>
  <c r="CS72" i="2" s="1"/>
  <c r="CS137" i="2" a="1"/>
  <c r="CS137" i="2" s="1"/>
  <c r="EI29" i="2" a="1"/>
  <c r="EI29" i="2" s="1"/>
  <c r="EI165" i="2" a="1"/>
  <c r="EI165" i="2" s="1"/>
  <c r="EI106" i="2" a="1"/>
  <c r="EI106" i="2" s="1"/>
  <c r="EI67" i="2" a="1"/>
  <c r="EI67" i="2" s="1"/>
  <c r="EI71" i="2" a="1"/>
  <c r="EI71" i="2" s="1"/>
  <c r="EI153" i="2" a="1"/>
  <c r="EI153" i="2" s="1"/>
  <c r="EI57" i="2" a="1"/>
  <c r="EI57" i="2" s="1"/>
  <c r="EI142" i="2" a="1"/>
  <c r="EI142" i="2" s="1"/>
  <c r="EI166" i="2" a="1"/>
  <c r="EI166" i="2" s="1"/>
  <c r="EI170" i="2" a="1"/>
  <c r="EI170" i="2" s="1"/>
  <c r="EI36" i="2" a="1"/>
  <c r="EI36" i="2" s="1"/>
  <c r="EI178" i="2" a="1"/>
  <c r="EI178" i="2" s="1"/>
  <c r="EI198" i="2" a="1"/>
  <c r="EI198" i="2" s="1"/>
  <c r="EI16" i="2" a="1"/>
  <c r="EI16" i="2" s="1"/>
  <c r="EI113" i="2" a="1"/>
  <c r="EI113" i="2" s="1"/>
  <c r="EI87" i="2" a="1"/>
  <c r="EI87" i="2" s="1"/>
  <c r="EI145" i="2" a="1"/>
  <c r="EI145" i="2" s="1"/>
  <c r="EI139" i="2" a="1"/>
  <c r="EI139" i="2" s="1"/>
  <c r="EI128" i="2" a="1"/>
  <c r="EI128" i="2" s="1"/>
  <c r="EI109" i="2" a="1"/>
  <c r="EI109" i="2" s="1"/>
  <c r="EI162" i="2" a="1"/>
  <c r="EI162" i="2" s="1"/>
  <c r="DN45" i="2" a="1"/>
  <c r="DN45" i="2" s="1"/>
  <c r="DN16" i="2" a="1"/>
  <c r="DN16" i="2" s="1"/>
  <c r="DN80" i="2" a="1"/>
  <c r="DN80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DN190" i="2" a="1"/>
  <c r="DN190" i="2" s="1"/>
  <c r="DN133" i="2" a="1"/>
  <c r="DN133" i="2" s="1"/>
  <c r="DN162" i="2" a="1"/>
  <c r="DN162" i="2" s="1"/>
  <c r="DN114" i="2" a="1"/>
  <c r="DN114" i="2" s="1"/>
  <c r="DN192" i="2" a="1"/>
  <c r="DN192" i="2" s="1"/>
  <c r="DN129" i="2" a="1"/>
  <c r="DN129" i="2" s="1"/>
  <c r="DN43" i="2" a="1"/>
  <c r="DN43" i="2" s="1"/>
  <c r="DN65" i="2" a="1"/>
  <c r="DN65" i="2" s="1"/>
  <c r="DN49" i="2" a="1"/>
  <c r="DN49" i="2" s="1"/>
  <c r="DN168" i="2" a="1"/>
  <c r="DN168" i="2" s="1"/>
  <c r="DN103" i="2" a="1"/>
  <c r="DN103" i="2" s="1"/>
  <c r="DN66" i="2" a="1"/>
  <c r="DN66" i="2" s="1"/>
  <c r="DN50" i="2" a="1"/>
  <c r="DN50" i="2" s="1"/>
  <c r="DN186" i="2" a="1"/>
  <c r="DN186" i="2" s="1"/>
  <c r="DN164" i="2" a="1"/>
  <c r="DN164" i="2" s="1"/>
  <c r="DN188" i="2" a="1"/>
  <c r="DN188" i="2" s="1"/>
  <c r="DN113" i="2" a="1"/>
  <c r="DN113" i="2" s="1"/>
  <c r="DN137" i="2" a="1"/>
  <c r="DN137" i="2" s="1"/>
  <c r="DN70" i="2" a="1"/>
  <c r="DN70" i="2" s="1"/>
  <c r="DN63" i="2" a="1"/>
  <c r="DN63" i="2" s="1"/>
  <c r="DN187" i="2" a="1"/>
  <c r="DN187" i="2" s="1"/>
  <c r="DN30" i="2" a="1"/>
  <c r="DN30" i="2" s="1"/>
  <c r="DN55" i="2" a="1"/>
  <c r="DN55" i="2" s="1"/>
  <c r="DN135" i="2" a="1"/>
  <c r="DN135" i="2" s="1"/>
  <c r="DN86" i="2" a="1"/>
  <c r="DN86" i="2" s="1"/>
  <c r="DN25" i="2" a="1"/>
  <c r="DN25" i="2" s="1"/>
  <c r="FS203" i="2"/>
  <c r="FY109" i="2" a="1"/>
  <c r="FY109" i="2" s="1"/>
  <c r="FY90" i="2" a="1"/>
  <c r="FY9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200" i="2" a="1"/>
  <c r="FY200" i="2" s="1"/>
  <c r="FY137" i="2" a="1"/>
  <c r="FY137" i="2" s="1"/>
  <c r="FY129" i="2" a="1"/>
  <c r="FY129" i="2" s="1"/>
  <c r="FY175" i="2" a="1"/>
  <c r="FY175" i="2" s="1"/>
  <c r="FY112" i="2" a="1"/>
  <c r="FY112" i="2" s="1"/>
  <c r="FY183" i="2" a="1"/>
  <c r="FY183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132" i="2" a="1"/>
  <c r="FY132" i="2" s="1"/>
  <c r="FY198" i="2" a="1"/>
  <c r="FY198" i="2" s="1"/>
  <c r="FY141" i="2" a="1"/>
  <c r="FY141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177" i="2" a="1"/>
  <c r="FY177" i="2" s="1"/>
  <c r="FY138" i="2" a="1"/>
  <c r="FY138" i="2" s="1"/>
  <c r="FY130" i="2" a="1"/>
  <c r="FY130" i="2" s="1"/>
  <c r="FY150" i="2" a="1"/>
  <c r="FY150" i="2" s="1"/>
  <c r="FY105" i="2" a="1"/>
  <c r="FY105" i="2" s="1"/>
  <c r="FY125" i="2" a="1"/>
  <c r="FY125" i="2" s="1"/>
  <c r="FY103" i="2" a="1"/>
  <c r="FY103" i="2" s="1"/>
  <c r="GN203" i="2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189" i="2" a="1"/>
  <c r="FY189" i="2" s="1"/>
  <c r="GL203" i="2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168" i="2" a="1"/>
  <c r="FY168" i="2" s="1"/>
  <c r="FT202" i="2"/>
  <c r="FY162" i="2" a="1"/>
  <c r="FY162" i="2" s="1"/>
  <c r="FY158" i="2" a="1"/>
  <c r="FY158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131" i="2" a="1"/>
  <c r="FY131" i="2" s="1"/>
  <c r="FY197" i="2" a="1"/>
  <c r="FY197" i="2" s="1"/>
  <c r="FY154" i="2" a="1"/>
  <c r="FY154" i="2" s="1"/>
  <c r="FY163" i="2" a="1"/>
  <c r="FY163" i="2" s="1"/>
  <c r="FY181" i="2" a="1"/>
  <c r="FY18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CS36" i="2" a="1"/>
  <c r="CS36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FT203" i="2"/>
  <c r="DI203" i="2"/>
  <c r="EY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FJ29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V83" i="2"/>
  <c r="GW83" i="2" s="1"/>
  <c r="GX83" i="2" s="1"/>
  <c r="GY83" i="2" s="1"/>
  <c r="AJ83" i="2"/>
  <c r="AK83" i="2" s="1"/>
  <c r="AL83" i="2" s="1"/>
  <c r="AM83" i="2" s="1"/>
  <c r="FJ64" i="2" l="1"/>
  <c r="FJ136" i="2"/>
  <c r="FJ67" i="2"/>
  <c r="FJ156" i="2"/>
  <c r="FJ141" i="2"/>
  <c r="FJ111" i="2"/>
  <c r="FJ63" i="2"/>
  <c r="FJ201" i="2"/>
  <c r="FJ176" i="2"/>
  <c r="FJ28" i="2"/>
  <c r="FJ185" i="2"/>
  <c r="FJ56" i="2"/>
  <c r="FJ97" i="2"/>
  <c r="FJ112" i="2"/>
  <c r="FJ40" i="2"/>
  <c r="FJ193" i="2"/>
  <c r="FJ128" i="2"/>
  <c r="FJ78" i="2"/>
  <c r="FJ92" i="2"/>
  <c r="FJ181" i="2"/>
  <c r="FJ195" i="2"/>
  <c r="FJ171" i="2"/>
  <c r="FJ149" i="2"/>
  <c r="FJ187" i="2"/>
  <c r="FJ83" i="2"/>
  <c r="FJ71" i="2"/>
  <c r="FJ20" i="2"/>
  <c r="FJ108" i="2"/>
  <c r="FJ81" i="2"/>
  <c r="FJ52" i="2"/>
  <c r="FJ70" i="2"/>
  <c r="FJ114" i="2"/>
  <c r="FJ93" i="2"/>
  <c r="FJ196" i="2"/>
  <c r="FJ135" i="2"/>
  <c r="FJ130" i="2"/>
  <c r="FJ37" i="2"/>
  <c r="FJ186" i="2"/>
  <c r="FJ190" i="2"/>
  <c r="FJ165" i="2"/>
  <c r="FJ200" i="2"/>
  <c r="FJ36" i="2"/>
  <c r="FJ182" i="2"/>
  <c r="FJ129" i="2"/>
  <c r="FJ173" i="2"/>
  <c r="FJ115" i="2"/>
  <c r="FJ120" i="2"/>
  <c r="FJ153" i="2"/>
  <c r="FJ15" i="2"/>
  <c r="FJ121" i="2"/>
  <c r="FJ42" i="2"/>
  <c r="FJ54" i="2"/>
  <c r="FJ202" i="2"/>
  <c r="FJ183" i="2"/>
  <c r="FJ87" i="2"/>
  <c r="FJ55" i="2"/>
  <c r="FJ166" i="2"/>
  <c r="FJ137" i="2"/>
  <c r="FJ119" i="2"/>
  <c r="FJ142" i="2"/>
  <c r="FJ14" i="2"/>
  <c r="FJ12" i="2"/>
  <c r="FJ133" i="2"/>
  <c r="FJ189" i="2"/>
  <c r="FJ9" i="2"/>
  <c r="FJ86" i="2"/>
  <c r="FJ35" i="2"/>
  <c r="FJ123" i="2"/>
  <c r="FJ131" i="2"/>
  <c r="FJ61" i="2"/>
  <c r="FJ34" i="2"/>
  <c r="FJ194" i="2"/>
  <c r="FJ122" i="2"/>
  <c r="FJ162" i="2"/>
  <c r="FJ47" i="2"/>
  <c r="FJ75" i="2"/>
  <c r="FJ25" i="2"/>
  <c r="FJ79" i="2"/>
  <c r="FJ139" i="2"/>
  <c r="FJ167" i="2"/>
  <c r="FJ76" i="2"/>
  <c r="FJ50" i="2"/>
  <c r="FJ72" i="2"/>
  <c r="FJ170" i="2"/>
  <c r="FJ39" i="2"/>
  <c r="FJ110" i="2"/>
  <c r="FJ155" i="2"/>
  <c r="FJ161" i="2"/>
  <c r="FJ24" i="2"/>
  <c r="FJ118" i="2"/>
  <c r="FJ17" i="2"/>
  <c r="FJ151" i="2"/>
  <c r="FJ146" i="2"/>
  <c r="FJ198" i="2"/>
  <c r="FJ38" i="2"/>
  <c r="FJ82" i="2"/>
  <c r="FJ144" i="2"/>
  <c r="FJ58" i="2"/>
  <c r="FJ32" i="2"/>
  <c r="FJ138" i="2"/>
  <c r="FJ91" i="2"/>
  <c r="FJ101" i="2"/>
  <c r="FJ157" i="2"/>
  <c r="FJ140" i="2"/>
  <c r="FJ3" i="2"/>
  <c r="C13" i="4" s="1"/>
  <c r="E13" i="4" s="1"/>
  <c r="F13" i="4" s="1"/>
  <c r="G13" i="4" s="1"/>
  <c r="L13" i="4" s="1"/>
  <c r="FJ184" i="2"/>
  <c r="FJ46" i="2"/>
  <c r="FJ169" i="2"/>
  <c r="FJ178" i="2"/>
  <c r="FJ99" i="2"/>
  <c r="FJ4" i="2"/>
  <c r="FJ48" i="2"/>
  <c r="FJ22" i="2"/>
  <c r="FJ164" i="2"/>
  <c r="FJ113" i="2"/>
  <c r="FJ94" i="2"/>
  <c r="FJ90" i="2"/>
  <c r="FJ158" i="2"/>
  <c r="FJ124" i="2"/>
  <c r="FJ143" i="2"/>
  <c r="FJ10" i="2"/>
  <c r="FJ150" i="2"/>
  <c r="FJ96" i="2"/>
  <c r="FJ104" i="2"/>
  <c r="FJ103" i="2"/>
  <c r="FJ43" i="2"/>
  <c r="FJ116" i="2"/>
  <c r="FJ168" i="2"/>
  <c r="FJ84" i="2"/>
  <c r="FJ203" i="2"/>
  <c r="FJ57" i="2"/>
  <c r="FJ180" i="2"/>
  <c r="FJ154" i="2"/>
  <c r="FJ147" i="2"/>
  <c r="FJ125" i="2"/>
  <c r="FJ105" i="2"/>
  <c r="FJ126" i="2"/>
  <c r="FJ66" i="2"/>
  <c r="FJ74" i="2"/>
  <c r="FJ31" i="2"/>
  <c r="FJ60" i="2"/>
  <c r="FJ11" i="2"/>
  <c r="FJ102" i="2"/>
  <c r="FJ8" i="2"/>
  <c r="FJ44" i="2"/>
  <c r="FJ69" i="2"/>
  <c r="FJ27" i="2"/>
  <c r="FJ107" i="2"/>
  <c r="FJ175" i="2"/>
  <c r="FJ53" i="2"/>
  <c r="FJ179" i="2"/>
  <c r="FJ172" i="2"/>
  <c r="FJ159" i="2"/>
  <c r="FJ85" i="2"/>
  <c r="FJ13" i="2"/>
  <c r="FJ51" i="2"/>
  <c r="FJ21" i="2"/>
  <c r="FJ65" i="2"/>
  <c r="FJ98" i="2"/>
  <c r="FJ148" i="2"/>
  <c r="FJ73" i="2"/>
  <c r="FJ16" i="2"/>
  <c r="FJ197" i="2"/>
  <c r="FJ192" i="2"/>
  <c r="FJ127" i="2"/>
  <c r="FJ49" i="2"/>
  <c r="FJ88" i="2"/>
  <c r="FJ160" i="2"/>
  <c r="FJ95" i="2"/>
  <c r="FJ132" i="2"/>
  <c r="FJ77" i="2"/>
  <c r="FJ19" i="2"/>
  <c r="FJ59" i="2"/>
  <c r="FJ45" i="2"/>
  <c r="FJ80" i="2"/>
  <c r="FJ134" i="2"/>
  <c r="FJ152" i="2"/>
  <c r="FJ62" i="2"/>
  <c r="FJ23" i="2"/>
  <c r="FJ41" i="2"/>
  <c r="FJ188" i="2"/>
  <c r="FJ199" i="2"/>
  <c r="FJ33" i="2"/>
  <c r="FJ191" i="2"/>
  <c r="FJ68" i="2"/>
  <c r="FJ117" i="2"/>
  <c r="FJ30" i="2"/>
  <c r="FJ5" i="2"/>
  <c r="FJ174" i="2"/>
  <c r="FJ177" i="2"/>
  <c r="FJ109" i="2"/>
  <c r="FJ89" i="2"/>
  <c r="FJ26" i="2"/>
  <c r="FJ6" i="2"/>
  <c r="FJ7" i="2"/>
  <c r="FJ18" i="2"/>
  <c r="FJ145" i="2"/>
  <c r="FJ163" i="2"/>
  <c r="FJ106" i="2"/>
  <c r="FJ10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0" i="2" l="1"/>
  <c r="CD70" i="2"/>
  <c r="CD179" i="2"/>
  <c r="CD191" i="2"/>
  <c r="CD10" i="2"/>
  <c r="CD61" i="2"/>
  <c r="CD62" i="2"/>
  <c r="CD73" i="2"/>
  <c r="CD177" i="2"/>
  <c r="CD55" i="2"/>
  <c r="CD34" i="2"/>
  <c r="CD201" i="2"/>
  <c r="CD54" i="2"/>
  <c r="CD27" i="2"/>
  <c r="CD157" i="2"/>
  <c r="CD156" i="2"/>
  <c r="CD154" i="2"/>
  <c r="CD59" i="2"/>
  <c r="CD40" i="2"/>
  <c r="CD99" i="2"/>
  <c r="CD200" i="2"/>
  <c r="CD41" i="2"/>
  <c r="CD49" i="2"/>
  <c r="CD132" i="2"/>
  <c r="CD197" i="2"/>
  <c r="CD171" i="2"/>
  <c r="CD74" i="2"/>
  <c r="CD46" i="2"/>
  <c r="CD166" i="2"/>
  <c r="CD110" i="2"/>
  <c r="CD175" i="2"/>
  <c r="CD186" i="2"/>
  <c r="CD38" i="2"/>
  <c r="CD48" i="2"/>
  <c r="CD82" i="2"/>
  <c r="CD149" i="2"/>
  <c r="CD104" i="2"/>
  <c r="CD123" i="2"/>
  <c r="CD162" i="2"/>
  <c r="CD114" i="2"/>
  <c r="CD53" i="2"/>
  <c r="CD105" i="2"/>
  <c r="CD23" i="2"/>
  <c r="CD20" i="2"/>
  <c r="CD137" i="2"/>
  <c r="CD58" i="2"/>
  <c r="CD86" i="2"/>
  <c r="CD93" i="2"/>
  <c r="CD159" i="2"/>
  <c r="CD183" i="2"/>
  <c r="CD100" i="2"/>
  <c r="CD85" i="2"/>
  <c r="CD69" i="2"/>
  <c r="CD52" i="2"/>
  <c r="CD24" i="2"/>
  <c r="CD8" i="2"/>
  <c r="CD5" i="2"/>
  <c r="CD68" i="2"/>
  <c r="CD118" i="2"/>
  <c r="CD121" i="2"/>
  <c r="CD65" i="2"/>
  <c r="CD196" i="2"/>
  <c r="CD47" i="2"/>
  <c r="CD11" i="2"/>
  <c r="CD181" i="2"/>
  <c r="CD107" i="2"/>
  <c r="CD108" i="2"/>
  <c r="CD169" i="2"/>
  <c r="CD192" i="2"/>
  <c r="CD184" i="2"/>
  <c r="CD3" i="2"/>
  <c r="C9" i="4" s="1"/>
  <c r="E9" i="4" s="1"/>
  <c r="F9" i="4" s="1"/>
  <c r="G9" i="4" s="1"/>
  <c r="L9" i="4" s="1"/>
  <c r="CD160" i="2"/>
  <c r="CD155" i="2"/>
  <c r="CD45" i="2"/>
  <c r="CD13" i="2"/>
  <c r="CD145" i="2"/>
  <c r="CD51" i="2"/>
  <c r="CD178" i="2"/>
  <c r="CD111" i="2"/>
  <c r="CD180" i="2"/>
  <c r="CD21" i="2"/>
  <c r="CD91" i="2"/>
  <c r="CD168" i="2"/>
  <c r="CD172" i="2"/>
  <c r="CD124" i="2"/>
  <c r="CD129" i="2"/>
  <c r="CD19" i="2"/>
  <c r="CD112" i="2"/>
  <c r="CD16" i="2"/>
  <c r="CD150" i="2"/>
  <c r="CD199" i="2"/>
  <c r="CD140" i="2"/>
  <c r="CD182" i="2"/>
  <c r="CD146" i="2"/>
  <c r="CD95" i="2"/>
  <c r="CD43" i="2"/>
  <c r="CD174" i="2"/>
  <c r="CD119" i="2"/>
  <c r="CD134" i="2"/>
  <c r="CD32" i="2"/>
  <c r="CD44" i="2"/>
  <c r="CD136" i="2"/>
  <c r="CD89" i="2"/>
  <c r="CD138" i="2"/>
  <c r="CD64" i="2"/>
  <c r="CD153" i="2"/>
  <c r="CD164" i="2"/>
  <c r="CD142" i="2"/>
  <c r="CD185" i="2"/>
  <c r="CD188" i="2"/>
  <c r="CD190" i="2"/>
  <c r="CD202" i="2"/>
  <c r="CD81" i="2"/>
  <c r="CD141" i="2"/>
  <c r="CD158" i="2"/>
  <c r="CD173" i="2"/>
  <c r="CD37" i="2"/>
  <c r="CD17" i="2"/>
  <c r="CD9" i="2"/>
  <c r="CD189" i="2"/>
  <c r="CD106" i="2"/>
  <c r="CD125" i="2"/>
  <c r="CD117" i="2"/>
  <c r="CD148" i="2"/>
  <c r="CD80" i="2"/>
  <c r="CD128" i="2"/>
  <c r="CD78" i="2"/>
  <c r="CD109" i="2"/>
  <c r="CD165" i="2"/>
  <c r="CD67" i="2"/>
  <c r="CD167" i="2"/>
  <c r="CD176" i="2"/>
  <c r="CD92" i="2"/>
  <c r="CD87" i="2"/>
  <c r="CD50" i="2"/>
  <c r="CD84" i="2"/>
  <c r="CD94" i="2"/>
  <c r="CD26" i="2"/>
  <c r="CD96" i="2"/>
  <c r="CD79" i="2"/>
  <c r="CD14" i="2"/>
  <c r="CD135" i="2"/>
  <c r="CD151" i="2"/>
  <c r="CD101" i="2"/>
  <c r="CD39" i="2"/>
  <c r="CD143" i="2"/>
  <c r="CD75" i="2"/>
  <c r="CD36" i="2"/>
  <c r="CD126" i="2"/>
  <c r="CD33" i="2"/>
  <c r="CD161" i="2"/>
  <c r="CD115" i="2"/>
  <c r="CD98" i="2"/>
  <c r="CD72" i="2"/>
  <c r="CD7" i="2"/>
  <c r="CD18" i="2"/>
  <c r="CD29" i="2"/>
  <c r="CD12" i="2"/>
  <c r="CD22" i="2"/>
  <c r="CD28" i="2"/>
  <c r="CD97" i="2"/>
  <c r="CD83" i="2"/>
  <c r="CD139" i="2"/>
  <c r="CD42" i="2"/>
  <c r="CD63" i="2"/>
  <c r="CD130" i="2"/>
  <c r="CD113" i="2"/>
  <c r="CD71" i="2"/>
  <c r="CD116" i="2"/>
  <c r="CD194" i="2"/>
  <c r="CD187" i="2"/>
  <c r="CD144" i="2"/>
  <c r="CD4" i="2"/>
  <c r="CD102" i="2"/>
  <c r="CD90" i="2"/>
  <c r="CD56" i="2"/>
  <c r="CD77" i="2"/>
  <c r="CD57" i="2"/>
  <c r="CD195" i="2"/>
  <c r="CD203" i="2"/>
  <c r="CD31" i="2"/>
  <c r="CD66" i="2"/>
  <c r="CD152" i="2"/>
  <c r="CD147" i="2"/>
  <c r="CD122" i="2"/>
  <c r="CD198" i="2"/>
  <c r="CD88" i="2"/>
  <c r="CD103" i="2"/>
  <c r="CD120" i="2"/>
  <c r="CD25" i="2"/>
  <c r="CD76" i="2"/>
  <c r="CD131" i="2"/>
  <c r="CD170" i="2"/>
  <c r="CD35" i="2"/>
  <c r="CD163" i="2"/>
  <c r="CD30" i="2"/>
  <c r="CD133" i="2"/>
  <c r="CD15" i="2"/>
  <c r="CD6" i="2"/>
  <c r="CD127" i="2"/>
  <c r="CD193" i="2"/>
  <c r="GE202" i="2"/>
  <c r="GE44" i="2"/>
  <c r="GE126" i="2"/>
  <c r="GE161" i="2"/>
  <c r="GE62" i="2"/>
  <c r="GE30" i="2"/>
  <c r="GE171" i="2"/>
  <c r="GE95" i="2"/>
  <c r="GE98" i="2"/>
  <c r="GE139" i="2"/>
  <c r="GE195" i="2"/>
  <c r="GE50" i="2"/>
  <c r="GE136" i="2"/>
  <c r="GE17" i="2"/>
  <c r="GE43" i="2"/>
  <c r="GE197" i="2"/>
  <c r="GE113" i="2"/>
  <c r="GE128" i="2"/>
  <c r="GE22" i="2"/>
  <c r="GE74" i="2"/>
  <c r="GE8" i="2"/>
  <c r="GE149" i="2"/>
  <c r="GE12" i="2"/>
  <c r="GE58" i="2"/>
  <c r="GE83" i="2"/>
  <c r="GE115" i="2"/>
  <c r="GE181" i="2"/>
  <c r="GE188" i="2"/>
  <c r="GE100" i="2"/>
  <c r="GE53" i="2"/>
  <c r="GE134" i="2"/>
  <c r="GE109" i="2"/>
  <c r="GE55" i="2"/>
  <c r="GE150" i="2"/>
  <c r="GE163" i="2"/>
  <c r="GE179" i="2"/>
  <c r="GE152" i="2"/>
  <c r="GE41" i="2"/>
  <c r="GE143" i="2"/>
  <c r="GE125" i="2"/>
  <c r="GE154" i="2"/>
  <c r="GE20" i="2"/>
  <c r="GE187" i="2"/>
  <c r="GE51" i="2"/>
  <c r="GE32" i="2"/>
  <c r="GE155" i="2"/>
  <c r="GE77" i="2"/>
  <c r="GE70" i="2"/>
  <c r="GE102" i="2"/>
  <c r="GE92" i="2"/>
  <c r="GE73" i="2"/>
  <c r="GE196" i="2"/>
  <c r="GE141" i="2"/>
  <c r="GE33" i="2"/>
  <c r="GE169" i="2"/>
  <c r="GE132" i="2"/>
  <c r="GE38" i="2"/>
  <c r="GE120" i="2"/>
  <c r="GE110" i="2"/>
  <c r="GE85" i="2"/>
  <c r="GE69" i="2"/>
  <c r="GE78" i="2"/>
  <c r="GE7" i="2"/>
  <c r="GE61" i="2"/>
  <c r="GE135" i="2"/>
  <c r="GE9" i="2"/>
  <c r="GE6" i="2"/>
  <c r="GE130" i="2"/>
  <c r="GE138" i="2"/>
  <c r="GE105" i="2"/>
  <c r="GE190" i="2"/>
  <c r="GE11" i="2"/>
  <c r="GE192" i="2"/>
  <c r="GE124" i="2"/>
  <c r="GE26" i="2"/>
  <c r="GE176" i="2"/>
  <c r="GE29" i="2"/>
  <c r="GE99" i="2"/>
  <c r="GE82" i="2"/>
  <c r="GE35" i="2"/>
  <c r="GE172" i="2"/>
  <c r="GE28" i="2"/>
  <c r="GE59" i="2"/>
  <c r="GE104" i="2"/>
  <c r="GE49" i="2"/>
  <c r="GE112" i="2"/>
  <c r="GE14" i="2"/>
  <c r="GE194" i="2"/>
  <c r="GE67" i="2"/>
  <c r="GE203" i="2"/>
  <c r="GE145" i="2"/>
  <c r="GE123" i="2"/>
  <c r="GE116" i="2"/>
  <c r="GE5" i="2"/>
  <c r="GE122" i="2"/>
  <c r="GE34" i="2"/>
  <c r="GE175" i="2"/>
  <c r="GE159" i="2"/>
  <c r="GE25" i="2"/>
  <c r="GE131" i="2"/>
  <c r="GE185" i="2"/>
  <c r="GE66" i="2"/>
  <c r="GE173" i="2"/>
  <c r="GE47" i="2"/>
  <c r="GE88" i="2"/>
  <c r="GE140" i="2"/>
  <c r="GE191" i="2"/>
  <c r="GE158" i="2"/>
  <c r="GE45" i="2"/>
  <c r="GE23" i="2"/>
  <c r="GE183" i="2"/>
  <c r="GE101" i="2"/>
  <c r="GE18" i="2"/>
  <c r="GE97" i="2"/>
  <c r="GE31" i="2"/>
  <c r="GE39" i="2"/>
  <c r="GE48" i="2"/>
  <c r="GE121" i="2"/>
  <c r="GE40" i="2"/>
  <c r="GE60" i="2"/>
  <c r="GE108" i="2"/>
  <c r="GE117" i="2"/>
  <c r="GE178" i="2"/>
  <c r="GE21" i="2"/>
  <c r="GE3" i="2"/>
  <c r="C14" i="4" s="1"/>
  <c r="GE52" i="2"/>
  <c r="GE10" i="2"/>
  <c r="GE201" i="2"/>
  <c r="GE57" i="2"/>
  <c r="GE46" i="2"/>
  <c r="GE76" i="2"/>
  <c r="GE56" i="2"/>
  <c r="GE168" i="2"/>
  <c r="GE36" i="2"/>
  <c r="GE142" i="2"/>
  <c r="GE144" i="2"/>
  <c r="GE63" i="2"/>
  <c r="GE114" i="2"/>
  <c r="GE27" i="2"/>
  <c r="GE164" i="2"/>
  <c r="GE15" i="2"/>
  <c r="GE64" i="2"/>
  <c r="GE68" i="2"/>
  <c r="GE89" i="2"/>
  <c r="GE199" i="2"/>
  <c r="GE180" i="2"/>
  <c r="GE200" i="2"/>
  <c r="GE153" i="2"/>
  <c r="GE42" i="2"/>
  <c r="GE54" i="2"/>
  <c r="GE186" i="2"/>
  <c r="GE79" i="2"/>
  <c r="GE182" i="2"/>
  <c r="GE157" i="2"/>
  <c r="GE72" i="2"/>
  <c r="GE166" i="2"/>
  <c r="GE162" i="2"/>
  <c r="GE84" i="2"/>
  <c r="GE16" i="2"/>
  <c r="GE19" i="2"/>
  <c r="GE184" i="2"/>
  <c r="GE165" i="2"/>
  <c r="GE146" i="2"/>
  <c r="GE90" i="2"/>
  <c r="GE87" i="2"/>
  <c r="GE148" i="2"/>
  <c r="GE147" i="2"/>
  <c r="GE65" i="2"/>
  <c r="GE75" i="2"/>
  <c r="GE156" i="2"/>
  <c r="GE80" i="2"/>
  <c r="GE174" i="2"/>
  <c r="GE193" i="2"/>
  <c r="GE94" i="2"/>
  <c r="GE111" i="2"/>
  <c r="GE13" i="2"/>
  <c r="GE198" i="2"/>
  <c r="GE177" i="2"/>
  <c r="GE107" i="2"/>
  <c r="GE119" i="2"/>
  <c r="GE4" i="2"/>
  <c r="GE106" i="2"/>
  <c r="GE86" i="2"/>
  <c r="GE93" i="2"/>
  <c r="GE96" i="2"/>
  <c r="GE189" i="2"/>
  <c r="GE24" i="2"/>
  <c r="GE118" i="2"/>
  <c r="GE160" i="2"/>
  <c r="GE127" i="2"/>
  <c r="GE81" i="2"/>
  <c r="GE71" i="2"/>
  <c r="GE129" i="2"/>
  <c r="GE91" i="2"/>
  <c r="GE137" i="2"/>
  <c r="GE103" i="2"/>
  <c r="GE151" i="2"/>
  <c r="GE170" i="2"/>
  <c r="GE37" i="2"/>
  <c r="GE133" i="2"/>
  <c r="GE16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81" i="2" l="1"/>
  <c r="BI203" i="2"/>
  <c r="BI47" i="2"/>
  <c r="BI179" i="2"/>
  <c r="BI54" i="2"/>
  <c r="BI41" i="2"/>
  <c r="BI110" i="2"/>
  <c r="BI9" i="2"/>
  <c r="BI185" i="2"/>
  <c r="BI188" i="2"/>
  <c r="BI158" i="2"/>
  <c r="BI122" i="2"/>
  <c r="BI146" i="2"/>
  <c r="BI106" i="2"/>
  <c r="BI50" i="2"/>
  <c r="BI18" i="2"/>
  <c r="BI73" i="2"/>
  <c r="BI130" i="2"/>
  <c r="BI60" i="2"/>
  <c r="BI144" i="2"/>
  <c r="BI83" i="2"/>
  <c r="BI92" i="2"/>
  <c r="BI171" i="2"/>
  <c r="BI155" i="2"/>
  <c r="BI174" i="2"/>
  <c r="BI98" i="2"/>
  <c r="BI163" i="2"/>
  <c r="BI20" i="2"/>
  <c r="BI81" i="2"/>
  <c r="BI31" i="2"/>
  <c r="BI37" i="2"/>
  <c r="BI85" i="2"/>
  <c r="BI195" i="2"/>
  <c r="BI121" i="2"/>
  <c r="BI168" i="2"/>
  <c r="BI93" i="2"/>
  <c r="BI151" i="2"/>
  <c r="BI71" i="2"/>
  <c r="BI27" i="2"/>
  <c r="BI157" i="2"/>
  <c r="BI4" i="2"/>
  <c r="BI124" i="2"/>
  <c r="BI40" i="2"/>
  <c r="BI77" i="2"/>
  <c r="BI200" i="2"/>
  <c r="BI135" i="2"/>
  <c r="BI90" i="2"/>
  <c r="BI96" i="2"/>
  <c r="BI138" i="2"/>
  <c r="BI150" i="2"/>
  <c r="BI49" i="2"/>
  <c r="BI160" i="2"/>
  <c r="BI102" i="2"/>
  <c r="BI149" i="2"/>
  <c r="BI51" i="2"/>
  <c r="BI8" i="2"/>
  <c r="BI19" i="2"/>
  <c r="BI89" i="2"/>
  <c r="BI15" i="2"/>
  <c r="BI65" i="2"/>
  <c r="BI59" i="2"/>
  <c r="BI67" i="2"/>
  <c r="BI191" i="2"/>
  <c r="BI53" i="2"/>
  <c r="BI177" i="2"/>
  <c r="BI132" i="2"/>
  <c r="BI25" i="2"/>
  <c r="BI46" i="2"/>
  <c r="BI38" i="2"/>
  <c r="BI48" i="2"/>
  <c r="BI76" i="2"/>
  <c r="BI166" i="2"/>
  <c r="BI36" i="2"/>
  <c r="BI58" i="2"/>
  <c r="BI190" i="2"/>
  <c r="BI161" i="2"/>
  <c r="BI148" i="2"/>
  <c r="BI154" i="2"/>
  <c r="BI79" i="2"/>
  <c r="BI103" i="2"/>
  <c r="BI23" i="2"/>
  <c r="BI32" i="2"/>
  <c r="BI196" i="2"/>
  <c r="BI22" i="2"/>
  <c r="BI139" i="2"/>
  <c r="BI70" i="2"/>
  <c r="BI183" i="2"/>
  <c r="BI108" i="2"/>
  <c r="BI199" i="2"/>
  <c r="BI172" i="2"/>
  <c r="BI125" i="2"/>
  <c r="BI45" i="2"/>
  <c r="BI164" i="2"/>
  <c r="BI34" i="2"/>
  <c r="BI126" i="2"/>
  <c r="BI6" i="2"/>
  <c r="BI75" i="2"/>
  <c r="BI30" i="2"/>
  <c r="BI94" i="2"/>
  <c r="BI107" i="2"/>
  <c r="BI116" i="2"/>
  <c r="BI180" i="2"/>
  <c r="BI178" i="2"/>
  <c r="BI117" i="2"/>
  <c r="BI192" i="2"/>
  <c r="BI28" i="2"/>
  <c r="BI63" i="2"/>
  <c r="BI29" i="2"/>
  <c r="BI16" i="2"/>
  <c r="BI84" i="2"/>
  <c r="BI137" i="2"/>
  <c r="BI55" i="2"/>
  <c r="BI197" i="2"/>
  <c r="BI21" i="2"/>
  <c r="BI159" i="2"/>
  <c r="BI140" i="2"/>
  <c r="BI57" i="2"/>
  <c r="BI74" i="2"/>
  <c r="BI56" i="2"/>
  <c r="BI87" i="2"/>
  <c r="BI100" i="2"/>
  <c r="BI129" i="2"/>
  <c r="BI113" i="2"/>
  <c r="BI88" i="2"/>
  <c r="BI147" i="2"/>
  <c r="BI91" i="2"/>
  <c r="BI176" i="2"/>
  <c r="BI170" i="2"/>
  <c r="BI120" i="2"/>
  <c r="BI97" i="2"/>
  <c r="BI39" i="2"/>
  <c r="BI35" i="2"/>
  <c r="BI128" i="2"/>
  <c r="BI142" i="2"/>
  <c r="BI186" i="2"/>
  <c r="BI112" i="2"/>
  <c r="BI118" i="2"/>
  <c r="BI187" i="2"/>
  <c r="BI156" i="2"/>
  <c r="BI26" i="2"/>
  <c r="BI169" i="2"/>
  <c r="BI66" i="2"/>
  <c r="BI131" i="2"/>
  <c r="BI7" i="2"/>
  <c r="BI42" i="2"/>
  <c r="BI12" i="2"/>
  <c r="BI162" i="2"/>
  <c r="BI44" i="2"/>
  <c r="BI119" i="2"/>
  <c r="BI167" i="2"/>
  <c r="BI123" i="2"/>
  <c r="BI189" i="2"/>
  <c r="BI64" i="2"/>
  <c r="BI127" i="2"/>
  <c r="BI109" i="2"/>
  <c r="BI145" i="2"/>
  <c r="BI114" i="2"/>
  <c r="BI43" i="2"/>
  <c r="BI11" i="2"/>
  <c r="BI115" i="2"/>
  <c r="BI136" i="2"/>
  <c r="BI33" i="2"/>
  <c r="BI99" i="2"/>
  <c r="BI134" i="2"/>
  <c r="BI3" i="2"/>
  <c r="C8" i="4" s="1"/>
  <c r="E8" i="4" s="1"/>
  <c r="F8" i="4" s="1"/>
  <c r="G8" i="4" s="1"/>
  <c r="L8" i="4" s="1"/>
  <c r="BI202" i="2"/>
  <c r="BI173" i="2"/>
  <c r="BI182" i="2"/>
  <c r="BI193" i="2"/>
  <c r="BI5" i="2"/>
  <c r="BI101" i="2"/>
  <c r="BI165" i="2"/>
  <c r="BI184" i="2"/>
  <c r="BI105" i="2"/>
  <c r="BI14" i="2"/>
  <c r="BI141" i="2"/>
  <c r="BI80" i="2"/>
  <c r="BI10" i="2"/>
  <c r="BI153" i="2"/>
  <c r="BI95" i="2"/>
  <c r="BI82" i="2"/>
  <c r="BI111" i="2"/>
  <c r="BI61" i="2"/>
  <c r="BI78" i="2"/>
  <c r="BI198" i="2"/>
  <c r="BI17" i="2"/>
  <c r="BI24" i="2"/>
  <c r="BI194" i="2"/>
  <c r="BI86" i="2"/>
  <c r="BI13" i="2"/>
  <c r="BI175" i="2"/>
  <c r="BI133" i="2"/>
  <c r="BI104" i="2"/>
  <c r="BI143" i="2"/>
  <c r="BI72" i="2"/>
  <c r="BI69" i="2"/>
  <c r="BI62" i="2"/>
  <c r="BI68" i="2"/>
  <c r="BI201" i="2"/>
  <c r="BI52" i="2"/>
  <c r="BI152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BS161" i="2" l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  <c r="FW23" i="2" l="1"/>
  <c r="FW43" i="2"/>
  <c r="FW33" i="2"/>
  <c r="FW73" i="2"/>
  <c r="FW63" i="2"/>
  <c r="FW53" i="2"/>
  <c r="I247" i="1"/>
  <c r="FX53" i="2" s="1"/>
  <c r="I246" i="1"/>
  <c r="FX43" i="2" s="1"/>
  <c r="I249" i="1"/>
  <c r="FX73" i="2" s="1"/>
  <c r="I250" i="1"/>
  <c r="FX83" i="2" s="1"/>
  <c r="I245" i="1"/>
  <c r="FX33" i="2" s="1"/>
  <c r="I248" i="1"/>
  <c r="FX63" i="2" s="1"/>
  <c r="FW205" i="2"/>
  <c r="I244" i="1"/>
  <c r="FX23" i="2" s="1"/>
  <c r="FY82" i="2" l="1" a="1"/>
  <c r="FY82" i="2" s="1"/>
  <c r="FY75" i="2" a="1"/>
  <c r="FY75" i="2" s="1"/>
  <c r="FY27" i="2" a="1"/>
  <c r="FY27" i="2" s="1"/>
  <c r="FY69" i="2" a="1"/>
  <c r="FY69" i="2" s="1"/>
  <c r="FY67" i="2" a="1"/>
  <c r="FY67" i="2" s="1"/>
  <c r="FY61" i="2" a="1"/>
  <c r="FY61" i="2" s="1"/>
  <c r="FY57" i="2" a="1"/>
  <c r="FY57" i="2" s="1"/>
  <c r="FY55" i="2" a="1"/>
  <c r="FY55" i="2" s="1"/>
  <c r="FY56" i="2" a="1"/>
  <c r="FY56" i="2" s="1"/>
  <c r="FY63" i="2" a="1"/>
  <c r="FY63" i="2" s="1"/>
  <c r="FY59" i="2" a="1"/>
  <c r="FY59" i="2" s="1"/>
  <c r="D14" i="4"/>
  <c r="E14" i="4" s="1"/>
  <c r="F14" i="4" s="1"/>
  <c r="F16" i="4" s="1"/>
  <c r="FY10" i="2" a="1"/>
  <c r="FY10" i="2" s="1"/>
  <c r="FY39" i="2" a="1"/>
  <c r="FY39" i="2" s="1"/>
  <c r="FY32" i="2" a="1"/>
  <c r="FY32" i="2" s="1"/>
  <c r="FY29" i="2" a="1"/>
  <c r="FY29" i="2" s="1"/>
  <c r="FY30" i="2" a="1"/>
  <c r="FY30" i="2" s="1"/>
  <c r="FY28" i="2" a="1"/>
  <c r="FY28" i="2" s="1"/>
  <c r="FY25" i="2" a="1"/>
  <c r="FY25" i="2" s="1"/>
  <c r="FY58" i="2" a="1"/>
  <c r="FY58" i="2" s="1"/>
  <c r="FY26" i="2" a="1"/>
  <c r="FY26" i="2" s="1"/>
  <c r="FY46" i="2" a="1"/>
  <c r="FY46" i="2" s="1"/>
  <c r="FY54" i="2" a="1"/>
  <c r="FY54" i="2" s="1"/>
  <c r="FY31" i="2" a="1"/>
  <c r="FY31" i="2" s="1"/>
  <c r="FY33" i="2" a="1"/>
  <c r="FY33" i="2" s="1"/>
  <c r="FY11" i="2" a="1"/>
  <c r="FY11" i="2" s="1"/>
  <c r="FY60" i="2" a="1"/>
  <c r="FY60" i="2" s="1"/>
  <c r="FY62" i="2" a="1"/>
  <c r="FY62" i="2" s="1"/>
  <c r="FY24" i="2" a="1"/>
  <c r="FY24" i="2" s="1"/>
  <c r="FY83" i="2" a="1"/>
  <c r="FY83" i="2" s="1"/>
  <c r="FY79" i="2" a="1"/>
  <c r="FY79" i="2" s="1"/>
  <c r="FY19" i="2" a="1"/>
  <c r="FY19" i="2" s="1"/>
  <c r="FY23" i="2" a="1"/>
  <c r="FY23" i="2" s="1"/>
  <c r="FY15" i="2" a="1"/>
  <c r="FY15" i="2" s="1"/>
  <c r="FY22" i="2" a="1"/>
  <c r="FY22" i="2" s="1"/>
  <c r="FY64" i="2" a="1"/>
  <c r="FY64" i="2" s="1"/>
  <c r="FY66" i="2" a="1"/>
  <c r="FY66" i="2" s="1"/>
  <c r="FY37" i="2" a="1"/>
  <c r="FY37" i="2" s="1"/>
  <c r="FY40" i="2" a="1"/>
  <c r="FY40" i="2" s="1"/>
  <c r="FY34" i="2" a="1"/>
  <c r="FY34" i="2" s="1"/>
  <c r="FY48" i="2" a="1"/>
  <c r="FY48" i="2" s="1"/>
  <c r="FY50" i="2" a="1"/>
  <c r="FY50" i="2" s="1"/>
  <c r="FY74" i="2" a="1"/>
  <c r="FY74" i="2" s="1"/>
  <c r="FY78" i="2" a="1"/>
  <c r="FY78" i="2" s="1"/>
  <c r="FY13" i="2" a="1"/>
  <c r="FY13" i="2" s="1"/>
  <c r="FY21" i="2" a="1"/>
  <c r="FY21" i="2" s="1"/>
  <c r="FY17" i="2" a="1"/>
  <c r="FY17" i="2" s="1"/>
  <c r="FY14" i="2" a="1"/>
  <c r="FY14" i="2" s="1"/>
  <c r="FY6" i="2" a="1"/>
  <c r="FY6" i="2" s="1"/>
  <c r="FY70" i="2" a="1"/>
  <c r="FY70" i="2" s="1"/>
  <c r="FY72" i="2" a="1"/>
  <c r="FY72" i="2" s="1"/>
  <c r="FY36" i="2" a="1"/>
  <c r="FY36" i="2" s="1"/>
  <c r="FY42" i="2" a="1"/>
  <c r="FY42" i="2" s="1"/>
  <c r="FY49" i="2" a="1"/>
  <c r="FY49" i="2" s="1"/>
  <c r="FY44" i="2" a="1"/>
  <c r="FY44" i="2" s="1"/>
  <c r="FY47" i="2" a="1"/>
  <c r="FY47" i="2" s="1"/>
  <c r="FY81" i="2" a="1"/>
  <c r="FY81" i="2" s="1"/>
  <c r="FY80" i="2" a="1"/>
  <c r="FY80" i="2" s="1"/>
  <c r="FY68" i="2" a="1"/>
  <c r="FY68" i="2" s="1"/>
  <c r="FY16" i="2" a="1"/>
  <c r="FY16" i="2" s="1"/>
  <c r="FY20" i="2" a="1"/>
  <c r="FY20" i="2" s="1"/>
  <c r="FY8" i="2" a="1"/>
  <c r="FY8" i="2" s="1"/>
  <c r="FY5" i="2" a="1"/>
  <c r="FY5" i="2" s="1"/>
  <c r="FY76" i="2" a="1"/>
  <c r="FY76" i="2" s="1"/>
  <c r="FY65" i="2" a="1"/>
  <c r="FY65" i="2" s="1"/>
  <c r="FY73" i="2" a="1"/>
  <c r="FY73" i="2" s="1"/>
  <c r="FY43" i="2" a="1"/>
  <c r="FY43" i="2" s="1"/>
  <c r="FY38" i="2" a="1"/>
  <c r="FY38" i="2" s="1"/>
  <c r="FY35" i="2" a="1"/>
  <c r="FY35" i="2" s="1"/>
  <c r="FY45" i="2" a="1"/>
  <c r="FY45" i="2" s="1"/>
  <c r="FY52" i="2" a="1"/>
  <c r="FY52" i="2" s="1"/>
  <c r="FY77" i="2" a="1"/>
  <c r="FY77" i="2" s="1"/>
  <c r="FY9" i="2" a="1"/>
  <c r="FY9" i="2" s="1"/>
  <c r="FY12" i="2" a="1"/>
  <c r="FY12" i="2" s="1"/>
  <c r="FY7" i="2" a="1"/>
  <c r="FY7" i="2" s="1"/>
  <c r="FY18" i="2" a="1"/>
  <c r="FY18" i="2" s="1"/>
  <c r="FY4" i="2" a="1"/>
  <c r="FY4" i="2" s="1"/>
  <c r="FZ4" i="2" s="1"/>
  <c r="FY71" i="2" a="1"/>
  <c r="FY71" i="2" s="1"/>
  <c r="FY41" i="2" a="1"/>
  <c r="FY41" i="2" s="1"/>
  <c r="FY51" i="2" a="1"/>
  <c r="FY51" i="2" s="1"/>
  <c r="FY53" i="2" a="1"/>
  <c r="FY53" i="2" s="1"/>
  <c r="G14" i="4" l="1"/>
  <c r="G16" i="4" s="1"/>
  <c r="FZ5" i="2"/>
  <c r="GA4" i="2"/>
  <c r="L14" i="4" l="1"/>
  <c r="L16" i="4" s="1"/>
  <c r="GA5" i="2"/>
  <c r="FZ6" i="2"/>
  <c r="GB4" i="2"/>
  <c r="GC4" i="2" s="1"/>
  <c r="GD4" i="2" s="1"/>
  <c r="FZ7" i="2" l="1"/>
  <c r="GA6" i="2"/>
  <c r="GB5" i="2"/>
  <c r="GC5" i="2" s="1"/>
  <c r="GD5" i="2" s="1"/>
  <c r="GB6" i="2" l="1"/>
  <c r="GC6" i="2" s="1"/>
  <c r="GD6" i="2" s="1"/>
  <c r="FZ8" i="2"/>
  <c r="GA7" i="2"/>
  <c r="GB7" i="2" l="1"/>
  <c r="GC7" i="2" s="1"/>
  <c r="GD7" i="2" s="1"/>
  <c r="FZ9" i="2"/>
  <c r="GA8" i="2"/>
  <c r="GB8" i="2" l="1"/>
  <c r="GC8" i="2" s="1"/>
  <c r="GD8" i="2" s="1"/>
  <c r="GA9" i="2"/>
  <c r="FZ10" i="2"/>
  <c r="GB9" i="2" l="1"/>
  <c r="GC9" i="2" s="1"/>
  <c r="GD9" i="2" s="1"/>
  <c r="GA10" i="2"/>
  <c r="FZ11" i="2"/>
  <c r="GA11" i="2" l="1"/>
  <c r="FZ12" i="2"/>
  <c r="GB10" i="2"/>
  <c r="GC10" i="2" s="1"/>
  <c r="GD10" i="2" s="1"/>
  <c r="GA12" i="2" l="1"/>
  <c r="FZ13" i="2"/>
  <c r="GB11" i="2"/>
  <c r="GC11" i="2" s="1"/>
  <c r="GD11" i="2" s="1"/>
  <c r="FZ14" i="2" l="1"/>
  <c r="GA13" i="2"/>
  <c r="GB12" i="2"/>
  <c r="GC12" i="2" s="1"/>
  <c r="GD12" i="2" s="1"/>
  <c r="GB13" i="2" l="1"/>
  <c r="GC13" i="2" s="1"/>
  <c r="GD13" i="2" s="1"/>
  <c r="GA14" i="2"/>
  <c r="FZ15" i="2"/>
  <c r="GB14" i="2" l="1"/>
  <c r="GC14" i="2" s="1"/>
  <c r="GD14" i="2" s="1"/>
  <c r="FZ16" i="2"/>
  <c r="GA15" i="2"/>
  <c r="GB15" i="2" l="1"/>
  <c r="GC15" i="2" s="1"/>
  <c r="GD15" i="2" s="1"/>
  <c r="GA16" i="2"/>
  <c r="FZ17" i="2"/>
  <c r="GA17" i="2" l="1"/>
  <c r="FZ18" i="2"/>
  <c r="GB16" i="2"/>
  <c r="GC16" i="2" s="1"/>
  <c r="GD16" i="2" s="1"/>
  <c r="GA18" i="2" l="1"/>
  <c r="FZ19" i="2"/>
  <c r="GB17" i="2"/>
  <c r="GC17" i="2" s="1"/>
  <c r="GD17" i="2" s="1"/>
  <c r="GA19" i="2" l="1"/>
  <c r="FZ20" i="2"/>
  <c r="GB18" i="2"/>
  <c r="GC18" i="2" s="1"/>
  <c r="GD18" i="2" s="1"/>
  <c r="GA20" i="2" l="1"/>
  <c r="FZ21" i="2"/>
  <c r="GB19" i="2"/>
  <c r="GC19" i="2" s="1"/>
  <c r="GD19" i="2" s="1"/>
  <c r="FZ22" i="2" l="1"/>
  <c r="GA21" i="2"/>
  <c r="GB20" i="2"/>
  <c r="GC20" i="2" s="1"/>
  <c r="GD20" i="2" s="1"/>
  <c r="GB21" i="2" l="1"/>
  <c r="GC21" i="2" s="1"/>
  <c r="GD21" i="2" s="1"/>
  <c r="GA22" i="2"/>
  <c r="FZ23" i="2"/>
  <c r="GB22" i="2" l="1"/>
  <c r="GC22" i="2" s="1"/>
  <c r="GD22" i="2" s="1"/>
  <c r="GA23" i="2"/>
  <c r="FZ24" i="2"/>
  <c r="GA24" i="2" l="1"/>
  <c r="FZ25" i="2"/>
  <c r="GB23" i="2"/>
  <c r="GC23" i="2" s="1"/>
  <c r="GD23" i="2" s="1"/>
  <c r="GA25" i="2" l="1"/>
  <c r="FZ26" i="2"/>
  <c r="GB24" i="2"/>
  <c r="GC24" i="2" s="1"/>
  <c r="GD24" i="2" s="1"/>
  <c r="GA26" i="2" l="1"/>
  <c r="FZ27" i="2"/>
  <c r="GB25" i="2"/>
  <c r="GC25" i="2" s="1"/>
  <c r="GD25" i="2" s="1"/>
  <c r="GA27" i="2" l="1"/>
  <c r="FZ28" i="2"/>
  <c r="GB26" i="2"/>
  <c r="GC26" i="2" s="1"/>
  <c r="GD26" i="2" s="1"/>
  <c r="GA28" i="2" l="1"/>
  <c r="FZ29" i="2"/>
  <c r="GB27" i="2"/>
  <c r="GC27" i="2" s="1"/>
  <c r="GD27" i="2" s="1"/>
  <c r="GA29" i="2" l="1"/>
  <c r="FZ30" i="2"/>
  <c r="GB28" i="2"/>
  <c r="GC28" i="2" s="1"/>
  <c r="GD28" i="2" s="1"/>
  <c r="GA30" i="2" l="1"/>
  <c r="FZ31" i="2"/>
  <c r="GB29" i="2"/>
  <c r="GC29" i="2" s="1"/>
  <c r="GD29" i="2" s="1"/>
  <c r="GA31" i="2" l="1"/>
  <c r="FZ32" i="2"/>
  <c r="GB30" i="2"/>
  <c r="GC30" i="2" s="1"/>
  <c r="GD30" i="2" s="1"/>
  <c r="GA32" i="2" l="1"/>
  <c r="FZ33" i="2"/>
  <c r="GB31" i="2"/>
  <c r="GC31" i="2" s="1"/>
  <c r="GD31" i="2" s="1"/>
  <c r="GA33" i="2" l="1"/>
  <c r="FZ34" i="2"/>
  <c r="GB32" i="2"/>
  <c r="GC32" i="2" s="1"/>
  <c r="GD32" i="2" s="1"/>
  <c r="GA34" i="2" l="1"/>
  <c r="FZ35" i="2"/>
  <c r="GB33" i="2"/>
  <c r="GC33" i="2" s="1"/>
  <c r="GD33" i="2" s="1"/>
  <c r="GF3" i="2" s="1"/>
  <c r="GF37" i="2" l="1"/>
  <c r="GF20" i="2"/>
  <c r="GF184" i="2"/>
  <c r="GF15" i="2"/>
  <c r="GF169" i="2"/>
  <c r="GF177" i="2"/>
  <c r="GF150" i="2"/>
  <c r="GF141" i="2"/>
  <c r="GF100" i="2"/>
  <c r="GF154" i="2"/>
  <c r="GF61" i="2"/>
  <c r="GF87" i="2"/>
  <c r="GF160" i="2"/>
  <c r="GF22" i="2"/>
  <c r="GF195" i="2"/>
  <c r="GF115" i="2"/>
  <c r="GF188" i="2"/>
  <c r="GF10" i="2"/>
  <c r="GF76" i="2"/>
  <c r="GF89" i="2"/>
  <c r="GF77" i="2"/>
  <c r="GF147" i="2"/>
  <c r="GF66" i="2"/>
  <c r="GF149" i="2"/>
  <c r="GF18" i="2"/>
  <c r="GF166" i="2"/>
  <c r="GF168" i="2"/>
  <c r="GF92" i="2"/>
  <c r="GF170" i="2"/>
  <c r="GF105" i="2"/>
  <c r="GF103" i="2"/>
  <c r="GF185" i="2"/>
  <c r="GF38" i="2"/>
  <c r="GF165" i="2"/>
  <c r="GF140" i="2"/>
  <c r="GF113" i="2"/>
  <c r="GF26" i="2"/>
  <c r="GF99" i="2"/>
  <c r="GF146" i="2"/>
  <c r="GF179" i="2"/>
  <c r="GF139" i="2"/>
  <c r="GF101" i="2"/>
  <c r="GF182" i="2"/>
  <c r="GF193" i="2"/>
  <c r="GF173" i="2"/>
  <c r="GF186" i="2"/>
  <c r="GF145" i="2"/>
  <c r="GF119" i="2"/>
  <c r="GF9" i="2"/>
  <c r="GF54" i="2"/>
  <c r="GF192" i="2"/>
  <c r="GF8" i="2"/>
  <c r="GF196" i="2"/>
  <c r="GF42" i="2"/>
  <c r="GF36" i="2"/>
  <c r="GF199" i="2"/>
  <c r="GF6" i="2"/>
  <c r="GF43" i="2"/>
  <c r="GF81" i="2"/>
  <c r="GF96" i="2"/>
  <c r="GF73" i="2"/>
  <c r="GF19" i="2"/>
  <c r="GF176" i="2"/>
  <c r="GF202" i="2"/>
  <c r="GF187" i="2"/>
  <c r="GF135" i="2"/>
  <c r="GF49" i="2"/>
  <c r="GF70" i="2"/>
  <c r="GF13" i="2"/>
  <c r="GF123" i="2"/>
  <c r="GF74" i="2"/>
  <c r="GF58" i="2"/>
  <c r="GF80" i="2"/>
  <c r="GF190" i="2"/>
  <c r="GF137" i="2"/>
  <c r="GF152" i="2"/>
  <c r="GF197" i="2"/>
  <c r="GF82" i="2"/>
  <c r="GF189" i="2"/>
  <c r="GF59" i="2"/>
  <c r="GF53" i="2"/>
  <c r="GF25" i="2"/>
  <c r="GF45" i="2"/>
  <c r="GF151" i="2"/>
  <c r="GF16" i="2"/>
  <c r="GF86" i="2"/>
  <c r="GF40" i="2"/>
  <c r="GF203" i="2"/>
  <c r="GF90" i="2"/>
  <c r="GF161" i="2"/>
  <c r="GF120" i="2"/>
  <c r="GF7" i="2"/>
  <c r="GF32" i="2"/>
  <c r="GF134" i="2"/>
  <c r="GF116" i="2"/>
  <c r="GF171" i="2"/>
  <c r="GF138" i="2"/>
  <c r="GF133" i="2"/>
  <c r="GF148" i="2"/>
  <c r="GF62" i="2"/>
  <c r="GF47" i="2"/>
  <c r="GF128" i="2"/>
  <c r="GF198" i="2"/>
  <c r="GF51" i="2"/>
  <c r="GF85" i="2"/>
  <c r="GF167" i="2"/>
  <c r="GF56" i="2"/>
  <c r="GF102" i="2"/>
  <c r="GF65" i="2"/>
  <c r="GF48" i="2"/>
  <c r="GF106" i="2"/>
  <c r="GF201" i="2"/>
  <c r="GF39" i="2"/>
  <c r="GF23" i="2"/>
  <c r="GF57" i="2"/>
  <c r="GF68" i="2"/>
  <c r="GF14" i="2"/>
  <c r="GF21" i="2"/>
  <c r="GF4" i="2"/>
  <c r="GF121" i="2"/>
  <c r="GF50" i="2"/>
  <c r="GF44" i="2"/>
  <c r="GF125" i="2"/>
  <c r="GF183" i="2"/>
  <c r="GF97" i="2"/>
  <c r="GF118" i="2"/>
  <c r="GF91" i="2"/>
  <c r="GF88" i="2"/>
  <c r="GF122" i="2"/>
  <c r="GF41" i="2"/>
  <c r="GF55" i="2"/>
  <c r="GF108" i="2"/>
  <c r="GF83" i="2"/>
  <c r="GF112" i="2"/>
  <c r="GF64" i="2"/>
  <c r="GF163" i="2"/>
  <c r="GF71" i="2"/>
  <c r="GF46" i="2"/>
  <c r="GF75" i="2"/>
  <c r="GF131" i="2"/>
  <c r="GF194" i="2"/>
  <c r="GF17" i="2"/>
  <c r="GF162" i="2"/>
  <c r="GF104" i="2"/>
  <c r="GF181" i="2"/>
  <c r="GF157" i="2"/>
  <c r="GF130" i="2"/>
  <c r="GF114" i="2"/>
  <c r="GF72" i="2"/>
  <c r="GF33" i="2"/>
  <c r="GF34" i="2"/>
  <c r="GF28" i="2"/>
  <c r="GF126" i="2"/>
  <c r="GF98" i="2"/>
  <c r="GF67" i="2"/>
  <c r="GF93" i="2"/>
  <c r="GF29" i="2"/>
  <c r="GF143" i="2"/>
  <c r="GF5" i="2"/>
  <c r="GF156" i="2"/>
  <c r="GF155" i="2"/>
  <c r="GF117" i="2"/>
  <c r="GF136" i="2"/>
  <c r="GF31" i="2"/>
  <c r="GF79" i="2"/>
  <c r="GF175" i="2"/>
  <c r="GF24" i="2"/>
  <c r="GF124" i="2"/>
  <c r="GF153" i="2"/>
  <c r="GF158" i="2"/>
  <c r="GF191" i="2"/>
  <c r="GF52" i="2"/>
  <c r="GF94" i="2"/>
  <c r="GF84" i="2"/>
  <c r="GF11" i="2"/>
  <c r="GF63" i="2"/>
  <c r="GF12" i="2"/>
  <c r="GF178" i="2"/>
  <c r="GF30" i="2"/>
  <c r="GF200" i="2"/>
  <c r="GF110" i="2"/>
  <c r="GF27" i="2"/>
  <c r="GF144" i="2"/>
  <c r="GF132" i="2"/>
  <c r="GF172" i="2"/>
  <c r="GF129" i="2"/>
  <c r="GF109" i="2"/>
  <c r="GF35" i="2"/>
  <c r="GF107" i="2"/>
  <c r="GF174" i="2"/>
  <c r="GF60" i="2"/>
  <c r="GF111" i="2"/>
  <c r="GF127" i="2"/>
  <c r="GF180" i="2"/>
  <c r="GF95" i="2"/>
  <c r="GF142" i="2"/>
  <c r="GF69" i="2"/>
  <c r="GF159" i="2"/>
  <c r="GF78" i="2"/>
  <c r="GF164" i="2"/>
  <c r="GA35" i="2"/>
  <c r="FZ36" i="2"/>
  <c r="GB34" i="2"/>
  <c r="GC34" i="2" s="1"/>
  <c r="GD34" i="2" s="1"/>
  <c r="GA36" i="2" l="1"/>
  <c r="FZ37" i="2"/>
  <c r="GB35" i="2"/>
  <c r="GC35" i="2" s="1"/>
  <c r="GD35" i="2" s="1"/>
  <c r="GA37" i="2" l="1"/>
  <c r="FZ38" i="2"/>
  <c r="GB36" i="2"/>
  <c r="GC36" i="2" s="1"/>
  <c r="GD36" i="2" s="1"/>
  <c r="GA38" i="2" l="1"/>
  <c r="FZ39" i="2"/>
  <c r="GB37" i="2"/>
  <c r="GC37" i="2" s="1"/>
  <c r="GD37" i="2" s="1"/>
  <c r="GA39" i="2" l="1"/>
  <c r="FZ40" i="2"/>
  <c r="GB38" i="2"/>
  <c r="GC38" i="2" s="1"/>
  <c r="GD38" i="2" s="1"/>
  <c r="GA40" i="2" l="1"/>
  <c r="FZ41" i="2"/>
  <c r="GB39" i="2"/>
  <c r="GC39" i="2" s="1"/>
  <c r="GD39" i="2" s="1"/>
  <c r="GA41" i="2" l="1"/>
  <c r="FZ42" i="2"/>
  <c r="GB40" i="2"/>
  <c r="GC40" i="2" s="1"/>
  <c r="GD40" i="2" s="1"/>
  <c r="GA42" i="2" l="1"/>
  <c r="FZ43" i="2"/>
  <c r="GB41" i="2"/>
  <c r="GC41" i="2" s="1"/>
  <c r="GD41" i="2" s="1"/>
  <c r="GA43" i="2" l="1"/>
  <c r="FZ44" i="2"/>
  <c r="GB42" i="2"/>
  <c r="GC42" i="2" s="1"/>
  <c r="GD42" i="2" s="1"/>
  <c r="GA44" i="2" l="1"/>
  <c r="FZ45" i="2"/>
  <c r="GB43" i="2"/>
  <c r="GC43" i="2" s="1"/>
  <c r="GD43" i="2" s="1"/>
  <c r="GA45" i="2" l="1"/>
  <c r="FZ46" i="2"/>
  <c r="GB44" i="2"/>
  <c r="GC44" i="2" s="1"/>
  <c r="GD44" i="2" s="1"/>
  <c r="GA46" i="2" l="1"/>
  <c r="FZ47" i="2"/>
  <c r="GB45" i="2"/>
  <c r="GC45" i="2" s="1"/>
  <c r="GD45" i="2" s="1"/>
  <c r="GA47" i="2" l="1"/>
  <c r="FZ48" i="2"/>
  <c r="GB46" i="2"/>
  <c r="GC46" i="2" s="1"/>
  <c r="GD46" i="2" s="1"/>
  <c r="GA48" i="2" l="1"/>
  <c r="FZ49" i="2"/>
  <c r="GB47" i="2"/>
  <c r="GC47" i="2" s="1"/>
  <c r="GD47" i="2" s="1"/>
  <c r="GA49" i="2" l="1"/>
  <c r="FZ50" i="2"/>
  <c r="GB48" i="2"/>
  <c r="GC48" i="2" s="1"/>
  <c r="GD48" i="2" s="1"/>
  <c r="GA50" i="2" l="1"/>
  <c r="FZ51" i="2"/>
  <c r="GB49" i="2"/>
  <c r="GC49" i="2" s="1"/>
  <c r="GD49" i="2" s="1"/>
  <c r="GA51" i="2" l="1"/>
  <c r="FZ52" i="2"/>
  <c r="GB50" i="2"/>
  <c r="GC50" i="2" s="1"/>
  <c r="GD50" i="2" s="1"/>
  <c r="GA52" i="2" l="1"/>
  <c r="FZ53" i="2"/>
  <c r="GB51" i="2"/>
  <c r="GC51" i="2" s="1"/>
  <c r="GD51" i="2" s="1"/>
  <c r="GA53" i="2" l="1"/>
  <c r="FZ54" i="2"/>
  <c r="GB52" i="2"/>
  <c r="GC52" i="2" s="1"/>
  <c r="GD52" i="2" s="1"/>
  <c r="GA54" i="2" l="1"/>
  <c r="FZ55" i="2"/>
  <c r="GB53" i="2"/>
  <c r="GC53" i="2" s="1"/>
  <c r="GD53" i="2" s="1"/>
  <c r="GA55" i="2" l="1"/>
  <c r="FZ56" i="2"/>
  <c r="GB54" i="2"/>
  <c r="GC54" i="2" s="1"/>
  <c r="GD54" i="2" s="1"/>
  <c r="GA56" i="2" l="1"/>
  <c r="FZ57" i="2"/>
  <c r="GB55" i="2"/>
  <c r="GC55" i="2" s="1"/>
  <c r="GD55" i="2" s="1"/>
  <c r="GA57" i="2" l="1"/>
  <c r="FZ58" i="2"/>
  <c r="GB56" i="2"/>
  <c r="GC56" i="2" s="1"/>
  <c r="GD56" i="2" s="1"/>
  <c r="GA58" i="2" l="1"/>
  <c r="FZ59" i="2"/>
  <c r="GB57" i="2"/>
  <c r="GC57" i="2" s="1"/>
  <c r="GD57" i="2" s="1"/>
  <c r="GA59" i="2" l="1"/>
  <c r="FZ60" i="2"/>
  <c r="GB58" i="2"/>
  <c r="GC58" i="2" s="1"/>
  <c r="GD58" i="2" s="1"/>
  <c r="GA60" i="2" l="1"/>
  <c r="FZ61" i="2"/>
  <c r="GB59" i="2"/>
  <c r="GC59" i="2" s="1"/>
  <c r="GD59" i="2" s="1"/>
  <c r="GA61" i="2" l="1"/>
  <c r="FZ62" i="2"/>
  <c r="GB60" i="2"/>
  <c r="GC60" i="2" s="1"/>
  <c r="GD60" i="2" s="1"/>
  <c r="GA62" i="2" l="1"/>
  <c r="FZ63" i="2"/>
  <c r="GB61" i="2"/>
  <c r="GC61" i="2" s="1"/>
  <c r="GD61" i="2" s="1"/>
  <c r="GA63" i="2" l="1"/>
  <c r="FZ64" i="2"/>
  <c r="GB62" i="2"/>
  <c r="GC62" i="2" s="1"/>
  <c r="GD62" i="2" s="1"/>
  <c r="GA64" i="2" l="1"/>
  <c r="FZ65" i="2"/>
  <c r="GB63" i="2"/>
  <c r="GC63" i="2" s="1"/>
  <c r="GD63" i="2" s="1"/>
  <c r="GA65" i="2" l="1"/>
  <c r="FZ66" i="2"/>
  <c r="GB64" i="2"/>
  <c r="GC64" i="2" s="1"/>
  <c r="GD64" i="2" s="1"/>
  <c r="GA66" i="2" l="1"/>
  <c r="FZ67" i="2"/>
  <c r="GB65" i="2"/>
  <c r="GC65" i="2" s="1"/>
  <c r="GD65" i="2" s="1"/>
  <c r="GA67" i="2" l="1"/>
  <c r="FZ68" i="2"/>
  <c r="GB66" i="2"/>
  <c r="GC66" i="2" s="1"/>
  <c r="GD66" i="2" s="1"/>
  <c r="GA68" i="2" l="1"/>
  <c r="FZ69" i="2"/>
  <c r="GB67" i="2"/>
  <c r="GC67" i="2" s="1"/>
  <c r="GD67" i="2" s="1"/>
  <c r="GA69" i="2" l="1"/>
  <c r="FZ70" i="2"/>
  <c r="GB68" i="2"/>
  <c r="GC68" i="2" s="1"/>
  <c r="GD68" i="2" s="1"/>
  <c r="GA70" i="2" l="1"/>
  <c r="FZ71" i="2"/>
  <c r="GB69" i="2"/>
  <c r="GC69" i="2" s="1"/>
  <c r="GD69" i="2" s="1"/>
  <c r="GA71" i="2" l="1"/>
  <c r="FZ72" i="2"/>
  <c r="GB70" i="2"/>
  <c r="GC70" i="2" s="1"/>
  <c r="GD70" i="2" s="1"/>
  <c r="GA72" i="2" l="1"/>
  <c r="FZ73" i="2"/>
  <c r="GB71" i="2"/>
  <c r="GC71" i="2" s="1"/>
  <c r="GD71" i="2" s="1"/>
  <c r="GA73" i="2" l="1"/>
  <c r="FZ74" i="2"/>
  <c r="GB72" i="2"/>
  <c r="GC72" i="2" s="1"/>
  <c r="GD72" i="2" s="1"/>
  <c r="GA74" i="2" l="1"/>
  <c r="FZ75" i="2"/>
  <c r="GB73" i="2"/>
  <c r="GC73" i="2" s="1"/>
  <c r="GD73" i="2" s="1"/>
  <c r="GA75" i="2" l="1"/>
  <c r="FZ76" i="2"/>
  <c r="GB74" i="2"/>
  <c r="GC74" i="2" s="1"/>
  <c r="GD74" i="2" s="1"/>
  <c r="GA76" i="2" l="1"/>
  <c r="FZ77" i="2"/>
  <c r="GB75" i="2"/>
  <c r="GC75" i="2" s="1"/>
  <c r="GD75" i="2" s="1"/>
  <c r="GA77" i="2" l="1"/>
  <c r="FZ78" i="2"/>
  <c r="GB76" i="2"/>
  <c r="GC76" i="2" s="1"/>
  <c r="GD76" i="2" s="1"/>
  <c r="GA78" i="2" l="1"/>
  <c r="FZ79" i="2"/>
  <c r="GB77" i="2"/>
  <c r="GC77" i="2" s="1"/>
  <c r="GD77" i="2" s="1"/>
  <c r="GA79" i="2" l="1"/>
  <c r="FZ80" i="2"/>
  <c r="GB78" i="2"/>
  <c r="GC78" i="2" s="1"/>
  <c r="GD78" i="2" s="1"/>
  <c r="GA80" i="2" l="1"/>
  <c r="FZ81" i="2"/>
  <c r="GB79" i="2"/>
  <c r="GC79" i="2" s="1"/>
  <c r="GD79" i="2" s="1"/>
  <c r="GA81" i="2" l="1"/>
  <c r="FZ82" i="2"/>
  <c r="GB80" i="2"/>
  <c r="GC80" i="2" s="1"/>
  <c r="GD80" i="2" s="1"/>
  <c r="GA82" i="2" l="1"/>
  <c r="FZ83" i="2"/>
  <c r="GB81" i="2"/>
  <c r="GC81" i="2" s="1"/>
  <c r="GD81" i="2" s="1"/>
  <c r="GA83" i="2" l="1"/>
  <c r="FZ84" i="2"/>
  <c r="GB82" i="2"/>
  <c r="GC82" i="2" s="1"/>
  <c r="GD82" i="2" s="1"/>
  <c r="GA84" i="2" l="1"/>
  <c r="FZ85" i="2"/>
  <c r="GB83" i="2"/>
  <c r="GC83" i="2" s="1"/>
  <c r="GD83" i="2" s="1"/>
  <c r="GA85" i="2" l="1"/>
  <c r="FZ86" i="2"/>
  <c r="GB84" i="2"/>
  <c r="GC84" i="2" s="1"/>
  <c r="GD84" i="2" s="1"/>
  <c r="GA86" i="2" l="1"/>
  <c r="FZ87" i="2"/>
  <c r="GB85" i="2"/>
  <c r="GC85" i="2" s="1"/>
  <c r="GD85" i="2" s="1"/>
  <c r="GA87" i="2" l="1"/>
  <c r="FZ88" i="2"/>
  <c r="GB86" i="2"/>
  <c r="GC86" i="2" s="1"/>
  <c r="GD86" i="2" s="1"/>
  <c r="GA88" i="2" l="1"/>
  <c r="FZ89" i="2"/>
  <c r="GB87" i="2"/>
  <c r="GC87" i="2" s="1"/>
  <c r="GD87" i="2" s="1"/>
  <c r="GA89" i="2" l="1"/>
  <c r="FZ90" i="2"/>
  <c r="GB88" i="2"/>
  <c r="GC88" i="2" s="1"/>
  <c r="GD88" i="2" s="1"/>
  <c r="GA90" i="2" l="1"/>
  <c r="FZ91" i="2"/>
  <c r="GB89" i="2"/>
  <c r="GC89" i="2" s="1"/>
  <c r="GD89" i="2" s="1"/>
  <c r="GA91" i="2" l="1"/>
  <c r="FZ92" i="2"/>
  <c r="GB90" i="2"/>
  <c r="GC90" i="2" s="1"/>
  <c r="GD90" i="2" s="1"/>
  <c r="GA92" i="2" l="1"/>
  <c r="FZ93" i="2"/>
  <c r="GB91" i="2"/>
  <c r="GC91" i="2" s="1"/>
  <c r="GD91" i="2" s="1"/>
  <c r="GA93" i="2" l="1"/>
  <c r="FZ94" i="2"/>
  <c r="GB92" i="2"/>
  <c r="GC92" i="2" s="1"/>
  <c r="GD92" i="2" s="1"/>
  <c r="GA94" i="2" l="1"/>
  <c r="FZ95" i="2"/>
  <c r="GB93" i="2"/>
  <c r="GC93" i="2" s="1"/>
  <c r="GD93" i="2" s="1"/>
  <c r="GA95" i="2" l="1"/>
  <c r="FZ96" i="2"/>
  <c r="GB94" i="2"/>
  <c r="GC94" i="2" s="1"/>
  <c r="GD94" i="2" s="1"/>
  <c r="GA96" i="2" l="1"/>
  <c r="FZ97" i="2"/>
  <c r="GB95" i="2"/>
  <c r="GC95" i="2" s="1"/>
  <c r="GD95" i="2" s="1"/>
  <c r="GA97" i="2" l="1"/>
  <c r="FZ98" i="2"/>
  <c r="GB96" i="2"/>
  <c r="GC96" i="2" s="1"/>
  <c r="GD96" i="2" s="1"/>
  <c r="GA98" i="2" l="1"/>
  <c r="FZ99" i="2"/>
  <c r="GB97" i="2"/>
  <c r="GC97" i="2" s="1"/>
  <c r="GD97" i="2" s="1"/>
  <c r="GA99" i="2" l="1"/>
  <c r="FZ100" i="2"/>
  <c r="GB98" i="2"/>
  <c r="GC98" i="2" s="1"/>
  <c r="GD98" i="2" s="1"/>
  <c r="FZ101" i="2" l="1"/>
  <c r="GA100" i="2"/>
  <c r="GB99" i="2"/>
  <c r="GC99" i="2" s="1"/>
  <c r="GD99" i="2" s="1"/>
  <c r="GB100" i="2" l="1"/>
  <c r="GC100" i="2" s="1"/>
  <c r="GD100" i="2" s="1"/>
  <c r="GA101" i="2"/>
  <c r="FZ102" i="2"/>
  <c r="GB101" i="2" l="1"/>
  <c r="GC101" i="2" s="1"/>
  <c r="GD101" i="2" s="1"/>
  <c r="GA102" i="2"/>
  <c r="FZ103" i="2"/>
  <c r="GB102" i="2" l="1"/>
  <c r="GC102" i="2" s="1"/>
  <c r="GD102" i="2" s="1"/>
  <c r="GA103" i="2"/>
  <c r="FZ104" i="2"/>
  <c r="GB103" i="2" l="1"/>
  <c r="GC103" i="2"/>
  <c r="GD103" i="2" s="1"/>
  <c r="GA104" i="2"/>
  <c r="FZ105" i="2"/>
  <c r="GA105" i="2" l="1"/>
  <c r="FZ106" i="2"/>
  <c r="GB104" i="2"/>
  <c r="GC104" i="2" s="1"/>
  <c r="GD104" i="2" s="1"/>
  <c r="GA106" i="2" l="1"/>
  <c r="FZ107" i="2"/>
  <c r="GB105" i="2"/>
  <c r="GC105" i="2" s="1"/>
  <c r="GD105" i="2" s="1"/>
  <c r="GA107" i="2" l="1"/>
  <c r="FZ108" i="2"/>
  <c r="GB106" i="2"/>
  <c r="GC106" i="2" s="1"/>
  <c r="GD106" i="2" s="1"/>
  <c r="GA108" i="2" l="1"/>
  <c r="FZ109" i="2"/>
  <c r="GB107" i="2"/>
  <c r="GC107" i="2" s="1"/>
  <c r="GD107" i="2" s="1"/>
  <c r="GA109" i="2" l="1"/>
  <c r="FZ110" i="2"/>
  <c r="GB108" i="2"/>
  <c r="GC108" i="2" s="1"/>
  <c r="GD108" i="2" s="1"/>
  <c r="GA110" i="2" l="1"/>
  <c r="FZ111" i="2"/>
  <c r="GB109" i="2"/>
  <c r="GC109" i="2" s="1"/>
  <c r="GD109" i="2" s="1"/>
  <c r="GA111" i="2" l="1"/>
  <c r="FZ112" i="2"/>
  <c r="GB110" i="2"/>
  <c r="GC110" i="2" s="1"/>
  <c r="GD110" i="2" s="1"/>
  <c r="GA112" i="2" l="1"/>
  <c r="FZ113" i="2"/>
  <c r="GB111" i="2"/>
  <c r="GC111" i="2" s="1"/>
  <c r="GD111" i="2" s="1"/>
  <c r="GA113" i="2" l="1"/>
  <c r="FZ114" i="2"/>
  <c r="GB112" i="2"/>
  <c r="GC112" i="2" s="1"/>
  <c r="GD112" i="2" s="1"/>
  <c r="GA114" i="2" l="1"/>
  <c r="FZ115" i="2"/>
  <c r="GB113" i="2"/>
  <c r="GC113" i="2" s="1"/>
  <c r="GD113" i="2" s="1"/>
  <c r="GA115" i="2" l="1"/>
  <c r="FZ116" i="2"/>
  <c r="GB114" i="2"/>
  <c r="GC114" i="2" s="1"/>
  <c r="GD114" i="2" s="1"/>
  <c r="FZ117" i="2" l="1"/>
  <c r="GA116" i="2"/>
  <c r="GB115" i="2"/>
  <c r="GC115" i="2" s="1"/>
  <c r="GD115" i="2" s="1"/>
  <c r="GB116" i="2" l="1"/>
  <c r="GC116" i="2" s="1"/>
  <c r="GD116" i="2" s="1"/>
  <c r="GA117" i="2"/>
  <c r="FZ118" i="2"/>
  <c r="GB117" i="2" l="1"/>
  <c r="GC117" i="2" s="1"/>
  <c r="GD117" i="2" s="1"/>
  <c r="GA118" i="2"/>
  <c r="FZ119" i="2"/>
  <c r="GB118" i="2" l="1"/>
  <c r="GC118" i="2" s="1"/>
  <c r="GD118" i="2" s="1"/>
  <c r="GA119" i="2"/>
  <c r="FZ120" i="2"/>
  <c r="GB119" i="2" l="1"/>
  <c r="GC119" i="2" s="1"/>
  <c r="GD119" i="2" s="1"/>
  <c r="FZ121" i="2"/>
  <c r="GA120" i="2"/>
  <c r="GB120" i="2" l="1"/>
  <c r="GC120" i="2" s="1"/>
  <c r="GD120" i="2" s="1"/>
  <c r="GA121" i="2"/>
  <c r="FZ122" i="2"/>
  <c r="GA122" i="2" l="1"/>
  <c r="FZ123" i="2"/>
  <c r="GB121" i="2"/>
  <c r="GC121" i="2" s="1"/>
  <c r="GD121" i="2" s="1"/>
  <c r="GA123" i="2" l="1"/>
  <c r="FZ124" i="2"/>
  <c r="GB122" i="2"/>
  <c r="GC122" i="2" s="1"/>
  <c r="GD122" i="2" s="1"/>
  <c r="FZ125" i="2" l="1"/>
  <c r="GA124" i="2"/>
  <c r="GB123" i="2"/>
  <c r="GC123" i="2" s="1"/>
  <c r="GD123" i="2" s="1"/>
  <c r="GB124" i="2" l="1"/>
  <c r="GC124" i="2" s="1"/>
  <c r="GD124" i="2" s="1"/>
  <c r="GA125" i="2"/>
  <c r="FZ126" i="2"/>
  <c r="GA126" i="2" l="1"/>
  <c r="FZ127" i="2"/>
  <c r="GB125" i="2"/>
  <c r="GC125" i="2" s="1"/>
  <c r="GD125" i="2" s="1"/>
  <c r="GA127" i="2" l="1"/>
  <c r="FZ128" i="2"/>
  <c r="GB126" i="2"/>
  <c r="GC126" i="2" s="1"/>
  <c r="GD126" i="2" s="1"/>
  <c r="GA128" i="2" l="1"/>
  <c r="FZ129" i="2"/>
  <c r="GB127" i="2"/>
  <c r="GC127" i="2" s="1"/>
  <c r="GD127" i="2" s="1"/>
  <c r="GA129" i="2" l="1"/>
  <c r="FZ130" i="2"/>
  <c r="GB128" i="2"/>
  <c r="GC128" i="2" s="1"/>
  <c r="GD128" i="2" s="1"/>
  <c r="GA130" i="2" l="1"/>
  <c r="FZ131" i="2"/>
  <c r="GB129" i="2"/>
  <c r="GC129" i="2" s="1"/>
  <c r="GD129" i="2" s="1"/>
  <c r="GA131" i="2" l="1"/>
  <c r="FZ132" i="2"/>
  <c r="GB130" i="2"/>
  <c r="GC130" i="2" s="1"/>
  <c r="GD130" i="2" s="1"/>
  <c r="FZ133" i="2" l="1"/>
  <c r="GA132" i="2"/>
  <c r="GB131" i="2"/>
  <c r="GC131" i="2" s="1"/>
  <c r="GD131" i="2" s="1"/>
  <c r="GB132" i="2" l="1"/>
  <c r="GC132" i="2" s="1"/>
  <c r="GD132" i="2" s="1"/>
  <c r="FZ134" i="2"/>
  <c r="GA133" i="2"/>
  <c r="GB133" i="2" l="1"/>
  <c r="GC133" i="2" s="1"/>
  <c r="GD133" i="2" s="1"/>
  <c r="FZ135" i="2"/>
  <c r="GA134" i="2"/>
  <c r="GA135" i="2" l="1"/>
  <c r="FZ136" i="2"/>
  <c r="GB134" i="2"/>
  <c r="GC134" i="2" s="1"/>
  <c r="GD134" i="2" s="1"/>
  <c r="GA136" i="2" l="1"/>
  <c r="FZ137" i="2"/>
  <c r="GB135" i="2"/>
  <c r="GC135" i="2" s="1"/>
  <c r="GD135" i="2" s="1"/>
  <c r="FZ138" i="2" l="1"/>
  <c r="GA137" i="2"/>
  <c r="GB136" i="2"/>
  <c r="GC136" i="2" s="1"/>
  <c r="GD136" i="2" s="1"/>
  <c r="GB137" i="2" l="1"/>
  <c r="GC137" i="2" s="1"/>
  <c r="GD137" i="2" s="1"/>
  <c r="FZ139" i="2"/>
  <c r="GA138" i="2"/>
  <c r="FZ140" i="2" l="1"/>
  <c r="GA139" i="2"/>
  <c r="GB138" i="2"/>
  <c r="GC138" i="2" s="1"/>
  <c r="GD138" i="2" s="1"/>
  <c r="GB139" i="2" l="1"/>
  <c r="GC139" i="2" s="1"/>
  <c r="GD139" i="2" s="1"/>
  <c r="FZ141" i="2"/>
  <c r="GA140" i="2"/>
  <c r="FZ142" i="2" l="1"/>
  <c r="GA141" i="2"/>
  <c r="GB140" i="2"/>
  <c r="GC140" i="2" s="1"/>
  <c r="GD140" i="2" s="1"/>
  <c r="GB141" i="2" l="1"/>
  <c r="GC141" i="2" s="1"/>
  <c r="GD141" i="2" s="1"/>
  <c r="FZ143" i="2"/>
  <c r="GA142" i="2"/>
  <c r="GB142" i="2" l="1"/>
  <c r="GC142" i="2" s="1"/>
  <c r="GD142" i="2" s="1"/>
  <c r="GA143" i="2"/>
  <c r="FZ144" i="2"/>
  <c r="GA144" i="2" l="1"/>
  <c r="FZ145" i="2"/>
  <c r="GB143" i="2"/>
  <c r="GC143" i="2" s="1"/>
  <c r="GD143" i="2" s="1"/>
  <c r="GA145" i="2" l="1"/>
  <c r="FZ146" i="2"/>
  <c r="GB144" i="2"/>
  <c r="GC144" i="2" s="1"/>
  <c r="GD144" i="2" s="1"/>
  <c r="GA146" i="2" l="1"/>
  <c r="FZ147" i="2"/>
  <c r="GB145" i="2"/>
  <c r="GC145" i="2" s="1"/>
  <c r="GD145" i="2" s="1"/>
  <c r="FZ148" i="2" l="1"/>
  <c r="GA147" i="2"/>
  <c r="GB146" i="2"/>
  <c r="GC146" i="2" s="1"/>
  <c r="GD146" i="2" s="1"/>
  <c r="GB147" i="2" l="1"/>
  <c r="GC147" i="2" s="1"/>
  <c r="GD147" i="2" s="1"/>
  <c r="FZ149" i="2"/>
  <c r="GA148" i="2"/>
  <c r="GB148" i="2" l="1"/>
  <c r="GC148" i="2" s="1"/>
  <c r="GD148" i="2" s="1"/>
  <c r="GA149" i="2"/>
  <c r="FZ150" i="2"/>
  <c r="FZ151" i="2" l="1"/>
  <c r="GA150" i="2"/>
  <c r="GB149" i="2"/>
  <c r="GC149" i="2" s="1"/>
  <c r="GD149" i="2" s="1"/>
  <c r="GB150" i="2" l="1"/>
  <c r="GC150" i="2" s="1"/>
  <c r="GD150" i="2" s="1"/>
  <c r="FZ152" i="2"/>
  <c r="GA151" i="2"/>
  <c r="GA152" i="2" l="1"/>
  <c r="FZ153" i="2"/>
  <c r="GB151" i="2"/>
  <c r="GC151" i="2" s="1"/>
  <c r="GD151" i="2" s="1"/>
  <c r="FZ154" i="2" l="1"/>
  <c r="GA153" i="2"/>
  <c r="GB152" i="2"/>
  <c r="GC152" i="2" s="1"/>
  <c r="GD152" i="2" s="1"/>
  <c r="GB153" i="2" l="1"/>
  <c r="GC153" i="2" s="1"/>
  <c r="GD153" i="2" s="1"/>
  <c r="GA154" i="2"/>
  <c r="FZ155" i="2"/>
  <c r="FZ156" i="2" l="1"/>
  <c r="GA155" i="2"/>
  <c r="GB154" i="2"/>
  <c r="GC154" i="2" s="1"/>
  <c r="GD154" i="2" s="1"/>
  <c r="GB155" i="2" l="1"/>
  <c r="GC155" i="2" s="1"/>
  <c r="GD155" i="2" s="1"/>
  <c r="FZ157" i="2"/>
  <c r="GA156" i="2"/>
  <c r="GB156" i="2" l="1"/>
  <c r="GC156" i="2" s="1"/>
  <c r="GD156" i="2" s="1"/>
  <c r="FZ158" i="2"/>
  <c r="GA157" i="2"/>
  <c r="FZ159" i="2" l="1"/>
  <c r="GA158" i="2"/>
  <c r="GB157" i="2"/>
  <c r="GC157" i="2" s="1"/>
  <c r="GD157" i="2" s="1"/>
  <c r="GB158" i="2" l="1"/>
  <c r="GC158" i="2" s="1"/>
  <c r="GD158" i="2" s="1"/>
  <c r="FZ160" i="2"/>
  <c r="GA159" i="2"/>
  <c r="GB159" i="2" l="1"/>
  <c r="GC159" i="2" s="1"/>
  <c r="GD159" i="2" s="1"/>
  <c r="GA160" i="2"/>
  <c r="FZ161" i="2"/>
  <c r="FZ162" i="2" l="1"/>
  <c r="GA161" i="2"/>
  <c r="GB160" i="2"/>
  <c r="GC160" i="2" s="1"/>
  <c r="GD160" i="2" s="1"/>
  <c r="GB161" i="2" l="1"/>
  <c r="GC161" i="2" s="1"/>
  <c r="GD161" i="2" s="1"/>
  <c r="GA162" i="2"/>
  <c r="FZ163" i="2"/>
  <c r="FZ164" i="2" l="1"/>
  <c r="GA163" i="2"/>
  <c r="GB162" i="2"/>
  <c r="GC162" i="2" s="1"/>
  <c r="GD162" i="2" s="1"/>
  <c r="GB163" i="2" l="1"/>
  <c r="GC163" i="2" s="1"/>
  <c r="GD163" i="2" s="1"/>
  <c r="FZ165" i="2"/>
  <c r="GA164" i="2"/>
  <c r="GA165" i="2" l="1"/>
  <c r="FZ166" i="2"/>
  <c r="GB164" i="2"/>
  <c r="GC164" i="2" s="1"/>
  <c r="GD164" i="2" s="1"/>
  <c r="FZ167" i="2" l="1"/>
  <c r="GA166" i="2"/>
  <c r="GB165" i="2"/>
  <c r="GC165" i="2" s="1"/>
  <c r="GD165" i="2" s="1"/>
  <c r="GB166" i="2" l="1"/>
  <c r="GC166" i="2" s="1"/>
  <c r="GD166" i="2" s="1"/>
  <c r="FZ168" i="2"/>
  <c r="GA167" i="2"/>
  <c r="GB167" i="2" l="1"/>
  <c r="GC167" i="2" s="1"/>
  <c r="GD167" i="2" s="1"/>
  <c r="GA168" i="2"/>
  <c r="FZ169" i="2"/>
  <c r="GB168" i="2" l="1"/>
  <c r="GC168" i="2" s="1"/>
  <c r="GD168" i="2" s="1"/>
  <c r="GA169" i="2"/>
  <c r="FZ170" i="2"/>
  <c r="GB169" i="2" l="1"/>
  <c r="GC169" i="2" s="1"/>
  <c r="GD169" i="2" s="1"/>
  <c r="GA170" i="2"/>
  <c r="FZ171" i="2"/>
  <c r="FZ172" i="2" l="1"/>
  <c r="GA171" i="2"/>
  <c r="GB170" i="2"/>
  <c r="GC170" i="2" s="1"/>
  <c r="GD170" i="2" s="1"/>
  <c r="GB171" i="2" l="1"/>
  <c r="GC171" i="2" s="1"/>
  <c r="GD171" i="2" s="1"/>
  <c r="FZ173" i="2"/>
  <c r="GA172" i="2"/>
  <c r="GA173" i="2" l="1"/>
  <c r="FZ174" i="2"/>
  <c r="GB172" i="2"/>
  <c r="GC172" i="2" s="1"/>
  <c r="GD172" i="2" s="1"/>
  <c r="FZ175" i="2" l="1"/>
  <c r="GA174" i="2"/>
  <c r="GB173" i="2"/>
  <c r="GC173" i="2" s="1"/>
  <c r="GD173" i="2" s="1"/>
  <c r="GB174" i="2" l="1"/>
  <c r="GC174" i="2" s="1"/>
  <c r="GD174" i="2" s="1"/>
  <c r="FZ176" i="2"/>
  <c r="GA175" i="2"/>
  <c r="GA176" i="2" l="1"/>
  <c r="FZ177" i="2"/>
  <c r="GB175" i="2"/>
  <c r="GC175" i="2" s="1"/>
  <c r="GD175" i="2" s="1"/>
  <c r="FZ178" i="2" l="1"/>
  <c r="GA177" i="2"/>
  <c r="GB176" i="2"/>
  <c r="GC176" i="2" s="1"/>
  <c r="GD176" i="2" s="1"/>
  <c r="GB177" i="2" l="1"/>
  <c r="GC177" i="2" s="1"/>
  <c r="GD177" i="2" s="1"/>
  <c r="GA178" i="2"/>
  <c r="FZ179" i="2"/>
  <c r="FZ180" i="2" l="1"/>
  <c r="GA179" i="2"/>
  <c r="GB178" i="2"/>
  <c r="GC178" i="2" s="1"/>
  <c r="GD178" i="2" s="1"/>
  <c r="GB179" i="2" l="1"/>
  <c r="GC179" i="2" s="1"/>
  <c r="GD179" i="2" s="1"/>
  <c r="FZ181" i="2"/>
  <c r="GA180" i="2"/>
  <c r="GB180" i="2" l="1"/>
  <c r="GC180" i="2" s="1"/>
  <c r="GD180" i="2" s="1"/>
  <c r="GA181" i="2"/>
  <c r="FZ182" i="2"/>
  <c r="FZ183" i="2" l="1"/>
  <c r="GA182" i="2"/>
  <c r="GB181" i="2"/>
  <c r="GC181" i="2" s="1"/>
  <c r="GD181" i="2" s="1"/>
  <c r="GB182" i="2" l="1"/>
  <c r="GC182" i="2" s="1"/>
  <c r="GD182" i="2" s="1"/>
  <c r="FZ184" i="2"/>
  <c r="GA183" i="2"/>
  <c r="GB183" i="2" l="1"/>
  <c r="GC183" i="2" s="1"/>
  <c r="GD183" i="2" s="1"/>
  <c r="GA184" i="2"/>
  <c r="FZ185" i="2"/>
  <c r="GB184" i="2" l="1"/>
  <c r="GC184" i="2" s="1"/>
  <c r="GD184" i="2" s="1"/>
  <c r="GA185" i="2"/>
  <c r="FZ186" i="2"/>
  <c r="GB185" i="2" l="1"/>
  <c r="GC185" i="2" s="1"/>
  <c r="GD185" i="2" s="1"/>
  <c r="GA186" i="2"/>
  <c r="FZ187" i="2"/>
  <c r="GB186" i="2" l="1"/>
  <c r="GC186" i="2" s="1"/>
  <c r="GD186" i="2" s="1"/>
  <c r="FZ188" i="2"/>
  <c r="GA187" i="2"/>
  <c r="GB187" i="2" l="1"/>
  <c r="GC187" i="2" s="1"/>
  <c r="GD187" i="2" s="1"/>
  <c r="FZ189" i="2"/>
  <c r="GA188" i="2"/>
  <c r="GB188" i="2" l="1"/>
  <c r="GC188" i="2" s="1"/>
  <c r="GD188" i="2" s="1"/>
  <c r="FZ190" i="2"/>
  <c r="GA189" i="2"/>
  <c r="GB189" i="2" l="1"/>
  <c r="GC189" i="2" s="1"/>
  <c r="GD189" i="2" s="1"/>
  <c r="FZ191" i="2"/>
  <c r="GA190" i="2"/>
  <c r="FZ192" i="2" l="1"/>
  <c r="GA191" i="2"/>
  <c r="GB190" i="2"/>
  <c r="GC190" i="2" s="1"/>
  <c r="GD190" i="2" s="1"/>
  <c r="GB191" i="2" l="1"/>
  <c r="GC191" i="2" s="1"/>
  <c r="GD191" i="2" s="1"/>
  <c r="GA192" i="2"/>
  <c r="FZ193" i="2"/>
  <c r="GB192" i="2" l="1"/>
  <c r="GC192" i="2" s="1"/>
  <c r="GD192" i="2" s="1"/>
  <c r="FZ194" i="2"/>
  <c r="GA193" i="2"/>
  <c r="GA194" i="2" l="1"/>
  <c r="FZ195" i="2"/>
  <c r="GB193" i="2"/>
  <c r="GC193" i="2" s="1"/>
  <c r="GD193" i="2" s="1"/>
  <c r="FZ196" i="2" l="1"/>
  <c r="GA195" i="2"/>
  <c r="GB194" i="2"/>
  <c r="GC194" i="2" s="1"/>
  <c r="GD194" i="2" s="1"/>
  <c r="GB195" i="2" l="1"/>
  <c r="GC195" i="2" s="1"/>
  <c r="GD195" i="2" s="1"/>
  <c r="FZ197" i="2"/>
  <c r="GA196" i="2"/>
  <c r="FZ198" i="2" l="1"/>
  <c r="GA197" i="2"/>
  <c r="GB196" i="2"/>
  <c r="GC196" i="2" s="1"/>
  <c r="GD196" i="2" s="1"/>
  <c r="GB197" i="2" l="1"/>
  <c r="GC197" i="2" s="1"/>
  <c r="GD197" i="2" s="1"/>
  <c r="FZ199" i="2"/>
  <c r="GA198" i="2"/>
  <c r="GA199" i="2" l="1"/>
  <c r="FZ200" i="2"/>
  <c r="GB198" i="2"/>
  <c r="GC198" i="2" s="1"/>
  <c r="GD198" i="2" s="1"/>
  <c r="FZ201" i="2" l="1"/>
  <c r="GA200" i="2"/>
  <c r="GB199" i="2"/>
  <c r="GC199" i="2" s="1"/>
  <c r="GD199" i="2" s="1"/>
  <c r="GB200" i="2" l="1"/>
  <c r="GC200" i="2" s="1"/>
  <c r="GD200" i="2" s="1"/>
  <c r="FZ202" i="2"/>
  <c r="GA201" i="2"/>
  <c r="GA202" i="2" l="1"/>
  <c r="FZ203" i="2"/>
  <c r="GA203" i="2" s="1"/>
  <c r="GB201" i="2"/>
  <c r="GC201" i="2" s="1"/>
  <c r="GD201" i="2" s="1"/>
  <c r="GB203" i="2" l="1"/>
  <c r="GC203" i="2" s="1"/>
  <c r="GD203" i="2" s="1"/>
  <c r="GB202" i="2"/>
  <c r="GC202" i="2" s="1"/>
  <c r="GD202" i="2" s="1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<sst xmlns="http://schemas.openxmlformats.org/spreadsheetml/2006/main" count="1175" uniqueCount="324">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</sst>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207.79830222105878</c:v>
                </c:pt>
                <c:pt idx="22">
                  <c:v>233.04610621025813</c:v>
                </c:pt>
                <c:pt idx="23">
                  <c:v>258.2314337725993</c:v>
                </c:pt>
                <c:pt idx="24">
                  <c:v>283.36123337871362</c:v>
                </c:pt>
                <c:pt idx="25">
                  <c:v>308.44111949657554</c:v>
                </c:pt>
                <c:pt idx="26">
                  <c:v>333.47571872180373</c:v>
                </c:pt>
                <c:pt idx="27">
                  <c:v>358.46890629665114</c:v>
                </c:pt>
                <c:pt idx="28">
                  <c:v>383.42397311131054</c:v>
                </c:pt>
                <c:pt idx="29">
                  <c:v>408.34374690780311</c:v>
                </c:pt>
                <c:pt idx="30">
                  <c:v>433.2306823305874</c:v>
                </c:pt>
                <c:pt idx="31">
                  <c:v>290.66553097703115</c:v>
                </c:pt>
                <c:pt idx="32">
                  <c:v>312.18040027213084</c:v>
                </c:pt>
                <c:pt idx="33">
                  <c:v>333.66238399485127</c:v>
                </c:pt>
                <c:pt idx="34">
                  <c:v>355.11389600890448</c:v>
                </c:pt>
                <c:pt idx="35">
                  <c:v>376.53703482084643</c:v>
                </c:pt>
                <c:pt idx="36">
                  <c:v>397.93364074958509</c:v>
                </c:pt>
                <c:pt idx="37">
                  <c:v>419.30534015273292</c:v>
                </c:pt>
                <c:pt idx="38">
                  <c:v>440.65358016358806</c:v>
                </c:pt>
                <c:pt idx="39">
                  <c:v>461.9796563449915</c:v>
                </c:pt>
                <c:pt idx="40">
                  <c:v>483.28473497109502</c:v>
                </c:pt>
                <c:pt idx="41">
                  <c:v>350.26654178094645</c:v>
                </c:pt>
                <c:pt idx="42">
                  <c:v>367.78479630486146</c:v>
                </c:pt>
                <c:pt idx="43">
                  <c:v>385.28484395959777</c:v>
                </c:pt>
                <c:pt idx="44">
                  <c:v>402.76762782233146</c:v>
                </c:pt>
                <c:pt idx="45">
                  <c:v>420.23400244347687</c:v>
                </c:pt>
                <c:pt idx="46">
                  <c:v>437.68474556682287</c:v>
                </c:pt>
                <c:pt idx="47">
                  <c:v>455.12056788314362</c:v>
                </c:pt>
                <c:pt idx="48">
                  <c:v>472.54212121143911</c:v>
                </c:pt>
                <c:pt idx="49">
                  <c:v>489.95000541105492</c:v>
                </c:pt>
                <c:pt idx="50">
                  <c:v>507.34477426054764</c:v>
                </c:pt>
                <c:pt idx="51">
                  <c:v>392.72638504489879</c:v>
                </c:pt>
                <c:pt idx="52">
                  <c:v>406.11349808426439</c:v>
                </c:pt>
                <c:pt idx="53">
                  <c:v>419.49107615312863</c:v>
                </c:pt>
                <c:pt idx="54">
                  <c:v>432.85946614650538</c:v>
                </c:pt>
                <c:pt idx="55">
                  <c:v>446.21899178570385</c:v>
                </c:pt>
                <c:pt idx="56">
                  <c:v>459.56995582844667</c:v>
                </c:pt>
                <c:pt idx="57">
                  <c:v>472.9126420088009</c:v>
                </c:pt>
                <c:pt idx="58">
                  <c:v>486.24731674679327</c:v>
                </c:pt>
                <c:pt idx="59">
                  <c:v>499.57423066075063</c:v>
                </c:pt>
                <c:pt idx="60">
                  <c:v>512.89361990988994</c:v>
                </c:pt>
                <c:pt idx="61">
                  <c:v>421.34833884363485</c:v>
                </c:pt>
                <c:pt idx="62">
                  <c:v>431.74577653680234</c:v>
                </c:pt>
                <c:pt idx="63">
                  <c:v>442.1378364455864</c:v>
                </c:pt>
                <c:pt idx="64">
                  <c:v>452.5246628164245</c:v>
                </c:pt>
                <c:pt idx="65">
                  <c:v>462.90639273248468</c:v>
                </c:pt>
                <c:pt idx="66">
                  <c:v>473.28315662550813</c:v>
                </c:pt>
                <c:pt idx="67">
                  <c:v>483.65507874042174</c:v>
                </c:pt>
                <c:pt idx="68">
                  <c:v>494.02227755801908</c:v>
                </c:pt>
                <c:pt idx="69">
                  <c:v>504.38486618031328</c:v>
                </c:pt>
                <c:pt idx="70">
                  <c:v>514.74295268257481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2.1820279828780054</c:v>
                </c:pt>
                <c:pt idx="2">
                  <c:v>2.7489287958390509</c:v>
                </c:pt>
                <c:pt idx="3">
                  <c:v>3.4636936546704455</c:v>
                </c:pt>
                <c:pt idx="4">
                  <c:v>4.3650326800554504</c:v>
                </c:pt>
                <c:pt idx="5">
                  <c:v>5.5018251647390555</c:v>
                </c:pt>
                <c:pt idx="6">
                  <c:v>6.9357995812068935</c:v>
                </c:pt>
                <c:pt idx="7">
                  <c:v>8.7449219687578292</c:v>
                </c:pt>
                <c:pt idx="8">
                  <c:v>11.027680444407844</c:v>
                </c:pt>
                <c:pt idx="9">
                  <c:v>13.908503463014158</c:v>
                </c:pt>
                <c:pt idx="10">
                  <c:v>17.544612615119544</c:v>
                </c:pt>
                <c:pt idx="11">
                  <c:v>36.331036561408958</c:v>
                </c:pt>
                <c:pt idx="12">
                  <c:v>54.840007625050731</c:v>
                </c:pt>
                <c:pt idx="13">
                  <c:v>73.182288487787176</c:v>
                </c:pt>
                <c:pt idx="14">
                  <c:v>91.40622373102336</c:v>
                </c:pt>
                <c:pt idx="15">
                  <c:v>109.53891756394223</c:v>
                </c:pt>
                <c:pt idx="16">
                  <c:v>127.59766496907207</c:v>
                </c:pt>
                <c:pt idx="17">
                  <c:v>145.59443058119251</c:v>
                </c:pt>
                <c:pt idx="18">
                  <c:v>163.5379655741686</c:v>
                </c:pt>
                <c:pt idx="19">
                  <c:v>181.43493765298726</c:v>
                </c:pt>
                <c:pt idx="20">
                  <c:v>199.29058865200216</c:v>
                </c:pt>
                <c:pt idx="21">
                  <c:v>122.75914555397303</c:v>
                </c:pt>
                <c:pt idx="22">
                  <c:v>143.987243321303</c:v>
                </c:pt>
                <c:pt idx="23">
                  <c:v>165.14031756750202</c:v>
                </c:pt>
                <c:pt idx="24">
                  <c:v>186.22934307037499</c:v>
                </c:pt>
                <c:pt idx="25">
                  <c:v>207.26259803384178</c:v>
                </c:pt>
                <c:pt idx="26">
                  <c:v>228.24653971138068</c:v>
                </c:pt>
                <c:pt idx="27">
                  <c:v>249.18633943133077</c:v>
                </c:pt>
                <c:pt idx="28">
                  <c:v>270.08622765058908</c:v>
                </c:pt>
                <c:pt idx="29">
                  <c:v>290.94972629449177</c:v>
                </c:pt>
                <c:pt idx="30">
                  <c:v>311.77981081702825</c:v>
                </c:pt>
                <c:pt idx="31">
                  <c:v>228.39109794958097</c:v>
                </c:pt>
                <c:pt idx="32">
                  <c:v>245.86761689093177</c:v>
                </c:pt>
                <c:pt idx="33">
                  <c:v>263.31592501165994</c:v>
                </c:pt>
                <c:pt idx="34">
                  <c:v>280.73815459645294</c:v>
                </c:pt>
                <c:pt idx="35">
                  <c:v>298.13615159385171</c:v>
                </c:pt>
                <c:pt idx="36">
                  <c:v>315.51152888688659</c:v>
                </c:pt>
                <c:pt idx="37">
                  <c:v>332.86570720430353</c:v>
                </c:pt>
                <c:pt idx="38">
                  <c:v>350.1999470478529</c:v>
                </c:pt>
                <c:pt idx="39">
                  <c:v>367.51537396448816</c:v>
                </c:pt>
                <c:pt idx="40">
                  <c:v>384.81299880518822</c:v>
                </c:pt>
                <c:pt idx="41">
                  <c:v>297.70507599289084</c:v>
                </c:pt>
                <c:pt idx="42">
                  <c:v>310.91850478314001</c:v>
                </c:pt>
                <c:pt idx="43">
                  <c:v>324.1194742654539</c:v>
                </c:pt>
                <c:pt idx="44">
                  <c:v>337.30856346736851</c:v>
                </c:pt>
                <c:pt idx="45">
                  <c:v>350.48630242966345</c:v>
                </c:pt>
                <c:pt idx="46">
                  <c:v>363.65317807573314</c:v>
                </c:pt>
                <c:pt idx="47">
                  <c:v>376.80963918625883</c:v>
                </c:pt>
                <c:pt idx="48">
                  <c:v>389.95610064267242</c:v>
                </c:pt>
                <c:pt idx="49">
                  <c:v>403.09294706842178</c:v>
                </c:pt>
                <c:pt idx="50">
                  <c:v>416.22053597073187</c:v>
                </c:pt>
                <c:pt idx="51">
                  <c:v>364.51152094505261</c:v>
                </c:pt>
                <c:pt idx="52">
                  <c:v>374.23634836554851</c:v>
                </c:pt>
                <c:pt idx="53">
                  <c:v>383.95567048788757</c:v>
                </c:pt>
                <c:pt idx="54">
                  <c:v>393.66964638244093</c:v>
                </c:pt>
                <c:pt idx="55">
                  <c:v>403.37842662539168</c:v>
                </c:pt>
                <c:pt idx="56">
                  <c:v>413.08215395025701</c:v>
                </c:pt>
                <c:pt idx="57">
                  <c:v>422.78096383498195</c:v>
                </c:pt>
                <c:pt idx="58">
                  <c:v>432.47498503233845</c:v>
                </c:pt>
                <c:pt idx="59">
                  <c:v>442.16434005027787</c:v>
                </c:pt>
                <c:pt idx="60">
                  <c:v>451.84914558797823</c:v>
                </c:pt>
                <c:pt idx="61">
                  <c:v>416.07789334479304</c:v>
                </c:pt>
                <c:pt idx="62">
                  <c:v>423.06614984150383</c:v>
                </c:pt>
                <c:pt idx="63">
                  <c:v>430.05192187030821</c:v>
                </c:pt>
                <c:pt idx="64">
                  <c:v>437.03525550874696</c:v>
                </c:pt>
                <c:pt idx="65">
                  <c:v>444.01619524073664</c:v>
                </c:pt>
                <c:pt idx="66">
                  <c:v>450.99478403642752</c:v>
                </c:pt>
                <c:pt idx="67">
                  <c:v>457.97106342685856</c:v>
                </c:pt>
                <c:pt idx="68">
                  <c:v>464.94507357382457</c:v>
                </c:pt>
                <c:pt idx="69">
                  <c:v>471.91685333533269</c:v>
                </c:pt>
                <c:pt idx="70">
                  <c:v>478.88644032698608</c:v>
                </c:pt>
                <c:pt idx="71">
                  <c:v>447.43457068363909</c:v>
                </c:pt>
                <c:pt idx="72">
                  <c:v>452.98824059157351</c:v>
                </c:pt>
                <c:pt idx="73">
                  <c:v>458.54045490538175</c:v>
                </c:pt>
                <c:pt idx="74">
                  <c:v>464.09123375012194</c:v>
                </c:pt>
                <c:pt idx="75">
                  <c:v>469.64059672980551</c:v>
                </c:pt>
                <c:pt idx="76">
                  <c:v>475.18856294702186</c:v>
                </c:pt>
                <c:pt idx="77">
                  <c:v>480.73515102159814</c:v>
                </c:pt>
                <c:pt idx="78">
                  <c:v>486.28037910835252</c:v>
                </c:pt>
                <c:pt idx="79">
                  <c:v>491.82426491399656</c:v>
                </c:pt>
                <c:pt idx="80">
                  <c:v>497.36682571323246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2.5190532665630827</c:v>
                </c:pt>
                <c:pt idx="2">
                  <c:v>3.1687081667398167</c:v>
                </c:pt>
                <c:pt idx="3">
                  <c:v>3.9865614601985349</c:v>
                </c:pt>
                <c:pt idx="4">
                  <c:v>5.0163202361113051</c:v>
                </c:pt>
                <c:pt idx="5">
                  <c:v>6.3130879223073455</c:v>
                </c:pt>
                <c:pt idx="6">
                  <c:v>7.9463452208055463</c:v>
                </c:pt>
                <c:pt idx="7">
                  <c:v>10.003713038446195</c:v>
                </c:pt>
                <c:pt idx="8">
                  <c:v>12.59570310211417</c:v>
                </c:pt>
                <c:pt idx="9">
                  <c:v>15.86171618218548</c:v>
                </c:pt>
                <c:pt idx="10">
                  <c:v>19.977616413303661</c:v>
                </c:pt>
                <c:pt idx="11">
                  <c:v>25.165296892949996</c:v>
                </c:pt>
                <c:pt idx="12">
                  <c:v>31.704761356540562</c:v>
                </c:pt>
                <c:pt idx="13">
                  <c:v>39.949385347859533</c:v>
                </c:pt>
                <c:pt idx="14">
                  <c:v>50.34519561281224</c:v>
                </c:pt>
                <c:pt idx="15">
                  <c:v>63.455228171043764</c:v>
                </c:pt>
                <c:pt idx="16">
                  <c:v>79.990305975915703</c:v>
                </c:pt>
                <c:pt idx="17">
                  <c:v>100.84793184155241</c:v>
                </c:pt>
                <c:pt idx="18">
                  <c:v>127.16144112014972</c:v>
                </c:pt>
                <c:pt idx="19">
                  <c:v>160.36212642057541</c:v>
                </c:pt>
                <c:pt idx="20">
                  <c:v>202.25776507632233</c:v>
                </c:pt>
                <c:pt idx="21">
                  <c:v>174.22927696087757</c:v>
                </c:pt>
                <c:pt idx="22">
                  <c:v>191.80061564080484</c:v>
                </c:pt>
                <c:pt idx="23">
                  <c:v>209.3344847569399</c:v>
                </c:pt>
                <c:pt idx="24">
                  <c:v>226.83446508061613</c:v>
                </c:pt>
                <c:pt idx="25">
                  <c:v>244.30353923844885</c:v>
                </c:pt>
                <c:pt idx="26">
                  <c:v>261.74422819048431</c:v>
                </c:pt>
                <c:pt idx="27">
                  <c:v>279.15868935410384</c:v>
                </c:pt>
                <c:pt idx="28">
                  <c:v>296.54878892259609</c:v>
                </c:pt>
                <c:pt idx="29">
                  <c:v>313.91615631143918</c:v>
                </c:pt>
                <c:pt idx="30">
                  <c:v>331.26222591378041</c:v>
                </c:pt>
                <c:pt idx="31">
                  <c:v>285.34825454721073</c:v>
                </c:pt>
                <c:pt idx="32">
                  <c:v>304.56723069319679</c:v>
                </c:pt>
                <c:pt idx="33">
                  <c:v>323.75924405165364</c:v>
                </c:pt>
                <c:pt idx="34">
                  <c:v>342.92611721533939</c:v>
                </c:pt>
                <c:pt idx="35">
                  <c:v>362.06945244173676</c:v>
                </c:pt>
                <c:pt idx="36">
                  <c:v>381.19066877305704</c:v>
                </c:pt>
                <c:pt idx="37">
                  <c:v>400.29103131634889</c:v>
                </c:pt>
                <c:pt idx="38">
                  <c:v>419.3716746420655</c:v>
                </c:pt>
                <c:pt idx="39">
                  <c:v>438.43362170168365</c:v>
                </c:pt>
                <c:pt idx="40">
                  <c:v>457.47779928386626</c:v>
                </c:pt>
                <c:pt idx="41">
                  <c:v>374.54223769767958</c:v>
                </c:pt>
                <c:pt idx="42">
                  <c:v>392.81938482304872</c:v>
                </c:pt>
                <c:pt idx="43">
                  <c:v>411.07809777850667</c:v>
                </c:pt>
                <c:pt idx="44">
                  <c:v>429.3193102010203</c:v>
                </c:pt>
                <c:pt idx="45">
                  <c:v>447.54386995067097</c:v>
                </c:pt>
                <c:pt idx="46">
                  <c:v>465.75255023516047</c:v>
                </c:pt>
                <c:pt idx="47">
                  <c:v>483.94605890429256</c:v>
                </c:pt>
                <c:pt idx="48">
                  <c:v>502.12504627431434</c:v>
                </c:pt>
                <c:pt idx="49">
                  <c:v>520.29011176051074</c:v>
                </c:pt>
                <c:pt idx="50">
                  <c:v>538.44180953565865</c:v>
                </c:pt>
                <c:pt idx="51">
                  <c:v>437.10815848543353</c:v>
                </c:pt>
                <c:pt idx="52">
                  <c:v>453.17366886059966</c:v>
                </c:pt>
                <c:pt idx="53">
                  <c:v>469.22700746867486</c:v>
                </c:pt>
                <c:pt idx="54">
                  <c:v>485.26864921222455</c:v>
                </c:pt>
                <c:pt idx="55">
                  <c:v>501.29903504753059</c:v>
                </c:pt>
                <c:pt idx="56">
                  <c:v>517.31857544145475</c:v>
                </c:pt>
                <c:pt idx="57">
                  <c:v>533.32765337796297</c:v>
                </c:pt>
                <c:pt idx="58">
                  <c:v>549.32662698500246</c:v>
                </c:pt>
                <c:pt idx="59">
                  <c:v>565.31583183955229</c:v>
                </c:pt>
                <c:pt idx="60">
                  <c:v>581.29558299844416</c:v>
                </c:pt>
                <c:pt idx="61">
                  <c:v>477.49732710594367</c:v>
                </c:pt>
                <c:pt idx="62">
                  <c:v>492.54153399430999</c:v>
                </c:pt>
                <c:pt idx="63">
                  <c:v>507.57600167435936</c:v>
                </c:pt>
                <c:pt idx="64">
                  <c:v>522.6010591481828</c:v>
                </c:pt>
                <c:pt idx="65">
                  <c:v>537.61701496454418</c:v>
                </c:pt>
                <c:pt idx="66">
                  <c:v>552.62415903802355</c:v>
                </c:pt>
                <c:pt idx="67">
                  <c:v>567.622764260351</c:v>
                </c:pt>
                <c:pt idx="68">
                  <c:v>582.61308793264345</c:v>
                </c:pt>
                <c:pt idx="69">
                  <c:v>597.59537304263813</c:v>
                </c:pt>
                <c:pt idx="70">
                  <c:v>612.56984940724203</c:v>
                </c:pt>
                <c:pt idx="71">
                  <c:v>512.86059483221413</c:v>
                </c:pt>
                <c:pt idx="72">
                  <c:v>526.89224796595829</c:v>
                </c:pt>
                <c:pt idx="73">
                  <c:v>540.91603412545055</c:v>
                </c:pt>
                <c:pt idx="74">
                  <c:v>554.9321859329973</c:v>
                </c:pt>
                <c:pt idx="75">
                  <c:v>568.94092330618594</c:v>
                </c:pt>
                <c:pt idx="76">
                  <c:v>582.94245445400566</c:v>
                </c:pt>
                <c:pt idx="77">
                  <c:v>596.93697677232785</c:v>
                </c:pt>
                <c:pt idx="78">
                  <c:v>610.92467765108358</c:v>
                </c:pt>
                <c:pt idx="79">
                  <c:v>624.90573520370583</c:v>
                </c:pt>
                <c:pt idx="80">
                  <c:v>638.88031892793185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3.0295791840646493</c:v>
                </c:pt>
                <c:pt idx="2">
                  <c:v>3.725679628308781</c:v>
                </c:pt>
                <c:pt idx="3">
                  <c:v>4.5823279764895188</c:v>
                </c:pt>
                <c:pt idx="4">
                  <c:v>5.6366846031435918</c:v>
                </c:pt>
                <c:pt idx="5">
                  <c:v>6.9345395434073795</c:v>
                </c:pt>
                <c:pt idx="6">
                  <c:v>8.5323226929264795</c:v>
                </c:pt>
                <c:pt idx="7">
                  <c:v>10.499583588970779</c:v>
                </c:pt>
                <c:pt idx="8">
                  <c:v>12.922050750342303</c:v>
                </c:pt>
                <c:pt idx="9">
                  <c:v>15.905406371467258</c:v>
                </c:pt>
                <c:pt idx="10">
                  <c:v>19.579944057664719</c:v>
                </c:pt>
                <c:pt idx="11">
                  <c:v>24.106316685632123</c:v>
                </c:pt>
                <c:pt idx="12">
                  <c:v>29.682630145368211</c:v>
                </c:pt>
                <c:pt idx="13">
                  <c:v>36.553198854731285</c:v>
                </c:pt>
                <c:pt idx="14">
                  <c:v>45.01935324011523</c:v>
                </c:pt>
                <c:pt idx="15">
                  <c:v>55.452781189967119</c:v>
                </c:pt>
                <c:pt idx="16">
                  <c:v>68.311998946117441</c:v>
                </c:pt>
                <c:pt idx="17">
                  <c:v>84.162687112704418</c:v>
                </c:pt>
                <c:pt idx="18">
                  <c:v>103.70280075437397</c:v>
                </c:pt>
                <c:pt idx="19">
                  <c:v>127.7935767402505</c:v>
                </c:pt>
                <c:pt idx="20">
                  <c:v>157.49782623325171</c:v>
                </c:pt>
                <c:pt idx="21">
                  <c:v>162.12162451471718</c:v>
                </c:pt>
                <c:pt idx="22">
                  <c:v>179.32906184156093</c:v>
                </c:pt>
                <c:pt idx="23">
                  <c:v>196.49780948344778</c:v>
                </c:pt>
                <c:pt idx="24">
                  <c:v>213.63172478455712</c:v>
                </c:pt>
                <c:pt idx="25">
                  <c:v>230.73399509870117</c:v>
                </c:pt>
                <c:pt idx="26">
                  <c:v>247.80729629340476</c:v>
                </c:pt>
                <c:pt idx="27">
                  <c:v>264.85390518195561</c:v>
                </c:pt>
                <c:pt idx="28">
                  <c:v>281.87578144105805</c:v>
                </c:pt>
                <c:pt idx="29">
                  <c:v>298.87462867673611</c:v>
                </c:pt>
                <c:pt idx="30">
                  <c:v>315.85194085471193</c:v>
                </c:pt>
                <c:pt idx="31">
                  <c:v>222.3951985046227</c:v>
                </c:pt>
                <c:pt idx="32">
                  <c:v>245.3104821888318</c:v>
                </c:pt>
                <c:pt idx="33">
                  <c:v>268.17713242968824</c:v>
                </c:pt>
                <c:pt idx="34">
                  <c:v>290.99987776518356</c:v>
                </c:pt>
                <c:pt idx="35">
                  <c:v>313.78264418987732</c:v>
                </c:pt>
                <c:pt idx="36">
                  <c:v>336.52874099475525</c:v>
                </c:pt>
                <c:pt idx="37">
                  <c:v>359.24099365648948</c:v>
                </c:pt>
                <c:pt idx="38">
                  <c:v>381.9218413257197</c:v>
                </c:pt>
                <c:pt idx="39">
                  <c:v>404.57340992986127</c:v>
                </c:pt>
                <c:pt idx="40">
                  <c:v>427.19756804132595</c:v>
                </c:pt>
                <c:pt idx="41">
                  <c:v>334.87565222100699</c:v>
                </c:pt>
                <c:pt idx="42">
                  <c:v>358.00297390539248</c:v>
                </c:pt>
                <c:pt idx="43">
                  <c:v>381.09760826078087</c:v>
                </c:pt>
                <c:pt idx="44">
                  <c:v>404.16181319978574</c:v>
                </c:pt>
                <c:pt idx="45">
                  <c:v>427.19756804132584</c:v>
                </c:pt>
                <c:pt idx="46">
                  <c:v>450.20662136139305</c:v>
                </c:pt>
                <c:pt idx="47">
                  <c:v>473.1905285504651</c:v>
                </c:pt>
                <c:pt idx="48">
                  <c:v>496.15068169403884</c:v>
                </c:pt>
                <c:pt idx="49">
                  <c:v>519.0883336350588</c:v>
                </c:pt>
                <c:pt idx="50">
                  <c:v>542.00461756313393</c:v>
                </c:pt>
                <c:pt idx="51">
                  <c:v>447.33189509390405</c:v>
                </c:pt>
                <c:pt idx="52">
                  <c:v>467.44683052626738</c:v>
                </c:pt>
                <c:pt idx="53">
                  <c:v>487.54332562003589</c:v>
                </c:pt>
                <c:pt idx="54">
                  <c:v>507.62224688986066</c:v>
                </c:pt>
                <c:pt idx="55">
                  <c:v>527.68438675921141</c:v>
                </c:pt>
                <c:pt idx="56">
                  <c:v>547.73047252876825</c:v>
                </c:pt>
                <c:pt idx="57">
                  <c:v>567.76117396419647</c:v>
                </c:pt>
                <c:pt idx="58">
                  <c:v>587.77710975800085</c:v>
                </c:pt>
                <c:pt idx="59">
                  <c:v>607.77885306593191</c:v>
                </c:pt>
                <c:pt idx="60">
                  <c:v>627.76693627716747</c:v>
                </c:pt>
                <c:pt idx="61">
                  <c:v>530.75368845480523</c:v>
                </c:pt>
                <c:pt idx="62">
                  <c:v>548.13941394784206</c:v>
                </c:pt>
                <c:pt idx="63">
                  <c:v>565.51357660641634</c:v>
                </c:pt>
                <c:pt idx="64">
                  <c:v>582.87658146020169</c:v>
                </c:pt>
                <c:pt idx="65">
                  <c:v>600.22880745733244</c:v>
                </c:pt>
                <c:pt idx="66">
                  <c:v>617.57060986476927</c:v>
                </c:pt>
                <c:pt idx="67">
                  <c:v>634.9023223852007</c:v>
                </c:pt>
                <c:pt idx="68">
                  <c:v>652.22425903092574</c:v>
                </c:pt>
                <c:pt idx="69">
                  <c:v>669.53671578846297</c:v>
                </c:pt>
                <c:pt idx="70">
                  <c:v>686.83997210216705</c:v>
                </c:pt>
                <c:pt idx="71">
                  <c:v>587.77710975800085</c:v>
                </c:pt>
                <c:pt idx="72">
                  <c:v>602.88174976331322</c:v>
                </c:pt>
                <c:pt idx="73">
                  <c:v>617.97852950926324</c:v>
                </c:pt>
                <c:pt idx="74">
                  <c:v>633.06766795518104</c:v>
                </c:pt>
                <c:pt idx="75">
                  <c:v>648.14937277791114</c:v>
                </c:pt>
                <c:pt idx="76">
                  <c:v>663.22384120759318</c:v>
                </c:pt>
                <c:pt idx="77">
                  <c:v>678.29126078355807</c:v>
                </c:pt>
                <c:pt idx="78">
                  <c:v>693.35181003961054</c:v>
                </c:pt>
                <c:pt idx="79">
                  <c:v>708.40565912671661</c:v>
                </c:pt>
                <c:pt idx="80">
                  <c:v>723.45297038005344</c:v>
                </c:pt>
                <c:pt idx="81">
                  <c:v>622.87313112483434</c:v>
                </c:pt>
                <c:pt idx="82">
                  <c:v>636.32920005228732</c:v>
                </c:pt>
                <c:pt idx="83">
                  <c:v>649.77939049111694</c:v>
                </c:pt>
                <c:pt idx="84">
                  <c:v>663.22384120759318</c:v>
                </c:pt>
                <c:pt idx="85">
                  <c:v>676.66268488632613</c:v>
                </c:pt>
                <c:pt idx="86">
                  <c:v>690.09604851480833</c:v>
                </c:pt>
                <c:pt idx="87">
                  <c:v>703.52405373647377</c:v>
                </c:pt>
                <c:pt idx="88">
                  <c:v>716.94681717542096</c:v>
                </c:pt>
                <c:pt idx="89">
                  <c:v>730.36445073556968</c:v>
                </c:pt>
                <c:pt idx="90">
                  <c:v>743.77706187670583</c:v>
                </c:pt>
                <c:pt idx="91">
                  <c:v>641.83225318617008</c:v>
                </c:pt>
                <c:pt idx="92">
                  <c:v>653.85406638827351</c:v>
                </c:pt>
                <c:pt idx="93">
                  <c:v>665.87132552880109</c:v>
                </c:pt>
                <c:pt idx="94">
                  <c:v>677.88412434483746</c:v>
                </c:pt>
                <c:pt idx="95">
                  <c:v>689.89255298185071</c:v>
                </c:pt>
                <c:pt idx="96">
                  <c:v>701.89669819273661</c:v>
                </c:pt>
                <c:pt idx="97">
                  <c:v>713.89664352255022</c:v>
                </c:pt>
                <c:pt idx="98">
                  <c:v>725.89246948017433</c:v>
                </c:pt>
                <c:pt idx="99">
                  <c:v>737.88425369805861</c:v>
                </c:pt>
                <c:pt idx="100">
                  <c:v>749.87207108104474</c:v>
                </c:pt>
                <c:pt idx="101">
                  <c:v>648.5568851247009</c:v>
                </c:pt>
                <c:pt idx="102">
                  <c:v>659.15036331603949</c:v>
                </c:pt>
                <c:pt idx="103">
                  <c:v>669.7403364609894</c:v>
                </c:pt>
                <c:pt idx="104">
                  <c:v>680.32686777604408</c:v>
                </c:pt>
                <c:pt idx="105">
                  <c:v>690.91001835052691</c:v>
                </c:pt>
                <c:pt idx="106">
                  <c:v>701.48984725034472</c:v>
                </c:pt>
                <c:pt idx="107">
                  <c:v>712.06641161515643</c:v>
                </c:pt>
                <c:pt idx="108">
                  <c:v>722.63976674947287</c:v>
                </c:pt>
                <c:pt idx="109">
                  <c:v>733.20996620815129</c:v>
                </c:pt>
                <c:pt idx="110">
                  <c:v>743.77706187670503</c:v>
                </c:pt>
                <c:pt idx="111">
                  <c:v>649.16814374322701</c:v>
                </c:pt>
                <c:pt idx="112">
                  <c:v>658.33560563795118</c:v>
                </c:pt>
                <c:pt idx="113">
                  <c:v>667.50043896177965</c:v>
                </c:pt>
                <c:pt idx="114">
                  <c:v>676.66268488632568</c:v>
                </c:pt>
                <c:pt idx="115">
                  <c:v>685.8223833775661</c:v>
                </c:pt>
                <c:pt idx="116">
                  <c:v>694.97957324712013</c:v>
                </c:pt>
                <c:pt idx="117">
                  <c:v>704.1342922006861</c:v>
                </c:pt>
                <c:pt idx="118">
                  <c:v>713.28657688382839</c:v>
                </c:pt>
                <c:pt idx="119">
                  <c:v>722.4364629252932</c:v>
                </c:pt>
                <c:pt idx="120">
                  <c:v>731.58398497801784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3.3586560307508679</c:v>
                </c:pt>
                <c:pt idx="2">
                  <c:v>4.1306410061423255</c:v>
                </c:pt>
                <c:pt idx="3">
                  <c:v>5.0807351927460944</c:v>
                </c:pt>
                <c:pt idx="4">
                  <c:v>6.2501765565144138</c:v>
                </c:pt>
                <c:pt idx="5">
                  <c:v>7.6897824265263219</c:v>
                </c:pt>
                <c:pt idx="6">
                  <c:v>9.4621815158002143</c:v>
                </c:pt>
                <c:pt idx="7">
                  <c:v>11.644567468377296</c:v>
                </c:pt>
                <c:pt idx="8">
                  <c:v>14.332096103316941</c:v>
                </c:pt>
                <c:pt idx="9">
                  <c:v>17.642077212259725</c:v>
                </c:pt>
                <c:pt idx="10">
                  <c:v>21.719147203029511</c:v>
                </c:pt>
                <c:pt idx="11">
                  <c:v>26.741652658615525</c:v>
                </c:pt>
                <c:pt idx="12">
                  <c:v>32.929528965829938</c:v>
                </c:pt>
                <c:pt idx="13">
                  <c:v>40.55402499266151</c:v>
                </c:pt>
                <c:pt idx="14">
                  <c:v>49.949707364108086</c:v>
                </c:pt>
                <c:pt idx="15">
                  <c:v>61.52927991988566</c:v>
                </c:pt>
                <c:pt idx="16">
                  <c:v>75.801880029428006</c:v>
                </c:pt>
                <c:pt idx="17">
                  <c:v>93.39566927233308</c:v>
                </c:pt>
                <c:pt idx="18">
                  <c:v>115.08572859234651</c:v>
                </c:pt>
                <c:pt idx="19">
                  <c:v>141.82850608908612</c:v>
                </c:pt>
                <c:pt idx="20">
                  <c:v>174.8043598694039</c:v>
                </c:pt>
                <c:pt idx="21">
                  <c:v>179.93756030525932</c:v>
                </c:pt>
                <c:pt idx="22">
                  <c:v>199.04102959808708</c:v>
                </c:pt>
                <c:pt idx="23">
                  <c:v>218.10197382914802</c:v>
                </c:pt>
                <c:pt idx="24">
                  <c:v>237.12463272796364</c:v>
                </c:pt>
                <c:pt idx="25">
                  <c:v>256.11250961635932</c:v>
                </c:pt>
                <c:pt idx="26">
                  <c:v>275.06854562533431</c:v>
                </c:pt>
                <c:pt idx="27">
                  <c:v>293.99524327269938</c:v>
                </c:pt>
                <c:pt idx="28">
                  <c:v>312.894756501372</c:v>
                </c:pt>
                <c:pt idx="29">
                  <c:v>331.76895779885058</c:v>
                </c:pt>
                <c:pt idx="30">
                  <c:v>350.61948923031787</c:v>
                </c:pt>
                <c:pt idx="31">
                  <c:v>246.85427908940071</c:v>
                </c:pt>
                <c:pt idx="32">
                  <c:v>272.29637963914485</c:v>
                </c:pt>
                <c:pt idx="33">
                  <c:v>297.6850256263923</c:v>
                </c:pt>
                <c:pt idx="34">
                  <c:v>323.02541433745813</c:v>
                </c:pt>
                <c:pt idx="35">
                  <c:v>348.32186095767747</c:v>
                </c:pt>
                <c:pt idx="36">
                  <c:v>373.57800283389633</c:v>
                </c:pt>
                <c:pt idx="37">
                  <c:v>398.79694553728069</c:v>
                </c:pt>
                <c:pt idx="38">
                  <c:v>423.98137001578152</c:v>
                </c:pt>
                <c:pt idx="39">
                  <c:v>449.13361294375403</c:v>
                </c:pt>
                <c:pt idx="40">
                  <c:v>474.2557281284935</c:v>
                </c:pt>
                <c:pt idx="41">
                  <c:v>371.74248159061835</c:v>
                </c:pt>
                <c:pt idx="42">
                  <c:v>397.42227955689009</c:v>
                </c:pt>
                <c:pt idx="43">
                  <c:v>423.06614984150383</c:v>
                </c:pt>
                <c:pt idx="44">
                  <c:v>448.67657418793851</c:v>
                </c:pt>
                <c:pt idx="45">
                  <c:v>474.25572812849327</c:v>
                </c:pt>
                <c:pt idx="46">
                  <c:v>499.80553357858707</c:v>
                </c:pt>
                <c:pt idx="47">
                  <c:v>525.3277001173027</c:v>
                </c:pt>
                <c:pt idx="48">
                  <c:v>550.82375783003147</c:v>
                </c:pt>
                <c:pt idx="49">
                  <c:v>576.29508375625198</c:v>
                </c:pt>
                <c:pt idx="50">
                  <c:v>601.74292342066076</c:v>
                </c:pt>
                <c:pt idx="51">
                  <c:v>496.61335261438325</c:v>
                </c:pt>
                <c:pt idx="52">
                  <c:v>518.94966315449369</c:v>
                </c:pt>
                <c:pt idx="53">
                  <c:v>541.26570533267216</c:v>
                </c:pt>
                <c:pt idx="54">
                  <c:v>563.56243156269738</c:v>
                </c:pt>
                <c:pt idx="55">
                  <c:v>585.84071282237755</c:v>
                </c:pt>
                <c:pt idx="56">
                  <c:v>608.10134851099394</c:v>
                </c:pt>
                <c:pt idx="57">
                  <c:v>630.3450747892648</c:v>
                </c:pt>
                <c:pt idx="58">
                  <c:v>652.57257168177659</c:v>
                </c:pt>
                <c:pt idx="59">
                  <c:v>674.78446916222094</c:v>
                </c:pt>
                <c:pt idx="60">
                  <c:v>696.98135239645615</c:v>
                </c:pt>
                <c:pt idx="61">
                  <c:v>589.24907767799414</c:v>
                </c:pt>
                <c:pt idx="62">
                  <c:v>608.55546873013759</c:v>
                </c:pt>
                <c:pt idx="63">
                  <c:v>627.84915070361444</c:v>
                </c:pt>
                <c:pt idx="64">
                  <c:v>647.1305687794046</c:v>
                </c:pt>
                <c:pt idx="65">
                  <c:v>666.40013947144041</c:v>
                </c:pt>
                <c:pt idx="66">
                  <c:v>685.6582532649245</c:v>
                </c:pt>
                <c:pt idx="67">
                  <c:v>704.90527694308173</c:v>
                </c:pt>
                <c:pt idx="68">
                  <c:v>724.14155564680505</c:v>
                </c:pt>
                <c:pt idx="69">
                  <c:v>743.36741470427978</c:v>
                </c:pt>
                <c:pt idx="70">
                  <c:v>762.58316126167267</c:v>
                </c:pt>
                <c:pt idx="71">
                  <c:v>652.57257168177659</c:v>
                </c:pt>
                <c:pt idx="72">
                  <c:v>669.34623078085167</c:v>
                </c:pt>
                <c:pt idx="73">
                  <c:v>686.11125041916955</c:v>
                </c:pt>
                <c:pt idx="74">
                  <c:v>702.86787126188608</c:v>
                </c:pt>
                <c:pt idx="75">
                  <c:v>719.61632157321708</c:v>
                </c:pt>
                <c:pt idx="76">
                  <c:v>736.35681813507574</c:v>
                </c:pt>
                <c:pt idx="77">
                  <c:v>753.08956707789741</c:v>
                </c:pt>
                <c:pt idx="78">
                  <c:v>769.81476463385764</c:v>
                </c:pt>
                <c:pt idx="79">
                  <c:v>786.53259782128953</c:v>
                </c:pt>
                <c:pt idx="80">
                  <c:v>803.2432450679421</c:v>
                </c:pt>
                <c:pt idx="81">
                  <c:v>691.54673911683574</c:v>
                </c:pt>
                <c:pt idx="82">
                  <c:v>706.48984251569482</c:v>
                </c:pt>
                <c:pt idx="83">
                  <c:v>721.42648468096968</c:v>
                </c:pt>
                <c:pt idx="84">
                  <c:v>736.35681813507574</c:v>
                </c:pt>
                <c:pt idx="85">
                  <c:v>751.28098871588327</c:v>
                </c:pt>
                <c:pt idx="86">
                  <c:v>766.19913599937854</c:v>
                </c:pt>
                <c:pt idx="87">
                  <c:v>781.11139368772456</c:v>
                </c:pt>
                <c:pt idx="88">
                  <c:v>796.01788996617279</c:v>
                </c:pt>
                <c:pt idx="89">
                  <c:v>810.91874783187575</c:v>
                </c:pt>
                <c:pt idx="90">
                  <c:v>825.81408539729807</c:v>
                </c:pt>
                <c:pt idx="91">
                  <c:v>712.60105917771614</c:v>
                </c:pt>
                <c:pt idx="92">
                  <c:v>725.95148754575155</c:v>
                </c:pt>
                <c:pt idx="93">
                  <c:v>739.29691040004263</c:v>
                </c:pt>
                <c:pt idx="94">
                  <c:v>752.6374307699972</c:v>
                </c:pt>
                <c:pt idx="95">
                  <c:v>765.97314773736252</c:v>
                </c:pt>
                <c:pt idx="96">
                  <c:v>779.30415665500288</c:v>
                </c:pt>
                <c:pt idx="97">
                  <c:v>792.63054934994159</c:v>
                </c:pt>
                <c:pt idx="98">
                  <c:v>805.95241431204886</c:v>
                </c:pt>
                <c:pt idx="99">
                  <c:v>819.26983686961739</c:v>
                </c:pt>
                <c:pt idx="100">
                  <c:v>832.58289935293715</c:v>
                </c:pt>
                <c:pt idx="101">
                  <c:v>720.0688710536175</c:v>
                </c:pt>
                <c:pt idx="102">
                  <c:v>731.83313203630826</c:v>
                </c:pt>
                <c:pt idx="103">
                  <c:v>743.59354051117077</c:v>
                </c:pt>
                <c:pt idx="104">
                  <c:v>755.35016596146079</c:v>
                </c:pt>
                <c:pt idx="105">
                  <c:v>767.10307553239488</c:v>
                </c:pt>
                <c:pt idx="106">
                  <c:v>778.852334145187</c:v>
                </c:pt>
                <c:pt idx="107">
                  <c:v>790.59800460385122</c:v>
                </c:pt>
                <c:pt idx="108">
                  <c:v>802.34014769533258</c:v>
                </c:pt>
                <c:pt idx="109">
                  <c:v>814.07882228347592</c:v>
                </c:pt>
                <c:pt idx="110">
                  <c:v>825.81408539729716</c:v>
                </c:pt>
                <c:pt idx="111">
                  <c:v>720.74768439099</c:v>
                </c:pt>
                <c:pt idx="112">
                  <c:v>730.92832656071676</c:v>
                </c:pt>
                <c:pt idx="113">
                  <c:v>741.10607958467165</c:v>
                </c:pt>
                <c:pt idx="114">
                  <c:v>751.2809887158827</c:v>
                </c:pt>
                <c:pt idx="115">
                  <c:v>761.45309788222482</c:v>
                </c:pt>
                <c:pt idx="116">
                  <c:v>771.62244974278201</c:v>
                </c:pt>
                <c:pt idx="117">
                  <c:v>781.7890857410847</c:v>
                </c:pt>
                <c:pt idx="118">
                  <c:v>791.95304615543637</c:v>
                </c:pt>
                <c:pt idx="119">
                  <c:v>802.11437014652449</c:v>
                </c:pt>
                <c:pt idx="120">
                  <c:v>812.27309580249312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O37" sqref="O37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14.38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0.46</v>
      </c>
      <c r="D9" s="33">
        <f t="shared" ref="D9:D18" si="0">C9*$C$5</f>
        <v>6.6148000000000007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13</v>
      </c>
      <c r="C10" s="32">
        <v>0.21</v>
      </c>
      <c r="D10" s="33">
        <f t="shared" si="0"/>
        <v>3.0198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50</v>
      </c>
      <c r="C11" s="32">
        <v>0.17</v>
      </c>
      <c r="D11" s="33">
        <f t="shared" si="0"/>
        <v>2.4446000000000003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29</v>
      </c>
      <c r="C12" s="32">
        <v>0.05</v>
      </c>
      <c r="D12" s="33">
        <f t="shared" si="0"/>
        <v>0.71900000000000008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22</v>
      </c>
      <c r="C13" s="32">
        <v>0.05</v>
      </c>
      <c r="D13" s="33">
        <f t="shared" si="0"/>
        <v>0.71900000000000008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</v>
      </c>
      <c r="C14" s="32">
        <v>0.03</v>
      </c>
      <c r="D14" s="33">
        <f t="shared" si="0"/>
        <v>0.43140000000000001</v>
      </c>
      <c r="E14" s="34">
        <v>120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52</v>
      </c>
      <c r="C15" s="32">
        <v>0.03</v>
      </c>
      <c r="D15" s="33">
        <f t="shared" si="0"/>
        <v>0.43140000000000001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1.0000000000000002</v>
      </c>
      <c r="D19" s="38">
        <f>SUM(D9:D18)</f>
        <v>14.379999999999999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f>67+6</f>
        <v>73</v>
      </c>
      <c r="C36" s="60">
        <v>1</v>
      </c>
      <c r="D36" s="60">
        <v>6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f>93+28+28</f>
        <v>149</v>
      </c>
      <c r="C37" s="60">
        <v>2</v>
      </c>
      <c r="D37" s="60">
        <f>28+28</f>
        <v>56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8.1999999999999993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f>147+28+28</f>
        <v>203</v>
      </c>
      <c r="C38" s="60">
        <v>3</v>
      </c>
      <c r="D38" s="60">
        <f>28+28</f>
        <v>56</v>
      </c>
      <c r="E38" s="51"/>
      <c r="F38" s="51"/>
      <c r="G38" s="51"/>
      <c r="H38" s="51"/>
      <c r="I38" s="53">
        <f t="shared" si="1"/>
        <v>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f>203+28+28</f>
        <v>259</v>
      </c>
      <c r="C39" s="60">
        <v>4</v>
      </c>
      <c r="D39" s="60">
        <f>28+28</f>
        <v>56</v>
      </c>
      <c r="E39" s="51"/>
      <c r="F39" s="51"/>
      <c r="G39" s="51"/>
      <c r="H39" s="51"/>
      <c r="I39" s="49">
        <f t="shared" si="1"/>
        <v>11.2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f>245+28+28</f>
        <v>301</v>
      </c>
      <c r="C40" s="60">
        <v>5</v>
      </c>
      <c r="D40" s="60">
        <f t="shared" ref="D40:D43" si="2">28+28</f>
        <v>56</v>
      </c>
      <c r="E40" s="51"/>
      <c r="F40" s="51"/>
      <c r="G40" s="51"/>
      <c r="H40" s="51"/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f>274+28+28</f>
        <v>330</v>
      </c>
      <c r="C41" s="60">
        <v>6</v>
      </c>
      <c r="D41" s="60">
        <f t="shared" si="2"/>
        <v>56</v>
      </c>
      <c r="E41" s="51"/>
      <c r="F41" s="51"/>
      <c r="G41" s="51"/>
      <c r="H41" s="51"/>
      <c r="I41" s="53">
        <f t="shared" si="1"/>
        <v>8.5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292+28+28</f>
        <v>348</v>
      </c>
      <c r="C42" s="60">
        <v>7</v>
      </c>
      <c r="D42" s="60">
        <f t="shared" si="2"/>
        <v>56</v>
      </c>
      <c r="E42" s="51"/>
      <c r="F42" s="51"/>
      <c r="G42" s="51"/>
      <c r="H42" s="51"/>
      <c r="I42" s="53">
        <f t="shared" si="1"/>
        <v>7.4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f>302+28+28</f>
        <v>358</v>
      </c>
      <c r="C43" s="60">
        <v>8</v>
      </c>
      <c r="D43" s="60">
        <f t="shared" si="2"/>
        <v>56</v>
      </c>
      <c r="E43" s="51"/>
      <c r="F43" s="51"/>
      <c r="G43" s="51"/>
      <c r="H43" s="51"/>
      <c r="I43" s="49">
        <f t="shared" si="1"/>
        <v>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f>306+28+27</f>
        <v>361</v>
      </c>
      <c r="C44" s="60">
        <v>9</v>
      </c>
      <c r="D44" s="60">
        <f>28+27</f>
        <v>55</v>
      </c>
      <c r="E44" s="51"/>
      <c r="F44" s="51"/>
      <c r="G44" s="51"/>
      <c r="H44" s="51"/>
      <c r="I44" s="49">
        <f t="shared" si="1"/>
        <v>5.9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f>307+26+25</f>
        <v>358</v>
      </c>
      <c r="C45" s="60">
        <v>10</v>
      </c>
      <c r="D45" s="60">
        <f>26+25</f>
        <v>51</v>
      </c>
      <c r="E45" s="51"/>
      <c r="F45" s="51"/>
      <c r="G45" s="51"/>
      <c r="H45" s="51"/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f>305+24+23</f>
        <v>352</v>
      </c>
      <c r="C46" s="60">
        <v>11</v>
      </c>
      <c r="D46" s="60">
        <f>B46</f>
        <v>352</v>
      </c>
      <c r="E46" s="51"/>
      <c r="F46" s="51"/>
      <c r="G46" s="51"/>
      <c r="H46" s="51"/>
      <c r="I46" s="49">
        <f t="shared" si="1"/>
        <v>4.5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15</v>
      </c>
      <c r="B62" s="60">
        <v>87</v>
      </c>
      <c r="C62" s="60">
        <v>1</v>
      </c>
      <c r="D62" s="60">
        <v>21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5.8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137</v>
      </c>
      <c r="C63" s="60">
        <v>2</v>
      </c>
      <c r="D63" s="60">
        <v>43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14.2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228</v>
      </c>
      <c r="C64" s="60">
        <v>3</v>
      </c>
      <c r="D64" s="60">
        <v>88</v>
      </c>
      <c r="E64" s="51">
        <v>0.2</v>
      </c>
      <c r="F64" s="51">
        <v>0.4</v>
      </c>
      <c r="G64" s="51">
        <v>0.4</v>
      </c>
      <c r="H64" s="51"/>
      <c r="I64" s="49">
        <f>IF(A64&lt;&gt;0,(B64-(B63-D63))/(A64-A63),"")</f>
        <v>13.4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255</v>
      </c>
      <c r="C65" s="60">
        <v>4</v>
      </c>
      <c r="D65" s="60">
        <v>81</v>
      </c>
      <c r="E65" s="51"/>
      <c r="F65" s="51"/>
      <c r="G65" s="51"/>
      <c r="H65" s="51"/>
      <c r="I65" s="49">
        <f>IF(A65&lt;&gt;0,(B65-(B64-D64))/(A65-A64),"")</f>
        <v>11.5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268</v>
      </c>
      <c r="C66" s="60">
        <v>5</v>
      </c>
      <c r="D66" s="60">
        <v>69</v>
      </c>
      <c r="E66" s="51"/>
      <c r="F66" s="51"/>
      <c r="G66" s="51"/>
      <c r="H66" s="51"/>
      <c r="I66" s="49">
        <f t="shared" ref="I66:I81" si="3">IF(A66&lt;&gt;0,(B66-(B65-D65))/(A66-A65),"")</f>
        <v>9.4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271</v>
      </c>
      <c r="C67" s="60">
        <v>6</v>
      </c>
      <c r="D67" s="60">
        <v>55</v>
      </c>
      <c r="E67" s="51"/>
      <c r="F67" s="51"/>
      <c r="G67" s="51"/>
      <c r="H67" s="51"/>
      <c r="I67" s="49">
        <f t="shared" si="3"/>
        <v>7.2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272</v>
      </c>
      <c r="C68" s="60">
        <v>7</v>
      </c>
      <c r="D68" s="60">
        <v>272</v>
      </c>
      <c r="E68" s="51"/>
      <c r="F68" s="51"/>
      <c r="G68" s="51"/>
      <c r="H68" s="51"/>
      <c r="I68" s="49">
        <f t="shared" si="3"/>
        <v>5.6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3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3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3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3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Tilleul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11</v>
      </c>
      <c r="C88" s="60">
        <v>1</v>
      </c>
      <c r="D88" s="60">
        <v>0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20</v>
      </c>
      <c r="B89" s="60">
        <v>134</v>
      </c>
      <c r="C89" s="60">
        <v>2</v>
      </c>
      <c r="D89" s="60">
        <f>32+35</f>
        <v>67</v>
      </c>
      <c r="E89" s="51"/>
      <c r="F89" s="51">
        <v>0.25</v>
      </c>
      <c r="G89" s="51">
        <v>0.25</v>
      </c>
      <c r="H89" s="87">
        <v>0.5</v>
      </c>
      <c r="I89" s="53">
        <f t="shared" ref="I89:I107" si="4">IF(A89&lt;&gt;0,(B89-(B88-D88))/(A89-A88),"")</f>
        <v>12.3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30</v>
      </c>
      <c r="B90" s="60">
        <v>212</v>
      </c>
      <c r="C90" s="60">
        <v>3</v>
      </c>
      <c r="D90" s="60">
        <f>35+35</f>
        <v>70</v>
      </c>
      <c r="E90" s="87">
        <v>0.1</v>
      </c>
      <c r="F90" s="87">
        <v>0.45</v>
      </c>
      <c r="G90" s="87">
        <v>0.45</v>
      </c>
      <c r="H90" s="87"/>
      <c r="I90" s="53">
        <f t="shared" si="4"/>
        <v>14.5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40</v>
      </c>
      <c r="B91" s="60">
        <v>263</v>
      </c>
      <c r="C91" s="60">
        <v>4</v>
      </c>
      <c r="D91" s="60">
        <f>35+35</f>
        <v>70</v>
      </c>
      <c r="E91" s="87"/>
      <c r="F91" s="87"/>
      <c r="G91" s="87"/>
      <c r="H91" s="87"/>
      <c r="I91" s="53">
        <f t="shared" si="4"/>
        <v>12.1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50</v>
      </c>
      <c r="B92" s="60">
        <v>285</v>
      </c>
      <c r="C92" s="60">
        <v>5</v>
      </c>
      <c r="D92" s="60">
        <f>24+19</f>
        <v>43</v>
      </c>
      <c r="E92" s="87"/>
      <c r="F92" s="87"/>
      <c r="G92" s="87"/>
      <c r="H92" s="87"/>
      <c r="I92" s="53">
        <f t="shared" si="4"/>
        <v>9.1999999999999993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60</v>
      </c>
      <c r="B93" s="60">
        <v>310</v>
      </c>
      <c r="C93" s="60">
        <v>6</v>
      </c>
      <c r="D93" s="60">
        <f>16+14</f>
        <v>30</v>
      </c>
      <c r="E93" s="87"/>
      <c r="F93" s="87"/>
      <c r="G93" s="87"/>
      <c r="H93" s="87"/>
      <c r="I93" s="53">
        <f t="shared" si="4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70</v>
      </c>
      <c r="B94" s="60">
        <v>329</v>
      </c>
      <c r="C94" s="60">
        <v>7</v>
      </c>
      <c r="D94" s="60">
        <f>13+13</f>
        <v>26</v>
      </c>
      <c r="E94" s="87"/>
      <c r="F94" s="87"/>
      <c r="G94" s="87"/>
      <c r="H94" s="87"/>
      <c r="I94" s="53">
        <f t="shared" si="4"/>
        <v>4.9000000000000004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80</v>
      </c>
      <c r="B95" s="60">
        <f>319+12+11</f>
        <v>342</v>
      </c>
      <c r="C95" s="60">
        <v>8</v>
      </c>
      <c r="D95" s="60">
        <f>B95</f>
        <v>342</v>
      </c>
      <c r="E95" s="87"/>
      <c r="F95" s="87"/>
      <c r="G95" s="87"/>
      <c r="H95" s="87"/>
      <c r="I95" s="53">
        <f t="shared" si="4"/>
        <v>3.9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Merisier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117</v>
      </c>
      <c r="C114" s="50">
        <v>1</v>
      </c>
      <c r="D114" s="60">
        <v>27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5.85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178+16</f>
        <v>194</v>
      </c>
      <c r="C115" s="50">
        <v>2</v>
      </c>
      <c r="D115" s="60">
        <f>16+23</f>
        <v>39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5">IF(A115&lt;&gt;0,(B115-(B114-D114))/(A115-A114),"")</f>
        <v>10.4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241+29</f>
        <v>270</v>
      </c>
      <c r="C116" s="50">
        <v>3</v>
      </c>
      <c r="D116" s="60">
        <f>29+32</f>
        <v>61</v>
      </c>
      <c r="E116" s="51"/>
      <c r="F116" s="51"/>
      <c r="G116" s="51"/>
      <c r="H116" s="51"/>
      <c r="I116" s="53">
        <f t="shared" si="5"/>
        <v>11.5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283+36</f>
        <v>319</v>
      </c>
      <c r="C117" s="50">
        <v>4</v>
      </c>
      <c r="D117" s="60">
        <f>36+35</f>
        <v>71</v>
      </c>
      <c r="E117" s="51"/>
      <c r="F117" s="51"/>
      <c r="G117" s="51"/>
      <c r="H117" s="51"/>
      <c r="I117" s="53">
        <f t="shared" si="5"/>
        <v>11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310+35</f>
        <v>345</v>
      </c>
      <c r="C118" s="50">
        <v>5</v>
      </c>
      <c r="D118" s="60">
        <f>35+37</f>
        <v>72</v>
      </c>
      <c r="E118" s="51"/>
      <c r="F118" s="51"/>
      <c r="G118" s="51"/>
      <c r="H118" s="51"/>
      <c r="I118" s="53">
        <f t="shared" si="5"/>
        <v>9.6999999999999993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327+37</f>
        <v>364</v>
      </c>
      <c r="C119" s="50">
        <v>6</v>
      </c>
      <c r="D119" s="60">
        <f>37+32</f>
        <v>69</v>
      </c>
      <c r="E119" s="51"/>
      <c r="F119" s="51"/>
      <c r="G119" s="51"/>
      <c r="H119" s="51"/>
      <c r="I119" s="53">
        <f t="shared" si="5"/>
        <v>9.1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349+31</f>
        <v>380</v>
      </c>
      <c r="C120" s="60">
        <v>7</v>
      </c>
      <c r="D120" s="60">
        <f>B120</f>
        <v>380</v>
      </c>
      <c r="E120" s="87"/>
      <c r="F120" s="87"/>
      <c r="G120" s="87"/>
      <c r="H120" s="87"/>
      <c r="I120" s="53">
        <f t="shared" si="5"/>
        <v>8.5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Erable plane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10</v>
      </c>
      <c r="B140" s="60">
        <v>11</v>
      </c>
      <c r="C140" s="50">
        <v>1</v>
      </c>
      <c r="D140" s="60">
        <v>0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134</v>
      </c>
      <c r="C141" s="50">
        <v>2</v>
      </c>
      <c r="D141" s="60">
        <f>32+35</f>
        <v>67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6">IF(A141&lt;&gt;0,(B141-(B140-D140))/(A141-A140),"")</f>
        <v>12.3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30</v>
      </c>
      <c r="B142" s="60">
        <v>212</v>
      </c>
      <c r="C142" s="50">
        <v>3</v>
      </c>
      <c r="D142" s="60">
        <f>35+35</f>
        <v>70</v>
      </c>
      <c r="E142" s="51">
        <v>0.1</v>
      </c>
      <c r="F142" s="51">
        <v>0.45</v>
      </c>
      <c r="G142" s="51">
        <v>0.45</v>
      </c>
      <c r="H142" s="51"/>
      <c r="I142" s="57">
        <f t="shared" si="6"/>
        <v>14.5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40</v>
      </c>
      <c r="B143" s="60">
        <v>263</v>
      </c>
      <c r="C143" s="50">
        <v>4</v>
      </c>
      <c r="D143" s="60">
        <f>35+35</f>
        <v>70</v>
      </c>
      <c r="E143" s="51"/>
      <c r="F143" s="51"/>
      <c r="G143" s="51"/>
      <c r="H143" s="51"/>
      <c r="I143" s="57">
        <f t="shared" si="6"/>
        <v>12.1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50</v>
      </c>
      <c r="B144" s="60">
        <v>285</v>
      </c>
      <c r="C144" s="50">
        <v>5</v>
      </c>
      <c r="D144" s="60">
        <f>24+19</f>
        <v>43</v>
      </c>
      <c r="E144" s="51"/>
      <c r="F144" s="51"/>
      <c r="G144" s="51"/>
      <c r="H144" s="51"/>
      <c r="I144" s="57">
        <f t="shared" si="6"/>
        <v>9.1999999999999993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60</v>
      </c>
      <c r="B145" s="60">
        <v>310</v>
      </c>
      <c r="C145" s="50">
        <v>6</v>
      </c>
      <c r="D145" s="60">
        <f>16+14</f>
        <v>30</v>
      </c>
      <c r="E145" s="51"/>
      <c r="F145" s="51"/>
      <c r="G145" s="51"/>
      <c r="H145" s="51"/>
      <c r="I145" s="57">
        <f t="shared" si="6"/>
        <v>6.8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70</v>
      </c>
      <c r="B146" s="60">
        <v>329</v>
      </c>
      <c r="C146" s="50">
        <v>7</v>
      </c>
      <c r="D146" s="60">
        <f>13+13</f>
        <v>26</v>
      </c>
      <c r="E146" s="51"/>
      <c r="F146" s="51"/>
      <c r="G146" s="51"/>
      <c r="H146" s="51"/>
      <c r="I146" s="57">
        <f t="shared" si="6"/>
        <v>4.9000000000000004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80</v>
      </c>
      <c r="B147" s="60">
        <f>319+12+11</f>
        <v>342</v>
      </c>
      <c r="C147" s="50">
        <v>8</v>
      </c>
      <c r="D147" s="60">
        <f>B147</f>
        <v>342</v>
      </c>
      <c r="E147" s="51"/>
      <c r="F147" s="51"/>
      <c r="G147" s="51"/>
      <c r="H147" s="51"/>
      <c r="I147" s="57">
        <f>IF(A147&lt;&gt;0,(B147-(B146-D146))/(A147-A146),"")</f>
        <v>3.9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Alisier torminal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f>67+6</f>
        <v>73</v>
      </c>
      <c r="C166" s="60">
        <v>1</v>
      </c>
      <c r="D166" s="60">
        <v>6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3.65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f>93+28+28</f>
        <v>149</v>
      </c>
      <c r="C167" s="60">
        <v>2</v>
      </c>
      <c r="D167" s="60">
        <f>28+28</f>
        <v>56</v>
      </c>
      <c r="E167" s="51">
        <v>0.1</v>
      </c>
      <c r="F167" s="51">
        <v>0.45</v>
      </c>
      <c r="G167" s="51">
        <v>0.45</v>
      </c>
      <c r="H167" s="51"/>
      <c r="I167" s="49">
        <f t="shared" ref="I167:I185" si="7">IF(A167&lt;&gt;0,(B167-(B166-D166))/(A167-A166),"")</f>
        <v>8.1999999999999993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f>147+28+28</f>
        <v>203</v>
      </c>
      <c r="C168" s="60">
        <v>3</v>
      </c>
      <c r="D168" s="60">
        <f>28+28</f>
        <v>56</v>
      </c>
      <c r="E168" s="51"/>
      <c r="F168" s="51"/>
      <c r="G168" s="51"/>
      <c r="H168" s="51"/>
      <c r="I168" s="49">
        <f t="shared" si="7"/>
        <v>11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f>203+28+28</f>
        <v>259</v>
      </c>
      <c r="C169" s="60">
        <v>4</v>
      </c>
      <c r="D169" s="60">
        <f>28+28</f>
        <v>56</v>
      </c>
      <c r="E169" s="51"/>
      <c r="F169" s="51"/>
      <c r="G169" s="51"/>
      <c r="H169" s="51"/>
      <c r="I169" s="49">
        <f t="shared" si="7"/>
        <v>11.2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f>245+28+28</f>
        <v>301</v>
      </c>
      <c r="C170" s="60">
        <v>5</v>
      </c>
      <c r="D170" s="60">
        <f t="shared" ref="D170:D173" si="8">28+28</f>
        <v>56</v>
      </c>
      <c r="E170" s="51"/>
      <c r="F170" s="51"/>
      <c r="G170" s="51"/>
      <c r="H170" s="51"/>
      <c r="I170" s="49">
        <f t="shared" si="7"/>
        <v>9.8000000000000007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f>274+28+28</f>
        <v>330</v>
      </c>
      <c r="C171" s="60">
        <v>6</v>
      </c>
      <c r="D171" s="60">
        <f t="shared" si="8"/>
        <v>56</v>
      </c>
      <c r="E171" s="51"/>
      <c r="F171" s="51"/>
      <c r="G171" s="51"/>
      <c r="H171" s="51"/>
      <c r="I171" s="49">
        <f t="shared" si="7"/>
        <v>8.5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f>292+28+28</f>
        <v>348</v>
      </c>
      <c r="C172" s="60">
        <v>7</v>
      </c>
      <c r="D172" s="60">
        <f t="shared" si="8"/>
        <v>56</v>
      </c>
      <c r="E172" s="51"/>
      <c r="F172" s="51"/>
      <c r="G172" s="51"/>
      <c r="H172" s="51"/>
      <c r="I172" s="49">
        <f t="shared" si="7"/>
        <v>7.4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90</v>
      </c>
      <c r="B173" s="50">
        <f>302+28+28</f>
        <v>358</v>
      </c>
      <c r="C173" s="50">
        <v>8</v>
      </c>
      <c r="D173" s="50">
        <f t="shared" si="8"/>
        <v>56</v>
      </c>
      <c r="E173" s="51"/>
      <c r="F173" s="51"/>
      <c r="G173" s="51"/>
      <c r="H173" s="51"/>
      <c r="I173" s="49">
        <f t="shared" si="7"/>
        <v>6.6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100</v>
      </c>
      <c r="B174" s="50">
        <f>306+28+27</f>
        <v>361</v>
      </c>
      <c r="C174" s="50">
        <v>9</v>
      </c>
      <c r="D174" s="50">
        <f>28+27</f>
        <v>55</v>
      </c>
      <c r="E174" s="51"/>
      <c r="F174" s="51"/>
      <c r="G174" s="51"/>
      <c r="H174" s="51"/>
      <c r="I174" s="49">
        <f t="shared" si="7"/>
        <v>5.9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110</v>
      </c>
      <c r="B175" s="50">
        <f>307+26+25</f>
        <v>358</v>
      </c>
      <c r="C175" s="50">
        <v>10</v>
      </c>
      <c r="D175" s="50">
        <f>26+25</f>
        <v>51</v>
      </c>
      <c r="E175" s="51"/>
      <c r="F175" s="51"/>
      <c r="G175" s="51"/>
      <c r="H175" s="51"/>
      <c r="I175" s="49">
        <f t="shared" si="7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120</v>
      </c>
      <c r="B176" s="50">
        <f>305+24+23</f>
        <v>352</v>
      </c>
      <c r="C176" s="50">
        <v>11</v>
      </c>
      <c r="D176" s="50">
        <f>B176</f>
        <v>352</v>
      </c>
      <c r="E176" s="51"/>
      <c r="F176" s="51"/>
      <c r="G176" s="51"/>
      <c r="H176" s="51"/>
      <c r="I176" s="49">
        <f t="shared" si="7"/>
        <v>4.5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Cormier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f>67+6</f>
        <v>73</v>
      </c>
      <c r="C192" s="60">
        <v>1</v>
      </c>
      <c r="D192" s="60">
        <v>6</v>
      </c>
      <c r="E192" s="51"/>
      <c r="F192" s="51">
        <v>0.25</v>
      </c>
      <c r="G192" s="51">
        <v>0.25</v>
      </c>
      <c r="H192" s="51">
        <v>0.5</v>
      </c>
      <c r="I192" s="49">
        <f>IFERROR(B192/A192,"")</f>
        <v>3.65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f>93+28+28</f>
        <v>149</v>
      </c>
      <c r="C193" s="60">
        <v>2</v>
      </c>
      <c r="D193" s="60">
        <f>28+28</f>
        <v>56</v>
      </c>
      <c r="E193" s="51">
        <v>0.1</v>
      </c>
      <c r="F193" s="51">
        <v>0.45</v>
      </c>
      <c r="G193" s="51">
        <v>0.45</v>
      </c>
      <c r="H193" s="51"/>
      <c r="I193" s="49">
        <f t="shared" ref="I193:I211" si="9">IF(A193&lt;&gt;0,(B193-(B192-D192))/(A193-A192),"")</f>
        <v>8.1999999999999993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f>147+28+28</f>
        <v>203</v>
      </c>
      <c r="C194" s="60">
        <v>3</v>
      </c>
      <c r="D194" s="60">
        <f>28+28</f>
        <v>56</v>
      </c>
      <c r="E194" s="51"/>
      <c r="F194" s="51"/>
      <c r="G194" s="51"/>
      <c r="H194" s="51"/>
      <c r="I194" s="49">
        <f t="shared" si="9"/>
        <v>11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f>203+28+28</f>
        <v>259</v>
      </c>
      <c r="C195" s="60">
        <v>4</v>
      </c>
      <c r="D195" s="60">
        <f>28+28</f>
        <v>56</v>
      </c>
      <c r="E195" s="51"/>
      <c r="F195" s="51"/>
      <c r="G195" s="51"/>
      <c r="H195" s="51"/>
      <c r="I195" s="49">
        <f t="shared" si="9"/>
        <v>11.2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f>245+28+28</f>
        <v>301</v>
      </c>
      <c r="C196" s="60">
        <v>5</v>
      </c>
      <c r="D196" s="60">
        <f t="shared" ref="D196:D199" si="10">28+28</f>
        <v>56</v>
      </c>
      <c r="E196" s="51"/>
      <c r="F196" s="51"/>
      <c r="G196" s="51"/>
      <c r="H196" s="51"/>
      <c r="I196" s="49">
        <f t="shared" si="9"/>
        <v>9.8000000000000007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f>274+28+28</f>
        <v>330</v>
      </c>
      <c r="C197" s="60">
        <v>6</v>
      </c>
      <c r="D197" s="60">
        <f t="shared" si="10"/>
        <v>56</v>
      </c>
      <c r="E197" s="51"/>
      <c r="F197" s="51"/>
      <c r="G197" s="51"/>
      <c r="H197" s="51"/>
      <c r="I197" s="49">
        <f t="shared" si="9"/>
        <v>8.5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f>292+28+28</f>
        <v>348</v>
      </c>
      <c r="C198" s="60">
        <v>7</v>
      </c>
      <c r="D198" s="60">
        <f t="shared" si="10"/>
        <v>56</v>
      </c>
      <c r="E198" s="51"/>
      <c r="F198" s="51"/>
      <c r="G198" s="51"/>
      <c r="H198" s="51"/>
      <c r="I198" s="49">
        <f t="shared" si="9"/>
        <v>7.4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90</v>
      </c>
      <c r="B199" s="50">
        <f>302+28+28</f>
        <v>358</v>
      </c>
      <c r="C199" s="50">
        <v>8</v>
      </c>
      <c r="D199" s="50">
        <f t="shared" si="10"/>
        <v>56</v>
      </c>
      <c r="E199" s="51"/>
      <c r="F199" s="51"/>
      <c r="G199" s="51"/>
      <c r="H199" s="51"/>
      <c r="I199" s="49">
        <f t="shared" si="9"/>
        <v>6.6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100</v>
      </c>
      <c r="B200" s="50">
        <f>306+28+27</f>
        <v>361</v>
      </c>
      <c r="C200" s="50">
        <v>9</v>
      </c>
      <c r="D200" s="50">
        <f>28+27</f>
        <v>55</v>
      </c>
      <c r="E200" s="51"/>
      <c r="F200" s="51"/>
      <c r="G200" s="51"/>
      <c r="H200" s="51"/>
      <c r="I200" s="49">
        <f t="shared" si="9"/>
        <v>5.9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110</v>
      </c>
      <c r="B201" s="50">
        <f>307+26+25</f>
        <v>358</v>
      </c>
      <c r="C201" s="50">
        <v>10</v>
      </c>
      <c r="D201" s="50">
        <f>26+25</f>
        <v>51</v>
      </c>
      <c r="E201" s="51"/>
      <c r="F201" s="51"/>
      <c r="G201" s="51"/>
      <c r="H201" s="51"/>
      <c r="I201" s="49">
        <f t="shared" si="9"/>
        <v>5.2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120</v>
      </c>
      <c r="B202" s="50">
        <f>305+24+23</f>
        <v>352</v>
      </c>
      <c r="C202" s="50">
        <v>11</v>
      </c>
      <c r="D202" s="50">
        <f>B202</f>
        <v>352</v>
      </c>
      <c r="E202" s="51"/>
      <c r="F202" s="51"/>
      <c r="G202" s="51"/>
      <c r="H202" s="51"/>
      <c r="I202" s="49">
        <f t="shared" si="9"/>
        <v>4.5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1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1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1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1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1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1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1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1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1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1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1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1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1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1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1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1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1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1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1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2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2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2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2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2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2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2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2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2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2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2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2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2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2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2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2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2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3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3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3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3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3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3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3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3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3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3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3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3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3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3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3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3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3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3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Tilleul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Merisier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Erable plane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Alisier torminal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Cormier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318.40875902853116</v>
      </c>
      <c r="T3" s="59">
        <f>IF('Données projet'!E9&gt;30,$R$33-$H$33,LOOKUP('Données projet'!$E$9,$A$3:$A$203,R3:R203)-LOOKUP('Données projet'!$E$9,$A$3:$A$203,$H$3:$H$203))</f>
        <v>234.87694492493506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243.38048563215585</v>
      </c>
      <c r="AO3" s="59">
        <f>IF('Données projet'!E10&gt;30,$AM$33-$H$33,LOOKUP('Données projet'!$E$10,$A$3:$A$203,AM3:AM203)-LOOKUP('Données projet'!$E$10,$A$3:$A$203,$H$3:$H$203))</f>
        <v>372.1604147006675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207.93042467236967</v>
      </c>
      <c r="BJ3" s="59">
        <f>IF('Données projet'!E11&gt;30,$BH$33-$H$33,LOOKUP('Données projet'!$E$11,$A$3:$A$203,BH3:BH203)-LOOKUP('Données projet'!$E$11,$A$3:$A$203,$H$3:$H$203))</f>
        <v>250.70954318710835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266.30229009596883</v>
      </c>
      <c r="CE3" s="59">
        <f>IF('Données projet'!E12&gt;30,$CC$33-$H$33,LOOKUP('Données projet'!$E$12,$A$3:$A$203,CC3:CC203)-LOOKUP('Données projet'!$E$12,$A$3:$A$203,$H$3:$H$203))</f>
        <v>270.19195828386046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260.20517190557814</v>
      </c>
      <c r="CZ3" s="59">
        <f>IF('Données projet'!E13&gt;30,$CX$33-$H$33,LOOKUP('Données projet'!$E$13,$A$3:$A$203,CX3:CX203)-LOOKUP('Données projet'!$E$13,$A$3:$A$203,$H$3:$H$203))</f>
        <v>307.22009971147133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347.8889410585312</v>
      </c>
      <c r="DU3" s="59">
        <f>IF('Données projet'!E14&gt;30,$DS$33-$H$33,LOOKUP('Données projet'!$E$14,$A$3:$A$203,DS3:DS203)-LOOKUP('Données projet'!$E$14,$A$3:$A$203,$H$3:$H$203))</f>
        <v>254.78167322479203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399.38728019348088</v>
      </c>
      <c r="EP3" s="59">
        <f>IF('Données projet'!E15&gt;30,$EN$33-$H$33,LOOKUP('Données projet'!$E$15,$A$3:$A$203,EN3:EN203)-LOOKUP('Données projet'!$E$15,$A$3:$A$203,$H$3:$H$203))</f>
        <v>289.54922160039791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296.17432310550635</v>
      </c>
      <c r="S4" s="59">
        <f ca="1">AVERAGE(OFFSET($R$3,0,0,'Données projet'!$E$9+1,1))-AVERAGE(OFFSET($H$3,0,0,'Données projet'!$E$9+1,1))</f>
        <v>318.40875902853116</v>
      </c>
      <c r="T4" s="59">
        <f>$T$3</f>
        <v>234.87694492493506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</v>
      </c>
      <c r="AI4" s="13">
        <f>IF('Données projet'!$A$62&gt;35,AI3+AH4-AQ3,IF(A4&lt;'Données projet'!$A$62,$AF$205^A4,IF(A4='Données projet'!$A$62,'Données projet'!$B$62,AI3+AH4-AQ3)))</f>
        <v>1.3467943429205997</v>
      </c>
      <c r="AJ4" s="13">
        <f>AI4*VLOOKUP('Données projet'!$B$10,Paramètres!$A$1:$I$89,3,0)*VLOOKUP('Données projet'!$B$10,Paramètres!$A$1:$I$89,5,0)</f>
        <v>1.1765595379754361</v>
      </c>
      <c r="AK4" s="13">
        <f>EXP(-1.0587+0.8836*LN(AJ4)+0.284)</f>
        <v>0.53204273185561757</v>
      </c>
      <c r="AL4" s="20">
        <f t="shared" ref="AL4:AL67" si="4">(AJ4+AK4)*0.475*44/12</f>
        <v>2.9758156199557515</v>
      </c>
      <c r="AM4" s="59">
        <f t="shared" ref="AM4:AM67" si="5">AL4+(AD4+AE4)*44/12</f>
        <v>296.30914895328908</v>
      </c>
      <c r="AN4" s="59">
        <f ca="1">AVERAGE(OFFSET($AM$3,0,0,'Données projet'!$E$10+1,1))-AVERAGE(OFFSET($H$3,0,0,'Données projet'!$E$10+1,1))</f>
        <v>243.38048563215585</v>
      </c>
      <c r="AO4" s="59">
        <f>$AO$3</f>
        <v>372.1604147006675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0.85257446748296239</v>
      </c>
      <c r="BF4" s="13">
        <f>EXP(-1.0587+0.8836*LN(BE4)+0.284)</f>
        <v>0.40026456574842817</v>
      </c>
      <c r="BG4" s="20">
        <f t="shared" ref="BG4:BG67" si="7">(BE4+BF4)*0.475*44/12</f>
        <v>2.1820279828780054</v>
      </c>
      <c r="BH4" s="59">
        <f t="shared" ref="BH4:BH67" si="8">BG4+(AY4+AZ4)*44/12</f>
        <v>295.51536131621134</v>
      </c>
      <c r="BI4" s="59">
        <f ca="1">AVERAGE(OFFSET($BH$3,0,0,'Données projet'!$E$11+1,1))-AVERAGE(OFFSET($H$3,0,0,'Données projet'!$E$11+1,1))</f>
        <v>207.93042467236967</v>
      </c>
      <c r="BJ4" s="59">
        <f>$BJ$3</f>
        <v>250.70954318710835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5.85</v>
      </c>
      <c r="BY4" s="12">
        <f>IF('Données projet'!$A$114&gt;35,BY3+BX4-CG3,IF(A4&lt;'Données projet'!$A$114,$BV$205^A4,IF(A4='Données projet'!$A$114,'Données projet'!$B$114,BY3+BX4-CG3)))</f>
        <v>1.2688471048731957</v>
      </c>
      <c r="BZ4" s="13">
        <f>BY4*VLOOKUP('Données projet'!$B$12,Paramètres!$A$1:$I$89,3,0)*VLOOKUP('Données projet'!$B$12,Paramètres!$A$1:$I$89,5,0)</f>
        <v>0.98970074180109269</v>
      </c>
      <c r="CA4" s="13">
        <f>EXP(-1.0587+0.8836*LN(BZ4)+0.284)</f>
        <v>0.45664563134517483</v>
      </c>
      <c r="CB4" s="20">
        <f t="shared" ref="CB4:CB67" si="10">(BZ4+CA4)*0.475*44/12</f>
        <v>2.5190532665630827</v>
      </c>
      <c r="CC4" s="59">
        <f t="shared" ref="CC4:CC67" si="11">CB4+(BT4+BU4)*44/12</f>
        <v>295.85238659989642</v>
      </c>
      <c r="CD4" s="59">
        <f ca="1">AVERAGE(OFFSET($CC$3,0,0,'Données projet'!$E$12+1,1))-AVERAGE(OFFSET($H$3,0,0,'Données projet'!$E$12+1,1))</f>
        <v>266.30229009596883</v>
      </c>
      <c r="CE4" s="59">
        <f>$CE$3</f>
        <v>270.19195828386046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1.0111929730611879</v>
      </c>
      <c r="CV4" s="13">
        <f>EXP(-1.0587+0.8836*LN(CU4)+0.284)</f>
        <v>0.46539683474213156</v>
      </c>
      <c r="CW4" s="20">
        <f t="shared" ref="CW4:CW67" si="13">(CU4+CV4)*0.475*44/12</f>
        <v>2.5717272485907814</v>
      </c>
      <c r="CX4" s="59">
        <f t="shared" ref="CX4:CX67" si="14">CW4+(CO4+CP4)*44/12</f>
        <v>295.90506058192409</v>
      </c>
      <c r="CY4" s="59">
        <f ca="1">AVERAGE(OFFSET($CX$3,0,0,'Données projet'!$E$13+1,1))-AVERAGE(OFFSET($H$3,0,0,'Données projet'!$E$13+1,1))</f>
        <v>260.20517190557814</v>
      </c>
      <c r="CZ4" s="59">
        <f>$CZ$3</f>
        <v>307.22009971147133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3.65</v>
      </c>
      <c r="DO4" s="12">
        <f>IF('Données projet'!$A$166&gt;35,DO3+DN4-DW3,IF(A4&lt;'Données projet'!$A$166,$DL$205^A4,IF(A4='Données projet'!$A$166,'Données projet'!$B$166,DO3+DN4-DW3)))</f>
        <v>1.2392705892426346</v>
      </c>
      <c r="DP4" s="17">
        <f>DO4*VLOOKUP('Données projet'!$B$14,Paramètres!$A$1:$I$89,3,0)*VLOOKUP('Données projet'!$B$14,Paramètres!$A$1:$I$89,5,0)</f>
        <v>1.1986225139154763</v>
      </c>
      <c r="DQ4" s="13">
        <f>EXP(-1.0587+0.8836*LN(DP4)+0.284)</f>
        <v>0.54084878793982472</v>
      </c>
      <c r="DR4" s="20">
        <f t="shared" ref="DR4:DR67" si="16">(DP4+DQ4)*0.475*44/12</f>
        <v>3.0295791840646493</v>
      </c>
      <c r="DS4" s="59">
        <f t="shared" ref="DS4:DS67" si="17">DR4+(DJ4+DK4)*44/12</f>
        <v>296.36291251739794</v>
      </c>
      <c r="DT4" s="59">
        <f ca="1">AVERAGE(OFFSET($DS$3,0,0,'Données projet'!$E$14+1,1))-AVERAGE(OFFSET($H$3,0,0,'Données projet'!$E$14+1,1))</f>
        <v>347.8889410585312</v>
      </c>
      <c r="DU4" s="59">
        <f>$DU$3</f>
        <v>254.78167322479203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3.65</v>
      </c>
      <c r="EJ4" s="12">
        <f>IF('Données projet'!$A$192&gt;35,EJ3+EI4-ER3,IF(A4&lt;'Données projet'!$A$192,$EG$205^A4,IF(A4='Données projet'!$A$192,'Données projet'!$B$192,EJ3+EI4-ER3)))</f>
        <v>1.2392705892426346</v>
      </c>
      <c r="EK4" s="17">
        <f>EJ4*VLOOKUP('Données projet'!$B$15,Paramètres!$A$1:$I$89,3,0)*VLOOKUP('Données projet'!$B$15,Paramètres!$A$1:$I$89,5,0)</f>
        <v>1.3339508622607719</v>
      </c>
      <c r="EL4" s="13">
        <f>EXP(-1.0587+0.8836*LN(EK4)+0.284)</f>
        <v>0.59446408362489378</v>
      </c>
      <c r="EM4" s="20">
        <f t="shared" ref="EM4:EM67" si="19">(EK4+EL4)*0.475*44/12</f>
        <v>3.3586560307508679</v>
      </c>
      <c r="EN4" s="59">
        <f t="shared" ref="EN4:EN67" si="20">EM4+(EE4+EF4)*44/12</f>
        <v>296.69198936408418</v>
      </c>
      <c r="EO4" s="59">
        <f ca="1">AVERAGE(OFFSET($EN$3,0,0,'Données projet'!$E$15+1,1))-AVERAGE(OFFSET($H$3,0,0,'Données projet'!$E$15+1,1))</f>
        <v>399.38728019348088</v>
      </c>
      <c r="EP4" s="59">
        <f>$EP$3</f>
        <v>289.54922160039791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296.82694711009896</v>
      </c>
      <c r="S5" s="59">
        <f ca="1">AVERAGE(OFFSET($R$3,0,0,'Données projet'!$E$9+1,1))-AVERAGE(OFFSET($H$3,0,0,'Données projet'!$E$9+1,1))</f>
        <v>318.40875902853116</v>
      </c>
      <c r="T5" s="59">
        <f t="shared" ref="T5:T68" si="34">$T$3</f>
        <v>234.87694492493506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</v>
      </c>
      <c r="AI5" s="13">
        <f>IF('Données projet'!$A$62&gt;35,AI4+AH5-AQ4,IF(A5&lt;'Données projet'!$A$62,$AF$205^A5,IF(A5='Données projet'!$A$62,'Données projet'!$B$62,AI4+AH5-AQ4)))</f>
        <v>1.81385500212293</v>
      </c>
      <c r="AJ5" s="13">
        <f>AI5*VLOOKUP('Données projet'!$B$10,Paramètres!$A$1:$I$89,3,0)*VLOOKUP('Données projet'!$B$10,Paramètres!$A$1:$I$89,5,0)</f>
        <v>1.5845837298545919</v>
      </c>
      <c r="AK5" s="13">
        <f t="shared" ref="AK5:AK68" si="35">EXP(-1.0587+0.8836*LN(AJ5)+0.284)</f>
        <v>0.69214506839939893</v>
      </c>
      <c r="AL5" s="20">
        <f t="shared" si="4"/>
        <v>3.9653026569590337</v>
      </c>
      <c r="AM5" s="59">
        <f t="shared" si="5"/>
        <v>297.29863599029233</v>
      </c>
      <c r="AN5" s="59">
        <f ca="1">AVERAGE(OFFSET($AM$3,0,0,'Données projet'!$E$10+1,1))-AVERAGE(OFFSET($H$3,0,0,'Données projet'!$E$10+1,1))</f>
        <v>243.38048563215585</v>
      </c>
      <c r="AO5" s="59">
        <f t="shared" ref="AO5:AO68" si="36">$AO$3</f>
        <v>372.1604147006675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1.0836064737684212</v>
      </c>
      <c r="BF5" s="13">
        <f t="shared" ref="BF5:BF68" si="37">EXP(-1.0587+0.8836*LN(BE5)+0.284)</f>
        <v>0.49472584920136886</v>
      </c>
      <c r="BG5" s="20">
        <f t="shared" si="7"/>
        <v>2.7489287958390509</v>
      </c>
      <c r="BH5" s="59">
        <f t="shared" si="8"/>
        <v>296.08226212917236</v>
      </c>
      <c r="BI5" s="59">
        <f ca="1">AVERAGE(OFFSET($BH$3,0,0,'Données projet'!$E$11+1,1))-AVERAGE(OFFSET($H$3,0,0,'Données projet'!$E$11+1,1))</f>
        <v>207.93042467236967</v>
      </c>
      <c r="BJ5" s="59">
        <f t="shared" ref="BJ5:BJ68" si="38">$BJ$3</f>
        <v>250.70954318710835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5.85</v>
      </c>
      <c r="BY5" s="12">
        <f>IF('Données projet'!$A$114&gt;35,BY4+BX5-CG4,IF(A5&lt;'Données projet'!$A$114,$BV$205^A5,IF(A5='Données projet'!$A$114,'Données projet'!$B$114,BY4+BX5-CG4)))</f>
        <v>1.6099729755450907</v>
      </c>
      <c r="BZ5" s="13">
        <f>BY5*VLOOKUP('Données projet'!$B$12,Paramètres!$A$1:$I$89,3,0)*VLOOKUP('Données projet'!$B$12,Paramètres!$A$1:$I$89,5,0)</f>
        <v>1.2557789209251708</v>
      </c>
      <c r="CA5" s="13">
        <f t="shared" ref="CA5:CA68" si="39">EXP(-1.0587+0.8836*LN(BZ5)+0.284)</f>
        <v>0.56357505040869538</v>
      </c>
      <c r="CB5" s="20">
        <f t="shared" si="10"/>
        <v>3.1687081667398167</v>
      </c>
      <c r="CC5" s="59">
        <f t="shared" si="11"/>
        <v>296.50204150007312</v>
      </c>
      <c r="CD5" s="59">
        <f ca="1">AVERAGE(OFFSET($CC$3,0,0,'Données projet'!$E$12+1,1))-AVERAGE(OFFSET($H$3,0,0,'Données projet'!$E$12+1,1))</f>
        <v>266.30229009596883</v>
      </c>
      <c r="CE5" s="59">
        <f t="shared" ref="CE5:CE68" si="40">$CE$3</f>
        <v>270.19195828386046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1.2852076781904531</v>
      </c>
      <c r="CV5" s="13">
        <f t="shared" ref="CV5:CV68" si="41">EXP(-1.0587+0.8836*LN(CU5)+0.284)</f>
        <v>0.57522914588482876</v>
      </c>
      <c r="CW5" s="20">
        <f t="shared" si="13"/>
        <v>3.2402608019311159</v>
      </c>
      <c r="CX5" s="59">
        <f t="shared" si="14"/>
        <v>296.57359413526444</v>
      </c>
      <c r="CY5" s="59">
        <f ca="1">AVERAGE(OFFSET($CX$3,0,0,'Données projet'!$E$13+1,1))-AVERAGE(OFFSET($H$3,0,0,'Données projet'!$E$13+1,1))</f>
        <v>260.20517190557814</v>
      </c>
      <c r="CZ5" s="59">
        <f t="shared" ref="CZ5:CZ68" si="42">$CZ$3</f>
        <v>307.22009971147133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3.65</v>
      </c>
      <c r="DO5" s="12">
        <f>IF('Données projet'!$A$166&gt;35,DO4+DN5-DW4,IF(A5&lt;'Données projet'!$A$166,$DL$205^A5,IF(A5='Données projet'!$A$166,'Données projet'!$B$166,DO4+DN5-DW4)))</f>
        <v>1.5357915933617867</v>
      </c>
      <c r="DP5" s="17">
        <f>DO5*VLOOKUP('Données projet'!$B$14,Paramètres!$A$1:$I$89,3,0)*VLOOKUP('Données projet'!$B$14,Paramètres!$A$1:$I$89,5,0)</f>
        <v>1.4854176290995202</v>
      </c>
      <c r="DQ5" s="13">
        <f t="shared" ref="DQ5:DQ68" si="43">EXP(-1.0587+0.8836*LN(DP5)+0.284)</f>
        <v>0.65372856897250708</v>
      </c>
      <c r="DR5" s="20">
        <f t="shared" si="16"/>
        <v>3.725679628308781</v>
      </c>
      <c r="DS5" s="59">
        <f t="shared" si="17"/>
        <v>297.05901296164211</v>
      </c>
      <c r="DT5" s="59">
        <f ca="1">AVERAGE(OFFSET($DS$3,0,0,'Données projet'!$E$14+1,1))-AVERAGE(OFFSET($H$3,0,0,'Données projet'!$E$14+1,1))</f>
        <v>347.8889410585312</v>
      </c>
      <c r="DU5" s="59">
        <f t="shared" ref="DU5:DU68" si="44">$DU$3</f>
        <v>254.78167322479203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3.65</v>
      </c>
      <c r="EJ5" s="12">
        <f>IF('Données projet'!$A$192&gt;35,EJ4+EI5-ER4,IF(A5&lt;'Données projet'!$A$192,$EG$205^A5,IF(A5='Données projet'!$A$192,'Données projet'!$B$192,EJ4+EI5-ER4)))</f>
        <v>1.5357915933617867</v>
      </c>
      <c r="EK5" s="17">
        <f>EJ5*VLOOKUP('Données projet'!$B$15,Paramètres!$A$1:$I$89,3,0)*VLOOKUP('Données projet'!$B$15,Paramètres!$A$1:$I$89,5,0)</f>
        <v>1.6531260710946272</v>
      </c>
      <c r="EL5" s="13">
        <f t="shared" ref="EL5:EL68" si="45">EXP(-1.0587+0.8836*LN(EK5)+0.284)</f>
        <v>0.7185338367382873</v>
      </c>
      <c r="EM5" s="20">
        <f t="shared" si="19"/>
        <v>4.1306410061423255</v>
      </c>
      <c r="EN5" s="59">
        <f t="shared" si="20"/>
        <v>297.46397433947561</v>
      </c>
      <c r="EO5" s="59">
        <f ca="1">AVERAGE(OFFSET($EN$3,0,0,'Données projet'!$E$15+1,1))-AVERAGE(OFFSET($H$3,0,0,'Données projet'!$E$15+1,1))</f>
        <v>399.38728019348088</v>
      </c>
      <c r="EP5" s="59">
        <f t="shared" ref="EP5:EP68" si="46">$EP$3</f>
        <v>289.54922160039791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297.63006022433916</v>
      </c>
      <c r="S6" s="59">
        <f ca="1">AVERAGE(OFFSET($R$3,0,0,'Données projet'!$E$9+1,1))-AVERAGE(OFFSET($H$3,0,0,'Données projet'!$E$9+1,1))</f>
        <v>318.40875902853116</v>
      </c>
      <c r="T6" s="59">
        <f t="shared" si="34"/>
        <v>234.87694492493506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</v>
      </c>
      <c r="AI6" s="13">
        <f>IF('Données projet'!$A$62&gt;35,AI5+AH6-AQ5,IF(A6&lt;'Données projet'!$A$62,$AF$205^A6,IF(A6='Données projet'!$A$62,'Données projet'!$B$62,AI5+AH6-AQ5)))</f>
        <v>2.4428896557373947</v>
      </c>
      <c r="AJ6" s="13">
        <f>AI6*VLOOKUP('Données projet'!$B$10,Paramètres!$A$1:$I$89,3,0)*VLOOKUP('Données projet'!$B$10,Paramètres!$A$1:$I$89,5,0)</f>
        <v>2.1341084032521884</v>
      </c>
      <c r="AK6" s="13">
        <f t="shared" si="35"/>
        <v>0.90042541139273424</v>
      </c>
      <c r="AL6" s="20">
        <f t="shared" si="4"/>
        <v>5.2851463938399075</v>
      </c>
      <c r="AM6" s="59">
        <f t="shared" si="5"/>
        <v>298.61847972717322</v>
      </c>
      <c r="AN6" s="59">
        <f ca="1">AVERAGE(OFFSET($AM$3,0,0,'Données projet'!$E$10+1,1))-AVERAGE(OFFSET($H$3,0,0,'Données projet'!$E$10+1,1))</f>
        <v>243.38048563215585</v>
      </c>
      <c r="AO6" s="59">
        <f t="shared" si="36"/>
        <v>372.1604147006675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1.3772439062823532</v>
      </c>
      <c r="BF6" s="13">
        <f t="shared" si="37"/>
        <v>0.61147972319350075</v>
      </c>
      <c r="BG6" s="20">
        <f t="shared" si="7"/>
        <v>3.4636936546704455</v>
      </c>
      <c r="BH6" s="59">
        <f t="shared" si="8"/>
        <v>296.79702698800378</v>
      </c>
      <c r="BI6" s="59">
        <f ca="1">AVERAGE(OFFSET($BH$3,0,0,'Données projet'!$E$11+1,1))-AVERAGE(OFFSET($H$3,0,0,'Données projet'!$E$11+1,1))</f>
        <v>207.93042467236967</v>
      </c>
      <c r="BJ6" s="59">
        <f t="shared" si="38"/>
        <v>250.70954318710835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5.85</v>
      </c>
      <c r="BY6" s="12">
        <f>IF('Données projet'!$A$114&gt;35,BY5+BX6-CG5,IF(A6&lt;'Données projet'!$A$114,$BV$205^A6,IF(A6='Données projet'!$A$114,'Données projet'!$B$114,BY5+BX6-CG5)))</f>
        <v>2.0428095489444726</v>
      </c>
      <c r="BZ6" s="13">
        <f>BY6*VLOOKUP('Données projet'!$B$12,Paramètres!$A$1:$I$89,3,0)*VLOOKUP('Données projet'!$B$12,Paramètres!$A$1:$I$89,5,0)</f>
        <v>1.5933914481766887</v>
      </c>
      <c r="CA6" s="13">
        <f t="shared" si="39"/>
        <v>0.69554336150668106</v>
      </c>
      <c r="CB6" s="20">
        <f t="shared" si="10"/>
        <v>3.9865614601985349</v>
      </c>
      <c r="CC6" s="59">
        <f t="shared" si="11"/>
        <v>297.31989479353183</v>
      </c>
      <c r="CD6" s="59">
        <f ca="1">AVERAGE(OFFSET($CC$3,0,0,'Données projet'!$E$12+1,1))-AVERAGE(OFFSET($H$3,0,0,'Données projet'!$E$12+1,1))</f>
        <v>266.30229009596883</v>
      </c>
      <c r="CE6" s="59">
        <f t="shared" si="40"/>
        <v>270.19195828386046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1.6334753307069771</v>
      </c>
      <c r="CV6" s="13">
        <f t="shared" si="41"/>
        <v>0.71098156578295024</v>
      </c>
      <c r="CW6" s="20">
        <f t="shared" si="13"/>
        <v>4.0832624280532892</v>
      </c>
      <c r="CX6" s="59">
        <f t="shared" si="14"/>
        <v>297.41659576138659</v>
      </c>
      <c r="CY6" s="59">
        <f ca="1">AVERAGE(OFFSET($CX$3,0,0,'Données projet'!$E$13+1,1))-AVERAGE(OFFSET($H$3,0,0,'Données projet'!$E$13+1,1))</f>
        <v>260.20517190557814</v>
      </c>
      <c r="CZ6" s="59">
        <f t="shared" si="42"/>
        <v>307.22009971147133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3.65</v>
      </c>
      <c r="DO6" s="12">
        <f>IF('Données projet'!$A$166&gt;35,DO5+DN6-DW5,IF(A6&lt;'Données projet'!$A$166,$DL$205^A6,IF(A6='Données projet'!$A$166,'Données projet'!$B$166,DO5+DN6-DW5)))</f>
        <v>1.9032613528593461</v>
      </c>
      <c r="DP6" s="17">
        <f>DO6*VLOOKUP('Données projet'!$B$14,Paramètres!$A$1:$I$89,3,0)*VLOOKUP('Données projet'!$B$14,Paramètres!$A$1:$I$89,5,0)</f>
        <v>1.8408343804855598</v>
      </c>
      <c r="DQ6" s="13">
        <f t="shared" si="43"/>
        <v>0.79016732850363813</v>
      </c>
      <c r="DR6" s="20">
        <f t="shared" si="16"/>
        <v>4.5823279764895188</v>
      </c>
      <c r="DS6" s="59">
        <f t="shared" si="17"/>
        <v>297.91566130982284</v>
      </c>
      <c r="DT6" s="59">
        <f ca="1">AVERAGE(OFFSET($DS$3,0,0,'Données projet'!$E$14+1,1))-AVERAGE(OFFSET($H$3,0,0,'Données projet'!$E$14+1,1))</f>
        <v>347.8889410585312</v>
      </c>
      <c r="DU6" s="59">
        <f t="shared" si="44"/>
        <v>254.78167322479203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3.65</v>
      </c>
      <c r="EJ6" s="12">
        <f>IF('Données projet'!$A$192&gt;35,EJ5+EI6-ER5,IF(A6&lt;'Données projet'!$A$192,$EG$205^A6,IF(A6='Données projet'!$A$192,'Données projet'!$B$192,EJ5+EI6-ER5)))</f>
        <v>1.9032613528593461</v>
      </c>
      <c r="EK6" s="17">
        <f>EJ6*VLOOKUP('Données projet'!$B$15,Paramètres!$A$1:$I$89,3,0)*VLOOKUP('Données projet'!$B$15,Paramètres!$A$1:$I$89,5,0)</f>
        <v>2.0486705202177999</v>
      </c>
      <c r="EL6" s="13">
        <f t="shared" si="45"/>
        <v>0.86849801150244532</v>
      </c>
      <c r="EM6" s="20">
        <f t="shared" si="19"/>
        <v>5.0807351927460944</v>
      </c>
      <c r="EN6" s="59">
        <f t="shared" si="20"/>
        <v>298.4140685260794</v>
      </c>
      <c r="EO6" s="59">
        <f ca="1">AVERAGE(OFFSET($EN$3,0,0,'Données projet'!$E$15+1,1))-AVERAGE(OFFSET($H$3,0,0,'Données projet'!$E$15+1,1))</f>
        <v>399.38728019348088</v>
      </c>
      <c r="EP6" s="59">
        <f t="shared" si="46"/>
        <v>289.54922160039791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298.61848781128475</v>
      </c>
      <c r="S7" s="59">
        <f ca="1">AVERAGE(OFFSET($R$3,0,0,'Données projet'!$E$9+1,1))-AVERAGE(OFFSET($H$3,0,0,'Données projet'!$E$9+1,1))</f>
        <v>318.40875902853116</v>
      </c>
      <c r="T7" s="59">
        <f t="shared" si="34"/>
        <v>234.87694492493506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</v>
      </c>
      <c r="AI7" s="13">
        <f>IF('Données projet'!$A$62&gt;35,AI6+AH7-AQ6,IF(A7&lt;'Données projet'!$A$62,$AF$205^A7,IF(A7='Données projet'!$A$62,'Données projet'!$B$62,AI6+AH7-AQ6)))</f>
        <v>3.2900699687263746</v>
      </c>
      <c r="AJ7" s="13">
        <f>AI7*VLOOKUP('Données projet'!$B$10,Paramètres!$A$1:$I$89,3,0)*VLOOKUP('Données projet'!$B$10,Paramètres!$A$1:$I$89,5,0)</f>
        <v>2.874205124679361</v>
      </c>
      <c r="AK7" s="13">
        <f t="shared" si="35"/>
        <v>1.1713814899478936</v>
      </c>
      <c r="AL7" s="20">
        <f t="shared" si="4"/>
        <v>7.0460633538091342</v>
      </c>
      <c r="AM7" s="59">
        <f t="shared" si="5"/>
        <v>300.37939668714245</v>
      </c>
      <c r="AN7" s="59">
        <f ca="1">AVERAGE(OFFSET($AM$3,0,0,'Données projet'!$E$10+1,1))-AVERAGE(OFFSET($H$3,0,0,'Données projet'!$E$10+1,1))</f>
        <v>243.38048563215585</v>
      </c>
      <c r="AO7" s="59">
        <f t="shared" si="36"/>
        <v>372.1604147006675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1.7504516845450688</v>
      </c>
      <c r="BF7" s="13">
        <f t="shared" si="37"/>
        <v>0.75578717481691204</v>
      </c>
      <c r="BG7" s="20">
        <f t="shared" si="7"/>
        <v>4.3650326800554504</v>
      </c>
      <c r="BH7" s="59">
        <f t="shared" si="8"/>
        <v>297.69836601338875</v>
      </c>
      <c r="BI7" s="59">
        <f ca="1">AVERAGE(OFFSET($BH$3,0,0,'Données projet'!$E$11+1,1))-AVERAGE(OFFSET($H$3,0,0,'Données projet'!$E$11+1,1))</f>
        <v>207.93042467236967</v>
      </c>
      <c r="BJ7" s="59">
        <f t="shared" si="38"/>
        <v>250.70954318710835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5.85</v>
      </c>
      <c r="BY7" s="12">
        <f>IF('Données projet'!$A$114&gt;35,BY6+BX7-CG6,IF(A7&lt;'Données projet'!$A$114,$BV$205^A7,IF(A7='Données projet'!$A$114,'Données projet'!$B$114,BY6+BX7-CG6)))</f>
        <v>2.5920129819855133</v>
      </c>
      <c r="BZ7" s="13">
        <f>BY7*VLOOKUP('Données projet'!$B$12,Paramètres!$A$1:$I$89,3,0)*VLOOKUP('Données projet'!$B$12,Paramètres!$A$1:$I$89,5,0)</f>
        <v>2.0217701259487004</v>
      </c>
      <c r="CA7" s="13">
        <f t="shared" si="39"/>
        <v>0.85841374167501538</v>
      </c>
      <c r="CB7" s="20">
        <f t="shared" si="10"/>
        <v>5.0163202361113051</v>
      </c>
      <c r="CC7" s="59">
        <f t="shared" si="11"/>
        <v>298.34965356944463</v>
      </c>
      <c r="CD7" s="59">
        <f ca="1">AVERAGE(OFFSET($CC$3,0,0,'Données projet'!$E$12+1,1))-AVERAGE(OFFSET($H$3,0,0,'Données projet'!$E$12+1,1))</f>
        <v>266.30229009596883</v>
      </c>
      <c r="CE7" s="59">
        <f t="shared" si="40"/>
        <v>270.19195828386046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2.0761171142278725</v>
      </c>
      <c r="CV7" s="13">
        <f t="shared" si="41"/>
        <v>0.87877116536856548</v>
      </c>
      <c r="CW7" s="20">
        <f t="shared" si="13"/>
        <v>5.14643042029713</v>
      </c>
      <c r="CX7" s="59">
        <f t="shared" si="14"/>
        <v>298.47976375363044</v>
      </c>
      <c r="CY7" s="59">
        <f ca="1">AVERAGE(OFFSET($CX$3,0,0,'Données projet'!$E$13+1,1))-AVERAGE(OFFSET($H$3,0,0,'Données projet'!$E$13+1,1))</f>
        <v>260.20517190557814</v>
      </c>
      <c r="CZ7" s="59">
        <f t="shared" si="42"/>
        <v>307.22009971147133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3.65</v>
      </c>
      <c r="DO7" s="12">
        <f>IF('Données projet'!$A$166&gt;35,DO6+DN7-DW6,IF(A7&lt;'Données projet'!$A$166,$DL$205^A7,IF(A7='Données projet'!$A$166,'Données projet'!$B$166,DO6+DN7-DW6)))</f>
        <v>2.3586558182407358</v>
      </c>
      <c r="DP7" s="17">
        <f>DO7*VLOOKUP('Données projet'!$B$14,Paramètres!$A$1:$I$89,3,0)*VLOOKUP('Données projet'!$B$14,Paramètres!$A$1:$I$89,5,0)</f>
        <v>2.2812919074024398</v>
      </c>
      <c r="DQ7" s="13">
        <f t="shared" si="43"/>
        <v>0.95508202741684722</v>
      </c>
      <c r="DR7" s="20">
        <f t="shared" si="16"/>
        <v>5.6366846031435918</v>
      </c>
      <c r="DS7" s="59">
        <f t="shared" si="17"/>
        <v>298.97001793647689</v>
      </c>
      <c r="DT7" s="59">
        <f ca="1">AVERAGE(OFFSET($DS$3,0,0,'Données projet'!$E$14+1,1))-AVERAGE(OFFSET($H$3,0,0,'Données projet'!$E$14+1,1))</f>
        <v>347.8889410585312</v>
      </c>
      <c r="DU7" s="59">
        <f t="shared" si="44"/>
        <v>254.78167322479203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3.65</v>
      </c>
      <c r="EJ7" s="12">
        <f>IF('Données projet'!$A$192&gt;35,EJ6+EI7-ER6,IF(A7&lt;'Données projet'!$A$192,$EG$205^A7,IF(A7='Données projet'!$A$192,'Données projet'!$B$192,EJ6+EI7-ER6)))</f>
        <v>2.3586558182407358</v>
      </c>
      <c r="EK7" s="17">
        <f>EJ7*VLOOKUP('Données projet'!$B$15,Paramètres!$A$1:$I$89,3,0)*VLOOKUP('Données projet'!$B$15,Paramètres!$A$1:$I$89,5,0)</f>
        <v>2.5388571227543277</v>
      </c>
      <c r="EL7" s="13">
        <f t="shared" si="45"/>
        <v>1.0497609958185417</v>
      </c>
      <c r="EM7" s="20">
        <f t="shared" si="19"/>
        <v>6.2501765565144138</v>
      </c>
      <c r="EN7" s="59">
        <f t="shared" si="20"/>
        <v>299.58350988984773</v>
      </c>
      <c r="EO7" s="59">
        <f ca="1">AVERAGE(OFFSET($EN$3,0,0,'Données projet'!$E$15+1,1))-AVERAGE(OFFSET($H$3,0,0,'Données projet'!$E$15+1,1))</f>
        <v>399.38728019348088</v>
      </c>
      <c r="EP7" s="59">
        <f t="shared" si="46"/>
        <v>289.54922160039791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299.83514117239878</v>
      </c>
      <c r="S8" s="59">
        <f ca="1">AVERAGE(OFFSET($R$3,0,0,'Données projet'!$E$9+1,1))-AVERAGE(OFFSET($H$3,0,0,'Données projet'!$E$9+1,1))</f>
        <v>318.40875902853116</v>
      </c>
      <c r="T8" s="59">
        <f t="shared" si="34"/>
        <v>234.87694492493506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</v>
      </c>
      <c r="AI8" s="13">
        <f>IF('Données projet'!$A$62&gt;35,AI7+AH8-AQ7,IF(A8&lt;'Données projet'!$A$62,$AF$205^A8,IF(A8='Données projet'!$A$62,'Données projet'!$B$62,AI7+AH8-AQ7)))</f>
        <v>4.4310476216936356</v>
      </c>
      <c r="AJ8" s="13">
        <f>AI8*VLOOKUP('Données projet'!$B$10,Paramètres!$A$1:$I$89,3,0)*VLOOKUP('Données projet'!$B$10,Paramètres!$A$1:$I$89,5,0)</f>
        <v>3.8709632023115605</v>
      </c>
      <c r="AK8" s="13">
        <f t="shared" si="35"/>
        <v>1.5238736908481918</v>
      </c>
      <c r="AL8" s="20">
        <f t="shared" si="4"/>
        <v>9.3960075889199022</v>
      </c>
      <c r="AM8" s="59">
        <f t="shared" si="5"/>
        <v>302.72934092225324</v>
      </c>
      <c r="AN8" s="59">
        <f ca="1">AVERAGE(OFFSET($AM$3,0,0,'Données projet'!$E$10+1,1))-AVERAGE(OFFSET($H$3,0,0,'Données projet'!$E$10+1,1))</f>
        <v>243.38048563215585</v>
      </c>
      <c r="AO8" s="59">
        <f t="shared" si="36"/>
        <v>372.1604147006675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2.2247919093704032</v>
      </c>
      <c r="BF8" s="13">
        <f t="shared" si="37"/>
        <v>0.93415076894867155</v>
      </c>
      <c r="BG8" s="20">
        <f t="shared" si="7"/>
        <v>5.5018251647390555</v>
      </c>
      <c r="BH8" s="59">
        <f t="shared" si="8"/>
        <v>298.83515849807236</v>
      </c>
      <c r="BI8" s="59">
        <f ca="1">AVERAGE(OFFSET($BH$3,0,0,'Données projet'!$E$11+1,1))-AVERAGE(OFFSET($H$3,0,0,'Données projet'!$E$11+1,1))</f>
        <v>207.93042467236967</v>
      </c>
      <c r="BJ8" s="59">
        <f t="shared" si="38"/>
        <v>250.70954318710835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5.85</v>
      </c>
      <c r="BY8" s="12">
        <f>IF('Données projet'!$A$114&gt;35,BY7+BX8-CG7,IF(A8&lt;'Données projet'!$A$114,$BV$205^A8,IF(A8='Données projet'!$A$114,'Données projet'!$B$114,BY7+BX8-CG7)))</f>
        <v>3.2888681679860574</v>
      </c>
      <c r="BZ8" s="13">
        <f>BY8*VLOOKUP('Données projet'!$B$12,Paramètres!$A$1:$I$89,3,0)*VLOOKUP('Données projet'!$B$12,Paramètres!$A$1:$I$89,5,0)</f>
        <v>2.5653171710291249</v>
      </c>
      <c r="CA8" s="13">
        <f t="shared" si="39"/>
        <v>1.0594223058937526</v>
      </c>
      <c r="CB8" s="20">
        <f t="shared" si="10"/>
        <v>6.3130879223073455</v>
      </c>
      <c r="CC8" s="59">
        <f t="shared" si="11"/>
        <v>299.64642125564063</v>
      </c>
      <c r="CD8" s="59">
        <f ca="1">AVERAGE(OFFSET($CC$3,0,0,'Données projet'!$E$12+1,1))-AVERAGE(OFFSET($H$3,0,0,'Données projet'!$E$12+1,1))</f>
        <v>266.30229009596883</v>
      </c>
      <c r="CE8" s="59">
        <f t="shared" si="40"/>
        <v>270.19195828386046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2.6387066832067574</v>
      </c>
      <c r="CV8" s="13">
        <f t="shared" si="41"/>
        <v>1.0861586266766543</v>
      </c>
      <c r="CW8" s="20">
        <f t="shared" si="13"/>
        <v>6.4874737480469413</v>
      </c>
      <c r="CX8" s="59">
        <f t="shared" si="14"/>
        <v>299.82080708138028</v>
      </c>
      <c r="CY8" s="59">
        <f ca="1">AVERAGE(OFFSET($CX$3,0,0,'Données projet'!$E$13+1,1))-AVERAGE(OFFSET($H$3,0,0,'Données projet'!$E$13+1,1))</f>
        <v>260.20517190557814</v>
      </c>
      <c r="CZ8" s="59">
        <f t="shared" si="42"/>
        <v>307.22009971147133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3.65</v>
      </c>
      <c r="DO8" s="12">
        <f>IF('Données projet'!$A$166&gt;35,DO7+DN8-DW7,IF(A8&lt;'Données projet'!$A$166,$DL$205^A8,IF(A8='Données projet'!$A$166,'Données projet'!$B$166,DO7+DN8-DW7)))</f>
        <v>2.9230127856917649</v>
      </c>
      <c r="DP8" s="17">
        <f>DO8*VLOOKUP('Données projet'!$B$14,Paramètres!$A$1:$I$89,3,0)*VLOOKUP('Données projet'!$B$14,Paramètres!$A$1:$I$89,5,0)</f>
        <v>2.8271379663210752</v>
      </c>
      <c r="DQ8" s="13">
        <f t="shared" si="43"/>
        <v>1.1544158385061292</v>
      </c>
      <c r="DR8" s="20">
        <f t="shared" si="16"/>
        <v>6.9345395434073795</v>
      </c>
      <c r="DS8" s="59">
        <f t="shared" si="17"/>
        <v>300.26787287674068</v>
      </c>
      <c r="DT8" s="59">
        <f ca="1">AVERAGE(OFFSET($DS$3,0,0,'Données projet'!$E$14+1,1))-AVERAGE(OFFSET($H$3,0,0,'Données projet'!$E$14+1,1))</f>
        <v>347.8889410585312</v>
      </c>
      <c r="DU8" s="59">
        <f t="shared" si="44"/>
        <v>254.78167322479203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3.65</v>
      </c>
      <c r="EJ8" s="12">
        <f>IF('Données projet'!$A$192&gt;35,EJ7+EI8-ER7,IF(A8&lt;'Données projet'!$A$192,$EG$205^A8,IF(A8='Données projet'!$A$192,'Données projet'!$B$192,EJ7+EI8-ER7)))</f>
        <v>2.9230127856917649</v>
      </c>
      <c r="EK8" s="17">
        <f>EJ8*VLOOKUP('Données projet'!$B$15,Paramètres!$A$1:$I$89,3,0)*VLOOKUP('Données projet'!$B$15,Paramètres!$A$1:$I$89,5,0)</f>
        <v>3.1463309625186153</v>
      </c>
      <c r="EL8" s="13">
        <f t="shared" si="45"/>
        <v>1.2688551196974542</v>
      </c>
      <c r="EM8" s="20">
        <f t="shared" si="19"/>
        <v>7.6897824265263219</v>
      </c>
      <c r="EN8" s="59">
        <f t="shared" si="20"/>
        <v>301.02311575985965</v>
      </c>
      <c r="EO8" s="59">
        <f ca="1">AVERAGE(OFFSET($EN$3,0,0,'Données projet'!$E$15+1,1))-AVERAGE(OFFSET($H$3,0,0,'Données projet'!$E$15+1,1))</f>
        <v>399.38728019348088</v>
      </c>
      <c r="EP8" s="59">
        <f t="shared" si="46"/>
        <v>289.54922160039791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301.33290077663611</v>
      </c>
      <c r="S9" s="59">
        <f ca="1">AVERAGE(OFFSET($R$3,0,0,'Données projet'!$E$9+1,1))-AVERAGE(OFFSET($H$3,0,0,'Données projet'!$E$9+1,1))</f>
        <v>318.40875902853116</v>
      </c>
      <c r="T9" s="59">
        <f t="shared" si="34"/>
        <v>234.87694492493506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</v>
      </c>
      <c r="AI9" s="13">
        <f>IF('Données projet'!$A$62&gt;35,AI8+AH9-AQ8,IF(A9&lt;'Données projet'!$A$62,$AF$205^A9,IF(A9='Données projet'!$A$62,'Données projet'!$B$62,AI8+AH9-AQ8)))</f>
        <v>5.9677098701087665</v>
      </c>
      <c r="AJ9" s="13">
        <f>AI9*VLOOKUP('Données projet'!$B$10,Paramètres!$A$1:$I$89,3,0)*VLOOKUP('Données projet'!$B$10,Paramètres!$A$1:$I$89,5,0)</f>
        <v>5.2133913425270189</v>
      </c>
      <c r="AK9" s="13">
        <f t="shared" si="35"/>
        <v>1.9824378698032765</v>
      </c>
      <c r="AL9" s="20">
        <f t="shared" si="4"/>
        <v>12.53273587814193</v>
      </c>
      <c r="AM9" s="59">
        <f t="shared" si="5"/>
        <v>305.86606921147524</v>
      </c>
      <c r="AN9" s="59">
        <f ca="1">AVERAGE(OFFSET($AM$3,0,0,'Données projet'!$E$10+1,1))-AVERAGE(OFFSET($H$3,0,0,'Données projet'!$E$10+1,1))</f>
        <v>243.38048563215585</v>
      </c>
      <c r="AO9" s="59">
        <f t="shared" si="36"/>
        <v>372.1604147006675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2.8276696144780482</v>
      </c>
      <c r="BF9" s="13">
        <f t="shared" si="37"/>
        <v>1.1546076570283019</v>
      </c>
      <c r="BG9" s="20">
        <f t="shared" si="7"/>
        <v>6.9357995812068935</v>
      </c>
      <c r="BH9" s="59">
        <f t="shared" si="8"/>
        <v>300.26913291454019</v>
      </c>
      <c r="BI9" s="59">
        <f ca="1">AVERAGE(OFFSET($BH$3,0,0,'Données projet'!$E$11+1,1))-AVERAGE(OFFSET($H$3,0,0,'Données projet'!$E$11+1,1))</f>
        <v>207.93042467236967</v>
      </c>
      <c r="BJ9" s="59">
        <f t="shared" si="38"/>
        <v>250.70954318710835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5.85</v>
      </c>
      <c r="BY9" s="12">
        <f>IF('Données projet'!$A$114&gt;35,BY8+BX9-CG8,IF(A9&lt;'Données projet'!$A$114,$BV$205^A9,IF(A9='Données projet'!$A$114,'Données projet'!$B$114,BY8+BX9-CG8)))</f>
        <v>4.1730708532587206</v>
      </c>
      <c r="BZ9" s="13">
        <f>BY9*VLOOKUP('Données projet'!$B$12,Paramètres!$A$1:$I$89,3,0)*VLOOKUP('Données projet'!$B$12,Paramètres!$A$1:$I$89,5,0)</f>
        <v>3.2549952655418024</v>
      </c>
      <c r="CA9" s="13">
        <f t="shared" si="39"/>
        <v>1.3074995980786071</v>
      </c>
      <c r="CB9" s="20">
        <f t="shared" si="10"/>
        <v>7.9463452208055463</v>
      </c>
      <c r="CC9" s="59">
        <f t="shared" si="11"/>
        <v>301.27967855413885</v>
      </c>
      <c r="CD9" s="59">
        <f ca="1">AVERAGE(OFFSET($CC$3,0,0,'Données projet'!$E$12+1,1))-AVERAGE(OFFSET($H$3,0,0,'Données projet'!$E$12+1,1))</f>
        <v>266.30229009596883</v>
      </c>
      <c r="CE9" s="59">
        <f t="shared" si="40"/>
        <v>270.19195828386046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3.353747682287918</v>
      </c>
      <c r="CV9" s="13">
        <f t="shared" si="41"/>
        <v>1.3424889309030987</v>
      </c>
      <c r="CW9" s="20">
        <f t="shared" si="13"/>
        <v>8.1792787679743544</v>
      </c>
      <c r="CX9" s="59">
        <f t="shared" si="14"/>
        <v>301.5126121013077</v>
      </c>
      <c r="CY9" s="59">
        <f ca="1">AVERAGE(OFFSET($CX$3,0,0,'Données projet'!$E$13+1,1))-AVERAGE(OFFSET($H$3,0,0,'Données projet'!$E$13+1,1))</f>
        <v>260.20517190557814</v>
      </c>
      <c r="CZ9" s="59">
        <f t="shared" si="42"/>
        <v>307.22009971147133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3.65</v>
      </c>
      <c r="DO9" s="12">
        <f>IF('Données projet'!$A$166&gt;35,DO8+DN9-DW8,IF(A9&lt;'Données projet'!$A$166,$DL$205^A9,IF(A9='Données projet'!$A$166,'Données projet'!$B$166,DO8+DN9-DW8)))</f>
        <v>3.6224037772879885</v>
      </c>
      <c r="DP9" s="17">
        <f>DO9*VLOOKUP('Données projet'!$B$14,Paramètres!$A$1:$I$89,3,0)*VLOOKUP('Données projet'!$B$14,Paramètres!$A$1:$I$89,5,0)</f>
        <v>3.5035889333929422</v>
      </c>
      <c r="DQ9" s="13">
        <f t="shared" si="43"/>
        <v>1.3953523257036018</v>
      </c>
      <c r="DR9" s="20">
        <f t="shared" si="16"/>
        <v>8.5323226929264795</v>
      </c>
      <c r="DS9" s="59">
        <f t="shared" si="17"/>
        <v>301.86565602625978</v>
      </c>
      <c r="DT9" s="59">
        <f ca="1">AVERAGE(OFFSET($DS$3,0,0,'Données projet'!$E$14+1,1))-AVERAGE(OFFSET($H$3,0,0,'Données projet'!$E$14+1,1))</f>
        <v>347.8889410585312</v>
      </c>
      <c r="DU9" s="59">
        <f t="shared" si="44"/>
        <v>254.78167322479203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3.65</v>
      </c>
      <c r="EJ9" s="12">
        <f>IF('Données projet'!$A$192&gt;35,EJ8+EI9-ER8,IF(A9&lt;'Données projet'!$A$192,$EG$205^A9,IF(A9='Données projet'!$A$192,'Données projet'!$B$192,EJ8+EI9-ER8)))</f>
        <v>3.6224037772879885</v>
      </c>
      <c r="EK9" s="17">
        <f>EJ9*VLOOKUP('Données projet'!$B$15,Paramètres!$A$1:$I$89,3,0)*VLOOKUP('Données projet'!$B$15,Paramètres!$A$1:$I$89,5,0)</f>
        <v>3.8991554258727907</v>
      </c>
      <c r="EL9" s="13">
        <f t="shared" si="45"/>
        <v>1.5336760664526912</v>
      </c>
      <c r="EM9" s="20">
        <f t="shared" si="19"/>
        <v>9.4621815158002143</v>
      </c>
      <c r="EN9" s="59">
        <f t="shared" si="20"/>
        <v>302.79551484913355</v>
      </c>
      <c r="EO9" s="59">
        <f ca="1">AVERAGE(OFFSET($EN$3,0,0,'Données projet'!$E$15+1,1))-AVERAGE(OFFSET($H$3,0,0,'Données projet'!$E$15+1,1))</f>
        <v>399.38728019348088</v>
      </c>
      <c r="EP9" s="59">
        <f t="shared" si="46"/>
        <v>289.54922160039791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303.17693934275616</v>
      </c>
      <c r="S10" s="59">
        <f ca="1">AVERAGE(OFFSET($R$3,0,0,'Données projet'!$E$9+1,1))-AVERAGE(OFFSET($H$3,0,0,'Données projet'!$E$9+1,1))</f>
        <v>318.40875902853116</v>
      </c>
      <c r="T10" s="59">
        <f t="shared" si="34"/>
        <v>234.87694492493506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</v>
      </c>
      <c r="AI10" s="13">
        <f>IF('Données projet'!$A$62&gt;35,AI9+AH10-AQ9,IF(A10&lt;'Données projet'!$A$62,$AF$205^A10,IF(A10='Données projet'!$A$62,'Données projet'!$B$62,AI9+AH10-AQ9)))</f>
        <v>8.0372778932539148</v>
      </c>
      <c r="AJ10" s="13">
        <f>AI10*VLOOKUP('Données projet'!$B$10,Paramètres!$A$1:$I$89,3,0)*VLOOKUP('Données projet'!$B$10,Paramètres!$A$1:$I$89,5,0)</f>
        <v>7.0213659675466209</v>
      </c>
      <c r="AK10" s="13">
        <f t="shared" si="35"/>
        <v>2.5789932139603198</v>
      </c>
      <c r="AL10" s="20">
        <f t="shared" si="4"/>
        <v>16.72062557445792</v>
      </c>
      <c r="AM10" s="59">
        <f t="shared" si="5"/>
        <v>310.05395890779124</v>
      </c>
      <c r="AN10" s="59">
        <f ca="1">AVERAGE(OFFSET($AM$3,0,0,'Données projet'!$E$10+1,1))-AVERAGE(OFFSET($H$3,0,0,'Données projet'!$E$10+1,1))</f>
        <v>243.38048563215585</v>
      </c>
      <c r="AO10" s="59">
        <f t="shared" si="36"/>
        <v>372.1604147006675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3.5939160938899462</v>
      </c>
      <c r="BF10" s="13">
        <f t="shared" si="37"/>
        <v>1.4270917350619183</v>
      </c>
      <c r="BG10" s="20">
        <f t="shared" si="7"/>
        <v>8.7449219687578292</v>
      </c>
      <c r="BH10" s="59">
        <f t="shared" si="8"/>
        <v>302.07825530209112</v>
      </c>
      <c r="BI10" s="59">
        <f ca="1">AVERAGE(OFFSET($BH$3,0,0,'Données projet'!$E$11+1,1))-AVERAGE(OFFSET($H$3,0,0,'Données projet'!$E$11+1,1))</f>
        <v>207.93042467236967</v>
      </c>
      <c r="BJ10" s="59">
        <f t="shared" si="38"/>
        <v>250.70954318710835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5.85</v>
      </c>
      <c r="BY10" s="12">
        <f>IF('Données projet'!$A$114&gt;35,BY9+BX10-CG9,IF(A10&lt;'Données projet'!$A$114,$BV$205^A10,IF(A10='Données projet'!$A$114,'Données projet'!$B$114,BY9+BX10-CG9)))</f>
        <v>5.2949888705880443</v>
      </c>
      <c r="BZ10" s="13">
        <f>BY10*VLOOKUP('Données projet'!$B$12,Paramètres!$A$1:$I$89,3,0)*VLOOKUP('Données projet'!$B$12,Paramètres!$A$1:$I$89,5,0)</f>
        <v>4.1300913190586748</v>
      </c>
      <c r="CA10" s="13">
        <f t="shared" si="39"/>
        <v>1.6136673633027767</v>
      </c>
      <c r="CB10" s="20">
        <f t="shared" si="10"/>
        <v>10.003713038446195</v>
      </c>
      <c r="CC10" s="59">
        <f t="shared" si="11"/>
        <v>303.33704637177954</v>
      </c>
      <c r="CD10" s="59">
        <f ca="1">AVERAGE(OFFSET($CC$3,0,0,'Données projet'!$E$12+1,1))-AVERAGE(OFFSET($H$3,0,0,'Données projet'!$E$12+1,1))</f>
        <v>266.30229009596883</v>
      </c>
      <c r="CE10" s="59">
        <f t="shared" si="40"/>
        <v>270.19195828386046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4.2625516462415645</v>
      </c>
      <c r="CV10" s="13">
        <f t="shared" si="41"/>
        <v>1.6593124478620722</v>
      </c>
      <c r="CW10" s="20">
        <f t="shared" si="13"/>
        <v>10.313913297230501</v>
      </c>
      <c r="CX10" s="59">
        <f t="shared" si="14"/>
        <v>303.64724663056381</v>
      </c>
      <c r="CY10" s="59">
        <f ca="1">AVERAGE(OFFSET($CX$3,0,0,'Données projet'!$E$13+1,1))-AVERAGE(OFFSET($H$3,0,0,'Données projet'!$E$13+1,1))</f>
        <v>260.20517190557814</v>
      </c>
      <c r="CZ10" s="59">
        <f t="shared" si="42"/>
        <v>307.22009971147133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3.65</v>
      </c>
      <c r="DO10" s="12">
        <f>IF('Données projet'!$A$166&gt;35,DO9+DN10-DW9,IF(A10&lt;'Données projet'!$A$166,$DL$205^A10,IF(A10='Données projet'!$A$166,'Données projet'!$B$166,DO9+DN10-DW9)))</f>
        <v>4.4891384635544309</v>
      </c>
      <c r="DP10" s="17">
        <f>DO10*VLOOKUP('Données projet'!$B$14,Paramètres!$A$1:$I$89,3,0)*VLOOKUP('Données projet'!$B$14,Paramètres!$A$1:$I$89,5,0)</f>
        <v>4.3418947219498456</v>
      </c>
      <c r="DQ10" s="13">
        <f t="shared" si="43"/>
        <v>1.6865743243491664</v>
      </c>
      <c r="DR10" s="20">
        <f t="shared" si="16"/>
        <v>10.499583588970779</v>
      </c>
      <c r="DS10" s="59">
        <f t="shared" si="17"/>
        <v>303.83291692230409</v>
      </c>
      <c r="DT10" s="59">
        <f ca="1">AVERAGE(OFFSET($DS$3,0,0,'Données projet'!$E$14+1,1))-AVERAGE(OFFSET($H$3,0,0,'Données projet'!$E$14+1,1))</f>
        <v>347.8889410585312</v>
      </c>
      <c r="DU10" s="59">
        <f t="shared" si="44"/>
        <v>254.78167322479203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3.65</v>
      </c>
      <c r="EJ10" s="12">
        <f>IF('Données projet'!$A$192&gt;35,EJ9+EI10-ER9,IF(A10&lt;'Données projet'!$A$192,$EG$205^A10,IF(A10='Données projet'!$A$192,'Données projet'!$B$192,EJ9+EI10-ER9)))</f>
        <v>4.4891384635544309</v>
      </c>
      <c r="EK10" s="17">
        <f>EJ10*VLOOKUP('Données projet'!$B$15,Paramètres!$A$1:$I$89,3,0)*VLOOKUP('Données projet'!$B$15,Paramètres!$A$1:$I$89,5,0)</f>
        <v>4.8321086421699899</v>
      </c>
      <c r="EL10" s="13">
        <f t="shared" si="45"/>
        <v>1.8537674162284574</v>
      </c>
      <c r="EM10" s="20">
        <f t="shared" si="19"/>
        <v>11.644567468377296</v>
      </c>
      <c r="EN10" s="59">
        <f t="shared" si="20"/>
        <v>304.97790080171063</v>
      </c>
      <c r="EO10" s="59">
        <f ca="1">AVERAGE(OFFSET($EN$3,0,0,'Données projet'!$E$15+1,1))-AVERAGE(OFFSET($H$3,0,0,'Données projet'!$E$15+1,1))</f>
        <v>399.38728019348088</v>
      </c>
      <c r="EP10" s="59">
        <f t="shared" si="46"/>
        <v>289.54922160039791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305.44758777557922</v>
      </c>
      <c r="S11" s="59">
        <f ca="1">AVERAGE(OFFSET($R$3,0,0,'Données projet'!$E$9+1,1))-AVERAGE(OFFSET($H$3,0,0,'Données projet'!$E$9+1,1))</f>
        <v>318.40875902853116</v>
      </c>
      <c r="T11" s="59">
        <f t="shared" si="34"/>
        <v>234.87694492493506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</v>
      </c>
      <c r="AI11" s="13">
        <f>IF('Données projet'!$A$62&gt;35,AI10+AH11-AQ10,IF(A11&lt;'Données projet'!$A$62,$AF$205^A11,IF(A11='Données projet'!$A$62,'Données projet'!$B$62,AI10+AH11-AQ10)))</f>
        <v>10.824560399115168</v>
      </c>
      <c r="AJ11" s="13">
        <f>AI11*VLOOKUP('Données projet'!$B$10,Paramètres!$A$1:$I$89,3,0)*VLOOKUP('Données projet'!$B$10,Paramètres!$A$1:$I$89,5,0)</f>
        <v>9.4563359646670122</v>
      </c>
      <c r="AK11" s="13">
        <f t="shared" si="35"/>
        <v>3.3550640345230081</v>
      </c>
      <c r="AL11" s="20">
        <f t="shared" si="4"/>
        <v>22.313188331922618</v>
      </c>
      <c r="AM11" s="59">
        <f t="shared" si="5"/>
        <v>315.64652166525593</v>
      </c>
      <c r="AN11" s="59">
        <f ca="1">AVERAGE(OFFSET($AM$3,0,0,'Données projet'!$E$10+1,1))-AVERAGE(OFFSET($H$3,0,0,'Données projet'!$E$10+1,1))</f>
        <v>243.38048563215585</v>
      </c>
      <c r="AO11" s="59">
        <f t="shared" si="36"/>
        <v>372.1604147006675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4.5678012819419642</v>
      </c>
      <c r="BF11" s="13">
        <f t="shared" si="37"/>
        <v>1.7638812698711521</v>
      </c>
      <c r="BG11" s="20">
        <f t="shared" si="7"/>
        <v>11.027680444407844</v>
      </c>
      <c r="BH11" s="59">
        <f t="shared" si="8"/>
        <v>304.36101377774116</v>
      </c>
      <c r="BI11" s="59">
        <f ca="1">AVERAGE(OFFSET($BH$3,0,0,'Données projet'!$E$11+1,1))-AVERAGE(OFFSET($H$3,0,0,'Données projet'!$E$11+1,1))</f>
        <v>207.93042467236967</v>
      </c>
      <c r="BJ11" s="59">
        <f t="shared" si="38"/>
        <v>250.70954318710835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5.85</v>
      </c>
      <c r="BY11" s="12">
        <f>IF('Données projet'!$A$114&gt;35,BY10+BX11-CG10,IF(A11&lt;'Données projet'!$A$114,$BV$205^A11,IF(A11='Données projet'!$A$114,'Données projet'!$B$114,BY10+BX11-CG10)))</f>
        <v>6.718531298781433</v>
      </c>
      <c r="BZ11" s="13">
        <f>BY11*VLOOKUP('Données projet'!$B$12,Paramètres!$A$1:$I$89,3,0)*VLOOKUP('Données projet'!$B$12,Paramètres!$A$1:$I$89,5,0)</f>
        <v>5.2404544130495179</v>
      </c>
      <c r="CA11" s="13">
        <f t="shared" si="39"/>
        <v>1.9915282293126844</v>
      </c>
      <c r="CB11" s="20">
        <f t="shared" si="10"/>
        <v>12.59570310211417</v>
      </c>
      <c r="CC11" s="59">
        <f t="shared" si="11"/>
        <v>305.92903643544747</v>
      </c>
      <c r="CD11" s="59">
        <f ca="1">AVERAGE(OFFSET($CC$3,0,0,'Données projet'!$E$12+1,1))-AVERAGE(OFFSET($H$3,0,0,'Données projet'!$E$12+1,1))</f>
        <v>266.30229009596883</v>
      </c>
      <c r="CE11" s="59">
        <f t="shared" si="40"/>
        <v>270.19195828386046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5.4176247762567487</v>
      </c>
      <c r="CV11" s="13">
        <f t="shared" si="41"/>
        <v>2.0509054013412618</v>
      </c>
      <c r="CW11" s="20">
        <f t="shared" si="13"/>
        <v>13.007690059316532</v>
      </c>
      <c r="CX11" s="59">
        <f t="shared" si="14"/>
        <v>306.34102339264984</v>
      </c>
      <c r="CY11" s="59">
        <f ca="1">AVERAGE(OFFSET($CX$3,0,0,'Données projet'!$E$13+1,1))-AVERAGE(OFFSET($H$3,0,0,'Données projet'!$E$13+1,1))</f>
        <v>260.20517190557814</v>
      </c>
      <c r="CZ11" s="59">
        <f t="shared" si="42"/>
        <v>307.22009971147133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3.65</v>
      </c>
      <c r="DO11" s="12">
        <f>IF('Données projet'!$A$166&gt;35,DO10+DN11-DW10,IF(A11&lt;'Données projet'!$A$166,$DL$205^A11,IF(A11='Données projet'!$A$166,'Données projet'!$B$166,DO10+DN11-DW10)))</f>
        <v>5.563257268920875</v>
      </c>
      <c r="DP11" s="17">
        <f>DO11*VLOOKUP('Données projet'!$B$14,Paramètres!$A$1:$I$89,3,0)*VLOOKUP('Données projet'!$B$14,Paramètres!$A$1:$I$89,5,0)</f>
        <v>5.3807824305002701</v>
      </c>
      <c r="DQ11" s="13">
        <f t="shared" si="43"/>
        <v>2.0385768519929188</v>
      </c>
      <c r="DR11" s="20">
        <f t="shared" si="16"/>
        <v>12.922050750342303</v>
      </c>
      <c r="DS11" s="59">
        <f t="shared" si="17"/>
        <v>306.25538408367561</v>
      </c>
      <c r="DT11" s="59">
        <f ca="1">AVERAGE(OFFSET($DS$3,0,0,'Données projet'!$E$14+1,1))-AVERAGE(OFFSET($H$3,0,0,'Données projet'!$E$14+1,1))</f>
        <v>347.8889410585312</v>
      </c>
      <c r="DU11" s="59">
        <f t="shared" si="44"/>
        <v>254.78167322479203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3.65</v>
      </c>
      <c r="EJ11" s="12">
        <f>IF('Données projet'!$A$192&gt;35,EJ10+EI11-ER10,IF(A11&lt;'Données projet'!$A$192,$EG$205^A11,IF(A11='Données projet'!$A$192,'Données projet'!$B$192,EJ10+EI11-ER10)))</f>
        <v>5.563257268920875</v>
      </c>
      <c r="EK11" s="17">
        <f>EJ11*VLOOKUP('Données projet'!$B$15,Paramètres!$A$1:$I$89,3,0)*VLOOKUP('Données projet'!$B$15,Paramètres!$A$1:$I$89,5,0)</f>
        <v>5.9882901242664301</v>
      </c>
      <c r="EL11" s="13">
        <f t="shared" si="45"/>
        <v>2.2406645762026263</v>
      </c>
      <c r="EM11" s="20">
        <f t="shared" si="19"/>
        <v>14.332096103316941</v>
      </c>
      <c r="EN11" s="59">
        <f t="shared" si="20"/>
        <v>307.66542943665024</v>
      </c>
      <c r="EO11" s="59">
        <f ca="1">AVERAGE(OFFSET($EN$3,0,0,'Données projet'!$E$15+1,1))-AVERAGE(OFFSET($H$3,0,0,'Données projet'!$E$15+1,1))</f>
        <v>399.38728019348088</v>
      </c>
      <c r="EP11" s="59">
        <f t="shared" si="46"/>
        <v>289.54922160039791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308.24387113376753</v>
      </c>
      <c r="S12" s="59">
        <f ca="1">AVERAGE(OFFSET($R$3,0,0,'Données projet'!$E$9+1,1))-AVERAGE(OFFSET($H$3,0,0,'Données projet'!$E$9+1,1))</f>
        <v>318.40875902853116</v>
      </c>
      <c r="T12" s="59">
        <f t="shared" si="34"/>
        <v>234.87694492493506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</v>
      </c>
      <c r="AI12" s="13">
        <f>IF('Données projet'!$A$62&gt;35,AI11+AH12-AQ11,IF(A12&lt;'Données projet'!$A$62,$AF$205^A12,IF(A12='Données projet'!$A$62,'Données projet'!$B$62,AI11+AH12-AQ11)))</f>
        <v>14.578456710130657</v>
      </c>
      <c r="AJ12" s="13">
        <f>AI12*VLOOKUP('Données projet'!$B$10,Paramètres!$A$1:$I$89,3,0)*VLOOKUP('Données projet'!$B$10,Paramètres!$A$1:$I$89,5,0)</f>
        <v>12.735739781970144</v>
      </c>
      <c r="AK12" s="13">
        <f t="shared" si="35"/>
        <v>4.364670141362768</v>
      </c>
      <c r="AL12" s="20">
        <f t="shared" si="4"/>
        <v>29.783213949804821</v>
      </c>
      <c r="AM12" s="59">
        <f t="shared" si="5"/>
        <v>323.11654728313812</v>
      </c>
      <c r="AN12" s="59">
        <f ca="1">AVERAGE(OFFSET($AM$3,0,0,'Données projet'!$E$10+1,1))-AVERAGE(OFFSET($H$3,0,0,'Données projet'!$E$10+1,1))</f>
        <v>243.38048563215585</v>
      </c>
      <c r="AO12" s="59">
        <f t="shared" si="36"/>
        <v>372.1604147006675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5.8055914512815487</v>
      </c>
      <c r="BF12" s="13">
        <f t="shared" si="37"/>
        <v>2.1801521638461985</v>
      </c>
      <c r="BG12" s="20">
        <f t="shared" si="7"/>
        <v>13.908503463014158</v>
      </c>
      <c r="BH12" s="59">
        <f t="shared" si="8"/>
        <v>307.24183679634746</v>
      </c>
      <c r="BI12" s="59">
        <f ca="1">AVERAGE(OFFSET($BH$3,0,0,'Données projet'!$E$11+1,1))-AVERAGE(OFFSET($H$3,0,0,'Données projet'!$E$11+1,1))</f>
        <v>207.93042467236967</v>
      </c>
      <c r="BJ12" s="59">
        <f t="shared" si="38"/>
        <v>250.70954318710835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5.85</v>
      </c>
      <c r="BY12" s="12">
        <f>IF('Données projet'!$A$114&gt;35,BY11+BX12-CG11,IF(A12&lt;'Données projet'!$A$114,$BV$205^A12,IF(A12='Données projet'!$A$114,'Données projet'!$B$114,BY11+BX12-CG11)))</f>
        <v>8.5247889874587734</v>
      </c>
      <c r="BZ12" s="13">
        <f>BY12*VLOOKUP('Données projet'!$B$12,Paramètres!$A$1:$I$89,3,0)*VLOOKUP('Données projet'!$B$12,Paramètres!$A$1:$I$89,5,0)</f>
        <v>6.6493354102178435</v>
      </c>
      <c r="CA12" s="13">
        <f t="shared" si="39"/>
        <v>2.4578700532379361</v>
      </c>
      <c r="CB12" s="20">
        <f t="shared" si="10"/>
        <v>15.86171618218548</v>
      </c>
      <c r="CC12" s="59">
        <f t="shared" si="11"/>
        <v>309.1950495155188</v>
      </c>
      <c r="CD12" s="59">
        <f ca="1">AVERAGE(OFFSET($CC$3,0,0,'Données projet'!$E$12+1,1))-AVERAGE(OFFSET($H$3,0,0,'Données projet'!$E$12+1,1))</f>
        <v>266.30229009596883</v>
      </c>
      <c r="CE12" s="59">
        <f t="shared" si="40"/>
        <v>270.19195828386046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6.8857014887292793</v>
      </c>
      <c r="CV12" s="13">
        <f t="shared" si="41"/>
        <v>2.5349131627802968</v>
      </c>
      <c r="CW12" s="20">
        <f t="shared" si="13"/>
        <v>16.407570518045844</v>
      </c>
      <c r="CX12" s="59">
        <f t="shared" si="14"/>
        <v>309.74090385137913</v>
      </c>
      <c r="CY12" s="59">
        <f ca="1">AVERAGE(OFFSET($CX$3,0,0,'Données projet'!$E$13+1,1))-AVERAGE(OFFSET($H$3,0,0,'Données projet'!$E$13+1,1))</f>
        <v>260.20517190557814</v>
      </c>
      <c r="CZ12" s="59">
        <f t="shared" si="42"/>
        <v>307.22009971147133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3.65</v>
      </c>
      <c r="DO12" s="12">
        <f>IF('Données projet'!$A$166&gt;35,DO11+DN12-DW11,IF(A12&lt;'Données projet'!$A$166,$DL$205^A12,IF(A12='Données projet'!$A$166,'Données projet'!$B$166,DO11+DN12-DW11)))</f>
        <v>6.8943811137639424</v>
      </c>
      <c r="DP12" s="17">
        <f>DO12*VLOOKUP('Données projet'!$B$14,Paramètres!$A$1:$I$89,3,0)*VLOOKUP('Données projet'!$B$14,Paramètres!$A$1:$I$89,5,0)</f>
        <v>6.6682454132324853</v>
      </c>
      <c r="DQ12" s="13">
        <f t="shared" si="43"/>
        <v>2.4640453263659414</v>
      </c>
      <c r="DR12" s="20">
        <f t="shared" si="16"/>
        <v>15.905406371467258</v>
      </c>
      <c r="DS12" s="59">
        <f t="shared" si="17"/>
        <v>309.23873970480059</v>
      </c>
      <c r="DT12" s="59">
        <f ca="1">AVERAGE(OFFSET($DS$3,0,0,'Données projet'!$E$14+1,1))-AVERAGE(OFFSET($H$3,0,0,'Données projet'!$E$14+1,1))</f>
        <v>347.8889410585312</v>
      </c>
      <c r="DU12" s="59">
        <f t="shared" si="44"/>
        <v>254.78167322479203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3.65</v>
      </c>
      <c r="EJ12" s="12">
        <f>IF('Données projet'!$A$192&gt;35,EJ11+EI12-ER11,IF(A12&lt;'Données projet'!$A$192,$EG$205^A12,IF(A12='Données projet'!$A$192,'Données projet'!$B$192,EJ11+EI12-ER11)))</f>
        <v>6.8943811137639424</v>
      </c>
      <c r="EK12" s="17">
        <f>EJ12*VLOOKUP('Données projet'!$B$15,Paramètres!$A$1:$I$89,3,0)*VLOOKUP('Données projet'!$B$15,Paramètres!$A$1:$I$89,5,0)</f>
        <v>7.4211118308555069</v>
      </c>
      <c r="EL12" s="13">
        <f t="shared" si="45"/>
        <v>2.7083104919730441</v>
      </c>
      <c r="EM12" s="20">
        <f t="shared" si="19"/>
        <v>17.642077212259725</v>
      </c>
      <c r="EN12" s="59">
        <f t="shared" si="20"/>
        <v>310.97541054559304</v>
      </c>
      <c r="EO12" s="59">
        <f ca="1">AVERAGE(OFFSET($EN$3,0,0,'Données projet'!$E$15+1,1))-AVERAGE(OFFSET($H$3,0,0,'Données projet'!$E$15+1,1))</f>
        <v>399.38728019348088</v>
      </c>
      <c r="EP12" s="59">
        <f t="shared" si="46"/>
        <v>289.54922160039791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311.68787167067455</v>
      </c>
      <c r="S13" s="59">
        <f ca="1">AVERAGE(OFFSET($R$3,0,0,'Données projet'!$E$9+1,1))-AVERAGE(OFFSET($H$3,0,0,'Données projet'!$E$9+1,1))</f>
        <v>318.40875902853116</v>
      </c>
      <c r="T13" s="59">
        <f t="shared" si="34"/>
        <v>234.87694492493506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</v>
      </c>
      <c r="AI13" s="13">
        <f>IF('Données projet'!$A$62&gt;35,AI12+AH13-AQ12,IF(A13&lt;'Données projet'!$A$62,$AF$205^A13,IF(A13='Données projet'!$A$62,'Données projet'!$B$62,AI12+AH13-AQ12)))</f>
        <v>19.634183025716826</v>
      </c>
      <c r="AJ13" s="13">
        <f>AI13*VLOOKUP('Données projet'!$B$10,Paramètres!$A$1:$I$89,3,0)*VLOOKUP('Données projet'!$B$10,Paramètres!$A$1:$I$89,5,0)</f>
        <v>17.152422291266223</v>
      </c>
      <c r="AK13" s="13">
        <f t="shared" si="35"/>
        <v>5.678086989362658</v>
      </c>
      <c r="AL13" s="20">
        <f t="shared" si="4"/>
        <v>39.763136997095295</v>
      </c>
      <c r="AM13" s="59">
        <f t="shared" si="5"/>
        <v>333.09647033042859</v>
      </c>
      <c r="AN13" s="59">
        <f ca="1">AVERAGE(OFFSET($AM$3,0,0,'Données projet'!$E$10+1,1))-AVERAGE(OFFSET($H$3,0,0,'Données projet'!$E$10+1,1))</f>
        <v>243.38048563215585</v>
      </c>
      <c r="AO13" s="59">
        <f t="shared" si="36"/>
        <v>372.1604147006675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7.3787999999999991</v>
      </c>
      <c r="BF13" s="13">
        <f t="shared" si="37"/>
        <v>2.6946617885853841</v>
      </c>
      <c r="BG13" s="20">
        <f t="shared" si="7"/>
        <v>17.544612615119544</v>
      </c>
      <c r="BH13" s="59">
        <f t="shared" si="8"/>
        <v>310.87794594845286</v>
      </c>
      <c r="BI13" s="59">
        <f ca="1">AVERAGE(OFFSET($BH$3,0,0,'Données projet'!$E$11+1,1))-AVERAGE(OFFSET($H$3,0,0,'Données projet'!$E$11+1,1))</f>
        <v>207.93042467236967</v>
      </c>
      <c r="BJ13" s="59">
        <f t="shared" si="38"/>
        <v>250.70954318710835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0.13250000000000001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5.85</v>
      </c>
      <c r="BY13" s="12">
        <f>IF('Données projet'!$A$114&gt;35,BY12+BX13-CG12,IF(A13&lt;'Données projet'!$A$114,$BV$205^A13,IF(A13='Données projet'!$A$114,'Données projet'!$B$114,BY12+BX13-CG12)))</f>
        <v>10.816653826391967</v>
      </c>
      <c r="BZ13" s="13">
        <f>BY13*VLOOKUP('Données projet'!$B$12,Paramètres!$A$1:$I$89,3,0)*VLOOKUP('Données projet'!$B$12,Paramètres!$A$1:$I$89,5,0)</f>
        <v>8.4369899845857343</v>
      </c>
      <c r="CA13" s="13">
        <f t="shared" si="39"/>
        <v>3.0334117838182832</v>
      </c>
      <c r="CB13" s="20">
        <f t="shared" si="10"/>
        <v>19.977616413303661</v>
      </c>
      <c r="CC13" s="59">
        <f t="shared" si="11"/>
        <v>313.31094974663699</v>
      </c>
      <c r="CD13" s="59">
        <f ca="1">AVERAGE(OFFSET($CC$3,0,0,'Données projet'!$E$12+1,1))-AVERAGE(OFFSET($H$3,0,0,'Données projet'!$E$12+1,1))</f>
        <v>266.30229009596883</v>
      </c>
      <c r="CE13" s="59">
        <f t="shared" si="40"/>
        <v>270.19195828386046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8.7516000000000016</v>
      </c>
      <c r="CV13" s="13">
        <f t="shared" si="41"/>
        <v>3.1331453604025001</v>
      </c>
      <c r="CW13" s="20">
        <f t="shared" si="13"/>
        <v>20.699264836034356</v>
      </c>
      <c r="CX13" s="59">
        <f t="shared" si="14"/>
        <v>314.03259816936765</v>
      </c>
      <c r="CY13" s="59">
        <f ca="1">AVERAGE(OFFSET($CX$3,0,0,'Données projet'!$E$13+1,1))-AVERAGE(OFFSET($H$3,0,0,'Données projet'!$E$13+1,1))</f>
        <v>260.20517190557814</v>
      </c>
      <c r="CZ13" s="59">
        <f t="shared" si="42"/>
        <v>307.22009971147133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0.13250000000000001</v>
      </c>
      <c r="DE13" s="16">
        <f>IF(ISNA(VLOOKUP(A13,'Données projet'!$A$139:$I$159,7,0)),0%,VLOOKUP(A13,'Données projet'!$A$139:$I$159,7,0))</f>
        <v>0.25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3.65</v>
      </c>
      <c r="DO13" s="12">
        <f>IF('Données projet'!$A$166&gt;35,DO12+DN13-DW12,IF(A13&lt;'Données projet'!$A$166,$DL$205^A13,IF(A13='Données projet'!$A$166,'Données projet'!$B$166,DO12+DN13-DW12)))</f>
        <v>8.5440037453175322</v>
      </c>
      <c r="DP13" s="17">
        <f>DO13*VLOOKUP('Données projet'!$B$14,Paramètres!$A$1:$I$89,3,0)*VLOOKUP('Données projet'!$B$14,Paramètres!$A$1:$I$89,5,0)</f>
        <v>8.2637604224711172</v>
      </c>
      <c r="DQ13" s="13">
        <f t="shared" si="43"/>
        <v>2.9783127206856603</v>
      </c>
      <c r="DR13" s="20">
        <f t="shared" si="16"/>
        <v>19.579944057664719</v>
      </c>
      <c r="DS13" s="59">
        <f t="shared" si="17"/>
        <v>312.91327739099802</v>
      </c>
      <c r="DT13" s="59">
        <f ca="1">AVERAGE(OFFSET($DS$3,0,0,'Données projet'!$E$14+1,1))-AVERAGE(OFFSET($H$3,0,0,'Données projet'!$E$14+1,1))</f>
        <v>347.8889410585312</v>
      </c>
      <c r="DU13" s="59">
        <f t="shared" si="44"/>
        <v>254.78167322479203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3.65</v>
      </c>
      <c r="EJ13" s="12">
        <f>IF('Données projet'!$A$192&gt;35,EJ12+EI13-ER12,IF(A13&lt;'Données projet'!$A$192,$EG$205^A13,IF(A13='Données projet'!$A$192,'Données projet'!$B$192,EJ12+EI13-ER12)))</f>
        <v>8.5440037453175322</v>
      </c>
      <c r="EK13" s="17">
        <f>EJ13*VLOOKUP('Données projet'!$B$15,Paramètres!$A$1:$I$89,3,0)*VLOOKUP('Données projet'!$B$15,Paramètres!$A$1:$I$89,5,0)</f>
        <v>9.1967656314597903</v>
      </c>
      <c r="EL13" s="13">
        <f t="shared" si="45"/>
        <v>3.2735581214758165</v>
      </c>
      <c r="EM13" s="20">
        <f t="shared" si="19"/>
        <v>21.719147203029511</v>
      </c>
      <c r="EN13" s="59">
        <f t="shared" si="20"/>
        <v>315.05248053636285</v>
      </c>
      <c r="EO13" s="59">
        <f ca="1">AVERAGE(OFFSET($EN$3,0,0,'Données projet'!$E$15+1,1))-AVERAGE(OFFSET($H$3,0,0,'Données projet'!$E$15+1,1))</f>
        <v>399.38728019348088</v>
      </c>
      <c r="EP13" s="59">
        <f t="shared" si="46"/>
        <v>289.54922160039791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315.93011288122739</v>
      </c>
      <c r="S14" s="59">
        <f ca="1">AVERAGE(OFFSET($R$3,0,0,'Données projet'!$E$9+1,1))-AVERAGE(OFFSET($H$3,0,0,'Données projet'!$E$9+1,1))</f>
        <v>318.40875902853116</v>
      </c>
      <c r="T14" s="59">
        <f t="shared" si="34"/>
        <v>234.87694492493506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</v>
      </c>
      <c r="AI14" s="13">
        <f>IF('Données projet'!$A$62&gt;35,AI13+AH14-AQ13,IF(A14&lt;'Données projet'!$A$62,$AF$205^A14,IF(A14='Données projet'!$A$62,'Données projet'!$B$62,AI13+AH14-AQ13)))</f>
        <v>26.443206626903088</v>
      </c>
      <c r="AJ14" s="13">
        <f>AI14*VLOOKUP('Données projet'!$B$10,Paramètres!$A$1:$I$89,3,0)*VLOOKUP('Données projet'!$B$10,Paramètres!$A$1:$I$89,5,0)</f>
        <v>23.100785309262541</v>
      </c>
      <c r="AK14" s="13">
        <f t="shared" si="35"/>
        <v>7.3867373282653306</v>
      </c>
      <c r="AL14" s="20">
        <f t="shared" si="4"/>
        <v>53.099101927027704</v>
      </c>
      <c r="AM14" s="59">
        <f t="shared" si="5"/>
        <v>346.43243526036099</v>
      </c>
      <c r="AN14" s="59">
        <f ca="1">AVERAGE(OFFSET($AM$3,0,0,'Données projet'!$E$10+1,1))-AVERAGE(OFFSET($H$3,0,0,'Données projet'!$E$10+1,1))</f>
        <v>243.38048563215585</v>
      </c>
      <c r="AO14" s="59">
        <f t="shared" si="36"/>
        <v>372.1604147006675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12.3</v>
      </c>
      <c r="BD14" s="12">
        <f>IF('Données projet'!$A$88&gt;35,BD13+BC14-BL13,IF(A14&lt;'Données projet'!$A$88,$BA$205^A14,IF(A14='Données projet'!$A$88,'Données projet'!$B$88,BD13+BC14-BL13)))</f>
        <v>23.3</v>
      </c>
      <c r="BE14" s="13">
        <f>BD14*VLOOKUP('Données projet'!$B$11,Paramètres!$A$1:$I$89,3,0)*VLOOKUP('Données projet'!$B$11,Paramètres!$A$1:$I$89,5,0)</f>
        <v>15.62964</v>
      </c>
      <c r="BF14" s="13">
        <f t="shared" si="37"/>
        <v>5.2302852984166268</v>
      </c>
      <c r="BG14" s="20">
        <f t="shared" si="7"/>
        <v>36.331036561408958</v>
      </c>
      <c r="BH14" s="59">
        <f t="shared" si="8"/>
        <v>329.66436989474226</v>
      </c>
      <c r="BI14" s="59">
        <f ca="1">AVERAGE(OFFSET($BH$3,0,0,'Données projet'!$E$11+1,1))-AVERAGE(OFFSET($H$3,0,0,'Données projet'!$E$11+1,1))</f>
        <v>207.93042467236967</v>
      </c>
      <c r="BJ14" s="59">
        <f t="shared" si="38"/>
        <v>250.70954318710835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5.85</v>
      </c>
      <c r="BY14" s="12">
        <f>IF('Données projet'!$A$114&gt;35,BY13+BX14-CG13,IF(A14&lt;'Données projet'!$A$114,$BV$205^A14,IF(A14='Données projet'!$A$114,'Données projet'!$B$114,BY13+BX14-CG13)))</f>
        <v>13.724679892033022</v>
      </c>
      <c r="BZ14" s="13">
        <f>BY14*VLOOKUP('Données projet'!$B$12,Paramètres!$A$1:$I$89,3,0)*VLOOKUP('Données projet'!$B$12,Paramètres!$A$1:$I$89,5,0)</f>
        <v>10.705250315785758</v>
      </c>
      <c r="CA14" s="13">
        <f t="shared" si="39"/>
        <v>3.7437239768171127</v>
      </c>
      <c r="CB14" s="20">
        <f t="shared" si="10"/>
        <v>25.165296892949996</v>
      </c>
      <c r="CC14" s="59">
        <f t="shared" si="11"/>
        <v>318.4986302262833</v>
      </c>
      <c r="CD14" s="59">
        <f ca="1">AVERAGE(OFFSET($CC$3,0,0,'Données projet'!$E$12+1,1))-AVERAGE(OFFSET($H$3,0,0,'Données projet'!$E$12+1,1))</f>
        <v>266.30229009596883</v>
      </c>
      <c r="CE14" s="59">
        <f t="shared" si="40"/>
        <v>270.19195828386046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12.3</v>
      </c>
      <c r="CT14" s="12">
        <f>IF('Données projet'!$A$140&gt;35,CT13+CS14-DB13,IF(A14&lt;'Données projet'!$A$140,$CQ$205^A14,IF(A14='Données projet'!$A$140,'Données projet'!$B$140,CT13+CS14-DB13)))</f>
        <v>23.3</v>
      </c>
      <c r="CU14" s="17">
        <f>CT14*VLOOKUP('Données projet'!$B$13,Paramètres!$A$1:$I$89,3,0)*VLOOKUP('Données projet'!$B$13,Paramètres!$A$1:$I$89,5,0)</f>
        <v>18.537480000000002</v>
      </c>
      <c r="CV14" s="13">
        <f t="shared" si="41"/>
        <v>6.0813732490407499</v>
      </c>
      <c r="CW14" s="20">
        <f t="shared" si="13"/>
        <v>42.877836075412638</v>
      </c>
      <c r="CX14" s="59">
        <f t="shared" si="14"/>
        <v>336.21116940874595</v>
      </c>
      <c r="CY14" s="59">
        <f ca="1">AVERAGE(OFFSET($CX$3,0,0,'Données projet'!$E$13+1,1))-AVERAGE(OFFSET($H$3,0,0,'Données projet'!$E$13+1,1))</f>
        <v>260.20517190557814</v>
      </c>
      <c r="CZ14" s="59">
        <f t="shared" si="42"/>
        <v>307.22009971147133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3.65</v>
      </c>
      <c r="DO14" s="12">
        <f>IF('Données projet'!$A$166&gt;35,DO13+DN14-DW13,IF(A14&lt;'Données projet'!$A$166,$DL$205^A14,IF(A14='Données projet'!$A$166,'Données projet'!$B$166,DO13+DN14-DW13)))</f>
        <v>10.588332555950936</v>
      </c>
      <c r="DP14" s="17">
        <f>DO14*VLOOKUP('Données projet'!$B$14,Paramètres!$A$1:$I$89,3,0)*VLOOKUP('Données projet'!$B$14,Paramètres!$A$1:$I$89,5,0)</f>
        <v>10.241035248115747</v>
      </c>
      <c r="DQ14" s="13">
        <f t="shared" si="43"/>
        <v>3.5999121311945652</v>
      </c>
      <c r="DR14" s="20">
        <f t="shared" si="16"/>
        <v>24.106316685632123</v>
      </c>
      <c r="DS14" s="59">
        <f t="shared" si="17"/>
        <v>317.43965001896544</v>
      </c>
      <c r="DT14" s="59">
        <f ca="1">AVERAGE(OFFSET($DS$3,0,0,'Données projet'!$E$14+1,1))-AVERAGE(OFFSET($H$3,0,0,'Données projet'!$E$14+1,1))</f>
        <v>347.8889410585312</v>
      </c>
      <c r="DU14" s="59">
        <f t="shared" si="44"/>
        <v>254.78167322479203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3.65</v>
      </c>
      <c r="EJ14" s="12">
        <f>IF('Données projet'!$A$192&gt;35,EJ13+EI14-ER13,IF(A14&lt;'Données projet'!$A$192,$EG$205^A14,IF(A14='Données projet'!$A$192,'Données projet'!$B$192,EJ13+EI14-ER13)))</f>
        <v>10.588332555950936</v>
      </c>
      <c r="EK14" s="17">
        <f>EJ14*VLOOKUP('Données projet'!$B$15,Paramètres!$A$1:$I$89,3,0)*VLOOKUP('Données projet'!$B$15,Paramètres!$A$1:$I$89,5,0)</f>
        <v>11.397281163225587</v>
      </c>
      <c r="EL14" s="13">
        <f t="shared" si="45"/>
        <v>3.9567777795201704</v>
      </c>
      <c r="EM14" s="20">
        <f t="shared" si="19"/>
        <v>26.741652658615525</v>
      </c>
      <c r="EN14" s="59">
        <f t="shared" si="20"/>
        <v>320.07498599194884</v>
      </c>
      <c r="EO14" s="59">
        <f ca="1">AVERAGE(OFFSET($EN$3,0,0,'Données projet'!$E$15+1,1))-AVERAGE(OFFSET($H$3,0,0,'Données projet'!$E$15+1,1))</f>
        <v>399.38728019348088</v>
      </c>
      <c r="EP14" s="59">
        <f t="shared" si="46"/>
        <v>289.54922160039791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321.15620406350808</v>
      </c>
      <c r="S15" s="59">
        <f ca="1">AVERAGE(OFFSET($R$3,0,0,'Données projet'!$E$9+1,1))-AVERAGE(OFFSET($H$3,0,0,'Données projet'!$E$9+1,1))</f>
        <v>318.40875902853116</v>
      </c>
      <c r="T15" s="59">
        <f t="shared" si="34"/>
        <v>234.87694492493506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</v>
      </c>
      <c r="AI15" s="13">
        <f>IF('Données projet'!$A$62&gt;35,AI14+AH15-AQ14,IF(A15&lt;'Données projet'!$A$62,$AF$205^A15,IF(A15='Données projet'!$A$62,'Données projet'!$B$62,AI14+AH15-AQ14)))</f>
        <v>35.613561093793592</v>
      </c>
      <c r="AJ15" s="13">
        <f>AI15*VLOOKUP('Données projet'!$B$10,Paramètres!$A$1:$I$89,3,0)*VLOOKUP('Données projet'!$B$10,Paramètres!$A$1:$I$89,5,0)</f>
        <v>31.112006971538086</v>
      </c>
      <c r="AK15" s="13">
        <f t="shared" si="35"/>
        <v>9.6095548481396289</v>
      </c>
      <c r="AL15" s="20">
        <f t="shared" si="4"/>
        <v>70.9233868359387</v>
      </c>
      <c r="AM15" s="59">
        <f t="shared" si="5"/>
        <v>364.256720169272</v>
      </c>
      <c r="AN15" s="59">
        <f ca="1">AVERAGE(OFFSET($AM$3,0,0,'Données projet'!$E$10+1,1))-AVERAGE(OFFSET($H$3,0,0,'Données projet'!$E$10+1,1))</f>
        <v>243.38048563215585</v>
      </c>
      <c r="AO15" s="59">
        <f t="shared" si="36"/>
        <v>372.1604147006675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12.3</v>
      </c>
      <c r="BD15" s="12">
        <f>IF('Données projet'!$A$88&gt;35,BD14+BC15-BL14,IF(A15&lt;'Données projet'!$A$88,$BA$205^A15,IF(A15='Données projet'!$A$88,'Données projet'!$B$88,BD14+BC15-BL14)))</f>
        <v>35.6</v>
      </c>
      <c r="BE15" s="13">
        <f>BD15*VLOOKUP('Données projet'!$B$11,Paramètres!$A$1:$I$89,3,0)*VLOOKUP('Données projet'!$B$11,Paramètres!$A$1:$I$89,5,0)</f>
        <v>23.880480000000002</v>
      </c>
      <c r="BF15" s="13">
        <f t="shared" si="37"/>
        <v>7.6066057177324726</v>
      </c>
      <c r="BG15" s="20">
        <f t="shared" si="7"/>
        <v>54.840007625050731</v>
      </c>
      <c r="BH15" s="59">
        <f t="shared" si="8"/>
        <v>348.17334095838407</v>
      </c>
      <c r="BI15" s="59">
        <f ca="1">AVERAGE(OFFSET($BH$3,0,0,'Données projet'!$E$11+1,1))-AVERAGE(OFFSET($H$3,0,0,'Données projet'!$E$11+1,1))</f>
        <v>207.93042467236967</v>
      </c>
      <c r="BJ15" s="59">
        <f t="shared" si="38"/>
        <v>250.70954318710835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5.85</v>
      </c>
      <c r="BY15" s="12">
        <f>IF('Données projet'!$A$114&gt;35,BY14+BX15-CG14,IF(A15&lt;'Données projet'!$A$114,$BV$205^A15,IF(A15='Données projet'!$A$114,'Données projet'!$B$114,BY14+BX15-CG14)))</f>
        <v>17.414520346317467</v>
      </c>
      <c r="BZ15" s="13">
        <f>BY15*VLOOKUP('Données projet'!$B$12,Paramètres!$A$1:$I$89,3,0)*VLOOKUP('Données projet'!$B$12,Paramètres!$A$1:$I$89,5,0)</f>
        <v>13.583325870127625</v>
      </c>
      <c r="CA15" s="13">
        <f t="shared" si="39"/>
        <v>4.6203648609004491</v>
      </c>
      <c r="CB15" s="20">
        <f t="shared" si="10"/>
        <v>31.704761356540562</v>
      </c>
      <c r="CC15" s="59">
        <f t="shared" si="11"/>
        <v>325.0380946898739</v>
      </c>
      <c r="CD15" s="59">
        <f ca="1">AVERAGE(OFFSET($CC$3,0,0,'Données projet'!$E$12+1,1))-AVERAGE(OFFSET($H$3,0,0,'Données projet'!$E$12+1,1))</f>
        <v>266.30229009596883</v>
      </c>
      <c r="CE15" s="59">
        <f t="shared" si="40"/>
        <v>270.19195828386046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12.3</v>
      </c>
      <c r="CT15" s="12">
        <f>IF('Données projet'!$A$140&gt;35,CT14+CS15-DB14,IF(A15&lt;'Données projet'!$A$140,$CQ$205^A15,IF(A15='Données projet'!$A$140,'Données projet'!$B$140,CT14+CS15-DB14)))</f>
        <v>35.6</v>
      </c>
      <c r="CU15" s="17">
        <f>CT15*VLOOKUP('Données projet'!$B$13,Paramètres!$A$1:$I$89,3,0)*VLOOKUP('Données projet'!$B$13,Paramètres!$A$1:$I$89,5,0)</f>
        <v>28.323360000000005</v>
      </c>
      <c r="CV15" s="13">
        <f t="shared" si="41"/>
        <v>8.8443757631773217</v>
      </c>
      <c r="CW15" s="20">
        <f t="shared" si="13"/>
        <v>64.733806454200504</v>
      </c>
      <c r="CX15" s="59">
        <f t="shared" si="14"/>
        <v>358.06713978753385</v>
      </c>
      <c r="CY15" s="59">
        <f ca="1">AVERAGE(OFFSET($CX$3,0,0,'Données projet'!$E$13+1,1))-AVERAGE(OFFSET($H$3,0,0,'Données projet'!$E$13+1,1))</f>
        <v>260.20517190557814</v>
      </c>
      <c r="CZ15" s="59">
        <f t="shared" si="42"/>
        <v>307.22009971147133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3.65</v>
      </c>
      <c r="DO15" s="12">
        <f>IF('Données projet'!$A$166&gt;35,DO14+DN15-DW14,IF(A15&lt;'Données projet'!$A$166,$DL$205^A15,IF(A15='Données projet'!$A$166,'Données projet'!$B$166,DO14+DN15-DW14)))</f>
        <v>13.121809125710287</v>
      </c>
      <c r="DP15" s="17">
        <f>DO15*VLOOKUP('Données projet'!$B$14,Paramètres!$A$1:$I$89,3,0)*VLOOKUP('Données projet'!$B$14,Paramètres!$A$1:$I$89,5,0)</f>
        <v>12.69141378638699</v>
      </c>
      <c r="DQ15" s="13">
        <f t="shared" si="43"/>
        <v>4.3512446702837533</v>
      </c>
      <c r="DR15" s="20">
        <f t="shared" si="16"/>
        <v>29.682630145368211</v>
      </c>
      <c r="DS15" s="59">
        <f t="shared" si="17"/>
        <v>323.01596347870151</v>
      </c>
      <c r="DT15" s="59">
        <f ca="1">AVERAGE(OFFSET($DS$3,0,0,'Données projet'!$E$14+1,1))-AVERAGE(OFFSET($H$3,0,0,'Données projet'!$E$14+1,1))</f>
        <v>347.8889410585312</v>
      </c>
      <c r="DU15" s="59">
        <f t="shared" si="44"/>
        <v>254.78167322479203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3.65</v>
      </c>
      <c r="EJ15" s="12">
        <f>IF('Données projet'!$A$192&gt;35,EJ14+EI15-ER14,IF(A15&lt;'Données projet'!$A$192,$EG$205^A15,IF(A15='Données projet'!$A$192,'Données projet'!$B$192,EJ14+EI15-ER14)))</f>
        <v>13.121809125710287</v>
      </c>
      <c r="EK15" s="17">
        <f>EJ15*VLOOKUP('Données projet'!$B$15,Paramètres!$A$1:$I$89,3,0)*VLOOKUP('Données projet'!$B$15,Paramètres!$A$1:$I$89,5,0)</f>
        <v>14.124315342914553</v>
      </c>
      <c r="EL15" s="13">
        <f t="shared" si="45"/>
        <v>4.7825912403370845</v>
      </c>
      <c r="EM15" s="20">
        <f t="shared" si="19"/>
        <v>32.929528965829938</v>
      </c>
      <c r="EN15" s="59">
        <f t="shared" si="20"/>
        <v>326.26286229916326</v>
      </c>
      <c r="EO15" s="59">
        <f ca="1">AVERAGE(OFFSET($EN$3,0,0,'Données projet'!$E$15+1,1))-AVERAGE(OFFSET($H$3,0,0,'Données projet'!$E$15+1,1))</f>
        <v>399.38728019348088</v>
      </c>
      <c r="EP15" s="59">
        <f t="shared" si="46"/>
        <v>289.54922160039791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327.59504121177019</v>
      </c>
      <c r="S16" s="59">
        <f ca="1">AVERAGE(OFFSET($R$3,0,0,'Données projet'!$E$9+1,1))-AVERAGE(OFFSET($H$3,0,0,'Données projet'!$E$9+1,1))</f>
        <v>318.40875902853116</v>
      </c>
      <c r="T16" s="59">
        <f t="shared" si="34"/>
        <v>234.87694492493506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</v>
      </c>
      <c r="AI16" s="13">
        <f>IF('Données projet'!$A$62&gt;35,AI15+AH16-AQ15,IF(A16&lt;'Données projet'!$A$62,$AF$205^A16,IF(A16='Données projet'!$A$62,'Données projet'!$B$62,AI15+AH16-AQ15)))</f>
        <v>47.964142612378375</v>
      </c>
      <c r="AJ16" s="13">
        <f>AI16*VLOOKUP('Données projet'!$B$10,Paramètres!$A$1:$I$89,3,0)*VLOOKUP('Données projet'!$B$10,Paramètres!$A$1:$I$89,5,0)</f>
        <v>41.901474986173753</v>
      </c>
      <c r="AK16" s="13">
        <f t="shared" si="35"/>
        <v>12.501262773491545</v>
      </c>
      <c r="AL16" s="20">
        <f t="shared" si="4"/>
        <v>94.751434931417066</v>
      </c>
      <c r="AM16" s="59">
        <f t="shared" si="5"/>
        <v>388.08476826475038</v>
      </c>
      <c r="AN16" s="59">
        <f ca="1">AVERAGE(OFFSET($AM$3,0,0,'Données projet'!$E$10+1,1))-AVERAGE(OFFSET($H$3,0,0,'Données projet'!$E$10+1,1))</f>
        <v>243.38048563215585</v>
      </c>
      <c r="AO16" s="59">
        <f t="shared" si="36"/>
        <v>372.1604147006675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12.3</v>
      </c>
      <c r="BD16" s="12">
        <f>IF('Données projet'!$A$88&gt;35,BD15+BC16-BL15,IF(A16&lt;'Données projet'!$A$88,$BA$205^A16,IF(A16='Données projet'!$A$88,'Données projet'!$B$88,BD15+BC16-BL15)))</f>
        <v>47.900000000000006</v>
      </c>
      <c r="BE16" s="13">
        <f>BD16*VLOOKUP('Données projet'!$B$11,Paramètres!$A$1:$I$89,3,0)*VLOOKUP('Données projet'!$B$11,Paramètres!$A$1:$I$89,5,0)</f>
        <v>32.131320000000002</v>
      </c>
      <c r="BF16" s="13">
        <f t="shared" si="37"/>
        <v>9.8872188446624989</v>
      </c>
      <c r="BG16" s="20">
        <f t="shared" si="7"/>
        <v>73.182288487787176</v>
      </c>
      <c r="BH16" s="59">
        <f t="shared" si="8"/>
        <v>366.51562182112048</v>
      </c>
      <c r="BI16" s="59">
        <f ca="1">AVERAGE(OFFSET($BH$3,0,0,'Données projet'!$E$11+1,1))-AVERAGE(OFFSET($H$3,0,0,'Données projet'!$E$11+1,1))</f>
        <v>207.93042467236967</v>
      </c>
      <c r="BJ16" s="59">
        <f t="shared" si="38"/>
        <v>250.70954318710835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5.85</v>
      </c>
      <c r="BY16" s="12">
        <f>IF('Données projet'!$A$114&gt;35,BY15+BX16-CG15,IF(A16&lt;'Données projet'!$A$114,$BV$205^A16,IF(A16='Données projet'!$A$114,'Données projet'!$B$114,BY15+BX16-CG15)))</f>
        <v>22.096363724180279</v>
      </c>
      <c r="BZ16" s="13">
        <f>BY16*VLOOKUP('Données projet'!$B$12,Paramètres!$A$1:$I$89,3,0)*VLOOKUP('Données projet'!$B$12,Paramètres!$A$1:$I$89,5,0)</f>
        <v>17.235163704860618</v>
      </c>
      <c r="CA16" s="13">
        <f t="shared" si="39"/>
        <v>5.7022824278817001</v>
      </c>
      <c r="CB16" s="20">
        <f t="shared" si="10"/>
        <v>39.949385347859533</v>
      </c>
      <c r="CC16" s="59">
        <f t="shared" si="11"/>
        <v>333.28271868119282</v>
      </c>
      <c r="CD16" s="59">
        <f ca="1">AVERAGE(OFFSET($CC$3,0,0,'Données projet'!$E$12+1,1))-AVERAGE(OFFSET($H$3,0,0,'Données projet'!$E$12+1,1))</f>
        <v>266.30229009596883</v>
      </c>
      <c r="CE16" s="59">
        <f t="shared" si="40"/>
        <v>270.19195828386046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12.3</v>
      </c>
      <c r="CT16" s="12">
        <f>IF('Données projet'!$A$140&gt;35,CT15+CS16-DB15,IF(A16&lt;'Données projet'!$A$140,$CQ$205^A16,IF(A16='Données projet'!$A$140,'Données projet'!$B$140,CT15+CS16-DB15)))</f>
        <v>47.900000000000006</v>
      </c>
      <c r="CU16" s="17">
        <f>CT16*VLOOKUP('Données projet'!$B$13,Paramètres!$A$1:$I$89,3,0)*VLOOKUP('Données projet'!$B$13,Paramètres!$A$1:$I$89,5,0)</f>
        <v>38.109240000000007</v>
      </c>
      <c r="CV16" s="13">
        <f t="shared" si="41"/>
        <v>11.496097202870512</v>
      </c>
      <c r="CW16" s="20">
        <f t="shared" si="13"/>
        <v>86.395962294999478</v>
      </c>
      <c r="CX16" s="59">
        <f t="shared" si="14"/>
        <v>379.72929562833281</v>
      </c>
      <c r="CY16" s="59">
        <f ca="1">AVERAGE(OFFSET($CX$3,0,0,'Données projet'!$E$13+1,1))-AVERAGE(OFFSET($H$3,0,0,'Données projet'!$E$13+1,1))</f>
        <v>260.20517190557814</v>
      </c>
      <c r="CZ16" s="59">
        <f t="shared" si="42"/>
        <v>307.22009971147133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3.65</v>
      </c>
      <c r="DO16" s="12">
        <f>IF('Données projet'!$A$166&gt;35,DO15+DN16-DW15,IF(A16&lt;'Données projet'!$A$166,$DL$205^A16,IF(A16='Données projet'!$A$166,'Données projet'!$B$166,DO15+DN16-DW15)))</f>
        <v>16.261472127148366</v>
      </c>
      <c r="DP16" s="17">
        <f>DO16*VLOOKUP('Données projet'!$B$14,Paramètres!$A$1:$I$89,3,0)*VLOOKUP('Données projet'!$B$14,Paramètres!$A$1:$I$89,5,0)</f>
        <v>15.728095841377899</v>
      </c>
      <c r="DQ16" s="13">
        <f t="shared" si="43"/>
        <v>5.2593867546400634</v>
      </c>
      <c r="DR16" s="20">
        <f t="shared" si="16"/>
        <v>36.553198854731285</v>
      </c>
      <c r="DS16" s="59">
        <f t="shared" si="17"/>
        <v>329.88653218806462</v>
      </c>
      <c r="DT16" s="59">
        <f ca="1">AVERAGE(OFFSET($DS$3,0,0,'Données projet'!$E$14+1,1))-AVERAGE(OFFSET($H$3,0,0,'Données projet'!$E$14+1,1))</f>
        <v>347.8889410585312</v>
      </c>
      <c r="DU16" s="59">
        <f t="shared" si="44"/>
        <v>254.78167322479203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3.65</v>
      </c>
      <c r="EJ16" s="12">
        <f>IF('Données projet'!$A$192&gt;35,EJ15+EI16-ER15,IF(A16&lt;'Données projet'!$A$192,$EG$205^A16,IF(A16='Données projet'!$A$192,'Données projet'!$B$192,EJ15+EI16-ER15)))</f>
        <v>16.261472127148366</v>
      </c>
      <c r="EK16" s="17">
        <f>EJ16*VLOOKUP('Données projet'!$B$15,Paramètres!$A$1:$I$89,3,0)*VLOOKUP('Données projet'!$B$15,Paramètres!$A$1:$I$89,5,0)</f>
        <v>17.5038485976625</v>
      </c>
      <c r="EL16" s="13">
        <f t="shared" si="45"/>
        <v>5.7807590536264062</v>
      </c>
      <c r="EM16" s="20">
        <f t="shared" si="19"/>
        <v>40.55402499266151</v>
      </c>
      <c r="EN16" s="59">
        <f t="shared" si="20"/>
        <v>333.8873583259948</v>
      </c>
      <c r="EO16" s="59">
        <f ca="1">AVERAGE(OFFSET($EN$3,0,0,'Données projet'!$E$15+1,1))-AVERAGE(OFFSET($H$3,0,0,'Données projet'!$E$15+1,1))</f>
        <v>399.38728019348088</v>
      </c>
      <c r="EP16" s="59">
        <f t="shared" si="46"/>
        <v>289.54922160039791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335.52892963000164</v>
      </c>
      <c r="S17" s="59">
        <f ca="1">AVERAGE(OFFSET($R$3,0,0,'Données projet'!$E$9+1,1))-AVERAGE(OFFSET($H$3,0,0,'Données projet'!$E$9+1,1))</f>
        <v>318.40875902853116</v>
      </c>
      <c r="T17" s="59">
        <f t="shared" si="34"/>
        <v>234.87694492493506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</v>
      </c>
      <c r="AI17" s="13">
        <f>IF('Données projet'!$A$62&gt;35,AI16+AH17-AQ16,IF(A17&lt;'Données projet'!$A$62,$AF$205^A17,IF(A17='Données projet'!$A$62,'Données projet'!$B$62,AI16+AH17-AQ16)))</f>
        <v>64.597835933388069</v>
      </c>
      <c r="AJ17" s="13">
        <f>AI17*VLOOKUP('Données projet'!$B$10,Paramètres!$A$1:$I$89,3,0)*VLOOKUP('Données projet'!$B$10,Paramètres!$A$1:$I$89,5,0)</f>
        <v>56.432669471407827</v>
      </c>
      <c r="AK17" s="13">
        <f t="shared" si="35"/>
        <v>16.263143652501352</v>
      </c>
      <c r="AL17" s="20">
        <f t="shared" si="4"/>
        <v>126.61187452414181</v>
      </c>
      <c r="AM17" s="59">
        <f t="shared" si="5"/>
        <v>419.94520785747511</v>
      </c>
      <c r="AN17" s="59">
        <f ca="1">AVERAGE(OFFSET($AM$3,0,0,'Données projet'!$E$10+1,1))-AVERAGE(OFFSET($H$3,0,0,'Données projet'!$E$10+1,1))</f>
        <v>243.38048563215585</v>
      </c>
      <c r="AO17" s="59">
        <f t="shared" si="36"/>
        <v>372.1604147006675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12.3</v>
      </c>
      <c r="BD17" s="12">
        <f>IF('Données projet'!$A$88&gt;35,BD16+BC17-BL16,IF(A17&lt;'Données projet'!$A$88,$BA$205^A17,IF(A17='Données projet'!$A$88,'Données projet'!$B$88,BD16+BC17-BL16)))</f>
        <v>60.2</v>
      </c>
      <c r="BE17" s="13">
        <f>BD17*VLOOKUP('Données projet'!$B$11,Paramètres!$A$1:$I$89,3,0)*VLOOKUP('Données projet'!$B$11,Paramètres!$A$1:$I$89,5,0)</f>
        <v>40.382159999999999</v>
      </c>
      <c r="BF17" s="13">
        <f t="shared" si="37"/>
        <v>12.099882333601922</v>
      </c>
      <c r="BG17" s="20">
        <f t="shared" si="7"/>
        <v>91.40622373102336</v>
      </c>
      <c r="BH17" s="59">
        <f t="shared" si="8"/>
        <v>384.73955706435669</v>
      </c>
      <c r="BI17" s="59">
        <f ca="1">AVERAGE(OFFSET($BH$3,0,0,'Données projet'!$E$11+1,1))-AVERAGE(OFFSET($H$3,0,0,'Données projet'!$E$11+1,1))</f>
        <v>207.93042467236967</v>
      </c>
      <c r="BJ17" s="59">
        <f t="shared" si="38"/>
        <v>250.70954318710835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5.85</v>
      </c>
      <c r="BY17" s="12">
        <f>IF('Données projet'!$A$114&gt;35,BY16+BX17-CG16,IF(A17&lt;'Données projet'!$A$114,$BV$205^A17,IF(A17='Données projet'!$A$114,'Données projet'!$B$114,BY16+BX17-CG16)))</f>
        <v>28.036907139651255</v>
      </c>
      <c r="BZ17" s="13">
        <f>BY17*VLOOKUP('Données projet'!$B$12,Paramètres!$A$1:$I$89,3,0)*VLOOKUP('Données projet'!$B$12,Paramètres!$A$1:$I$89,5,0)</f>
        <v>21.868787568927981</v>
      </c>
      <c r="CA17" s="13">
        <f t="shared" si="39"/>
        <v>7.0375448403422114</v>
      </c>
      <c r="CB17" s="20">
        <f t="shared" si="10"/>
        <v>50.34519561281224</v>
      </c>
      <c r="CC17" s="59">
        <f t="shared" si="11"/>
        <v>343.67852894614555</v>
      </c>
      <c r="CD17" s="59">
        <f ca="1">AVERAGE(OFFSET($CC$3,0,0,'Données projet'!$E$12+1,1))-AVERAGE(OFFSET($H$3,0,0,'Données projet'!$E$12+1,1))</f>
        <v>266.30229009596883</v>
      </c>
      <c r="CE17" s="59">
        <f t="shared" si="40"/>
        <v>270.19195828386046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12.3</v>
      </c>
      <c r="CT17" s="12">
        <f>IF('Données projet'!$A$140&gt;35,CT16+CS17-DB16,IF(A17&lt;'Données projet'!$A$140,$CQ$205^A17,IF(A17='Données projet'!$A$140,'Données projet'!$B$140,CT16+CS17-DB16)))</f>
        <v>60.2</v>
      </c>
      <c r="CU17" s="17">
        <f>CT17*VLOOKUP('Données projet'!$B$13,Paramètres!$A$1:$I$89,3,0)*VLOOKUP('Données projet'!$B$13,Paramètres!$A$1:$I$89,5,0)</f>
        <v>47.895120000000006</v>
      </c>
      <c r="CV17" s="13">
        <f t="shared" si="41"/>
        <v>14.068812032564205</v>
      </c>
      <c r="CW17" s="20">
        <f t="shared" si="13"/>
        <v>107.92051495671599</v>
      </c>
      <c r="CX17" s="59">
        <f t="shared" si="14"/>
        <v>401.25384829004929</v>
      </c>
      <c r="CY17" s="59">
        <f ca="1">AVERAGE(OFFSET($CX$3,0,0,'Données projet'!$E$13+1,1))-AVERAGE(OFFSET($H$3,0,0,'Données projet'!$E$13+1,1))</f>
        <v>260.20517190557814</v>
      </c>
      <c r="CZ17" s="59">
        <f t="shared" si="42"/>
        <v>307.22009971147133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3.65</v>
      </c>
      <c r="DO17" s="12">
        <f>IF('Données projet'!$A$166&gt;35,DO16+DN17-DW16,IF(A17&lt;'Données projet'!$A$166,$DL$205^A17,IF(A17='Données projet'!$A$166,'Données projet'!$B$166,DO16+DN17-DW16)))</f>
        <v>20.152364144963837</v>
      </c>
      <c r="DP17" s="17">
        <f>DO17*VLOOKUP('Données projet'!$B$14,Paramètres!$A$1:$I$89,3,0)*VLOOKUP('Données projet'!$B$14,Paramètres!$A$1:$I$89,5,0)</f>
        <v>19.491366601009023</v>
      </c>
      <c r="DQ17" s="13">
        <f t="shared" si="43"/>
        <v>6.3570658813537859</v>
      </c>
      <c r="DR17" s="20">
        <f t="shared" si="16"/>
        <v>45.01935324011523</v>
      </c>
      <c r="DS17" s="59">
        <f t="shared" si="17"/>
        <v>338.35268657344852</v>
      </c>
      <c r="DT17" s="59">
        <f ca="1">AVERAGE(OFFSET($DS$3,0,0,'Données projet'!$E$14+1,1))-AVERAGE(OFFSET($H$3,0,0,'Données projet'!$E$14+1,1))</f>
        <v>347.8889410585312</v>
      </c>
      <c r="DU17" s="59">
        <f t="shared" si="44"/>
        <v>254.78167322479203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3.65</v>
      </c>
      <c r="EJ17" s="12">
        <f>IF('Données projet'!$A$192&gt;35,EJ16+EI17-ER16,IF(A17&lt;'Données projet'!$A$192,$EG$205^A17,IF(A17='Données projet'!$A$192,'Données projet'!$B$192,EJ16+EI17-ER16)))</f>
        <v>20.152364144963837</v>
      </c>
      <c r="EK17" s="17">
        <f>EJ17*VLOOKUP('Données projet'!$B$15,Paramètres!$A$1:$I$89,3,0)*VLOOKUP('Données projet'!$B$15,Paramètres!$A$1:$I$89,5,0)</f>
        <v>21.692004765639073</v>
      </c>
      <c r="EL17" s="13">
        <f t="shared" si="45"/>
        <v>6.9872530510737043</v>
      </c>
      <c r="EM17" s="20">
        <f t="shared" si="19"/>
        <v>49.949707364108086</v>
      </c>
      <c r="EN17" s="59">
        <f t="shared" si="20"/>
        <v>343.28304069744138</v>
      </c>
      <c r="EO17" s="59">
        <f ca="1">AVERAGE(OFFSET($EN$3,0,0,'Données projet'!$E$15+1,1))-AVERAGE(OFFSET($H$3,0,0,'Données projet'!$E$15+1,1))</f>
        <v>399.38728019348088</v>
      </c>
      <c r="EP17" s="59">
        <f t="shared" si="46"/>
        <v>289.54922160039791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345.30607962204783</v>
      </c>
      <c r="S18" s="59">
        <f ca="1">AVERAGE(OFFSET($R$3,0,0,'Données projet'!$E$9+1,1))-AVERAGE(OFFSET($H$3,0,0,'Données projet'!$E$9+1,1))</f>
        <v>318.40875902853116</v>
      </c>
      <c r="T18" s="59">
        <f t="shared" si="34"/>
        <v>234.87694492493506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87</v>
      </c>
      <c r="AG18" s="12">
        <f>VLOOKUP(A18,'Données projet'!$A$61:$I$81,9,0)</f>
        <v>5.8</v>
      </c>
      <c r="AH18" s="12">
        <f t="array" ref="AH18">INDEX(AG:AG,MIN(IF(ISNUMBER(AG18:AG214),ROW(AG18:AG214),"")))</f>
        <v>5.8</v>
      </c>
      <c r="AI18" s="13">
        <f>IF('Données projet'!$A$62&gt;35,AI17+AH18-AQ17,IF(A18&lt;'Données projet'!$A$62,$AF$205^A18,IF(A18='Données projet'!$A$62,'Données projet'!$B$62,AI17+AH18-AQ17)))</f>
        <v>87</v>
      </c>
      <c r="AJ18" s="13">
        <f>AI18*VLOOKUP('Données projet'!$B$10,Paramètres!$A$1:$I$89,3,0)*VLOOKUP('Données projet'!$B$10,Paramètres!$A$1:$I$89,5,0)</f>
        <v>76.003200000000007</v>
      </c>
      <c r="AK18" s="13">
        <f t="shared" si="35"/>
        <v>21.157049992000456</v>
      </c>
      <c r="AL18" s="20">
        <f t="shared" si="4"/>
        <v>169.22076873606747</v>
      </c>
      <c r="AM18" s="59">
        <f t="shared" si="5"/>
        <v>462.55410206940076</v>
      </c>
      <c r="AN18" s="59">
        <f ca="1">AVERAGE(OFFSET($AM$3,0,0,'Données projet'!$E$10+1,1))-AVERAGE(OFFSET($H$3,0,0,'Données projet'!$E$10+1,1))</f>
        <v>243.38048563215585</v>
      </c>
      <c r="AO18" s="59">
        <f t="shared" si="36"/>
        <v>372.1604147006675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21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0.1075</v>
      </c>
      <c r="AT18" s="16">
        <f>IF(ISNA(VLOOKUP(A18,'Données projet'!$A$61:$I$81,7,0)),0%,VLOOKUP(A18,'Données projet'!$A$61:$I$81,7,0))</f>
        <v>0.25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2.1715715165565586</v>
      </c>
      <c r="AW18" s="21">
        <f>EXP(-LN(2)/2)*AW17+(1-EXP(-LN(2)/2))/(LN(2)/2)*AQ18*AT18*VLOOKUP('Données projet'!$B$10,Paramètres!$A$1:$I$89,3,0)*0.475*44/12</f>
        <v>4.3273918411461532</v>
      </c>
      <c r="AX18" s="21">
        <f t="shared" si="6"/>
        <v>6.4989633577027117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12.3</v>
      </c>
      <c r="BD18" s="12">
        <f>IF('Données projet'!$A$88&gt;35,BD17+BC18-BL17,IF(A18&lt;'Données projet'!$A$88,$BA$205^A18,IF(A18='Données projet'!$A$88,'Données projet'!$B$88,BD17+BC18-BL17)))</f>
        <v>72.5</v>
      </c>
      <c r="BE18" s="13">
        <f>BD18*VLOOKUP('Données projet'!$B$11,Paramètres!$A$1:$I$89,3,0)*VLOOKUP('Données projet'!$B$11,Paramètres!$A$1:$I$89,5,0)</f>
        <v>48.633000000000003</v>
      </c>
      <c r="BF18" s="13">
        <f t="shared" si="37"/>
        <v>14.260158409918985</v>
      </c>
      <c r="BG18" s="20">
        <f t="shared" si="7"/>
        <v>109.53891756394223</v>
      </c>
      <c r="BH18" s="59">
        <f t="shared" si="8"/>
        <v>402.87225089727553</v>
      </c>
      <c r="BI18" s="59">
        <f ca="1">AVERAGE(OFFSET($BH$3,0,0,'Données projet'!$E$11+1,1))-AVERAGE(OFFSET($H$3,0,0,'Données projet'!$E$11+1,1))</f>
        <v>207.93042467236967</v>
      </c>
      <c r="BJ18" s="59">
        <f t="shared" si="38"/>
        <v>250.70954318710835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5.85</v>
      </c>
      <c r="BY18" s="12">
        <f>IF('Données projet'!$A$114&gt;35,BY17+BX18-CG17,IF(A18&lt;'Données projet'!$A$114,$BV$205^A18,IF(A18='Données projet'!$A$114,'Données projet'!$B$114,BY17+BX18-CG17)))</f>
        <v>35.574548453745123</v>
      </c>
      <c r="BZ18" s="13">
        <f>BY18*VLOOKUP('Données projet'!$B$12,Paramètres!$A$1:$I$89,3,0)*VLOOKUP('Données projet'!$B$12,Paramètres!$A$1:$I$89,5,0)</f>
        <v>27.748147793921198</v>
      </c>
      <c r="CA18" s="13">
        <f t="shared" si="39"/>
        <v>8.6854760363431716</v>
      </c>
      <c r="CB18" s="20">
        <f t="shared" si="10"/>
        <v>63.455228171043764</v>
      </c>
      <c r="CC18" s="59">
        <f t="shared" si="11"/>
        <v>356.78856150437707</v>
      </c>
      <c r="CD18" s="59">
        <f ca="1">AVERAGE(OFFSET($CC$3,0,0,'Données projet'!$E$12+1,1))-AVERAGE(OFFSET($H$3,0,0,'Données projet'!$E$12+1,1))</f>
        <v>266.30229009596883</v>
      </c>
      <c r="CE18" s="59">
        <f t="shared" si="40"/>
        <v>270.19195828386046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12.3</v>
      </c>
      <c r="CT18" s="12">
        <f>IF('Données projet'!$A$140&gt;35,CT17+CS18-DB17,IF(A18&lt;'Données projet'!$A$140,$CQ$205^A18,IF(A18='Données projet'!$A$140,'Données projet'!$B$140,CT17+CS18-DB17)))</f>
        <v>72.5</v>
      </c>
      <c r="CU18" s="17">
        <f>CT18*VLOOKUP('Données projet'!$B$13,Paramètres!$A$1:$I$89,3,0)*VLOOKUP('Données projet'!$B$13,Paramètres!$A$1:$I$89,5,0)</f>
        <v>57.681000000000004</v>
      </c>
      <c r="CV18" s="13">
        <f t="shared" si="41"/>
        <v>16.580614810327479</v>
      </c>
      <c r="CW18" s="20">
        <f t="shared" si="13"/>
        <v>129.33897912798705</v>
      </c>
      <c r="CX18" s="59">
        <f t="shared" si="14"/>
        <v>422.67231246132036</v>
      </c>
      <c r="CY18" s="59">
        <f ca="1">AVERAGE(OFFSET($CX$3,0,0,'Données projet'!$E$13+1,1))-AVERAGE(OFFSET($H$3,0,0,'Données projet'!$E$13+1,1))</f>
        <v>260.20517190557814</v>
      </c>
      <c r="CZ18" s="59">
        <f t="shared" si="42"/>
        <v>307.22009971147133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3.65</v>
      </c>
      <c r="DO18" s="12">
        <f>IF('Données projet'!$A$166&gt;35,DO17+DN18-DW17,IF(A18&lt;'Données projet'!$A$166,$DL$205^A18,IF(A18='Données projet'!$A$166,'Données projet'!$B$166,DO17+DN18-DW17)))</f>
        <v>24.974232188561476</v>
      </c>
      <c r="DP18" s="17">
        <f>DO18*VLOOKUP('Données projet'!$B$14,Paramètres!$A$1:$I$89,3,0)*VLOOKUP('Données projet'!$B$14,Paramètres!$A$1:$I$89,5,0)</f>
        <v>24.155077372776663</v>
      </c>
      <c r="DQ18" s="13">
        <f t="shared" si="43"/>
        <v>7.6838400568695304</v>
      </c>
      <c r="DR18" s="20">
        <f t="shared" si="16"/>
        <v>55.452781189967119</v>
      </c>
      <c r="DS18" s="59">
        <f t="shared" si="17"/>
        <v>348.78611452330045</v>
      </c>
      <c r="DT18" s="59">
        <f ca="1">AVERAGE(OFFSET($DS$3,0,0,'Données projet'!$E$14+1,1))-AVERAGE(OFFSET($H$3,0,0,'Données projet'!$E$14+1,1))</f>
        <v>347.8889410585312</v>
      </c>
      <c r="DU18" s="59">
        <f t="shared" si="44"/>
        <v>254.78167322479203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3.65</v>
      </c>
      <c r="EJ18" s="12">
        <f>IF('Données projet'!$A$192&gt;35,EJ17+EI18-ER17,IF(A18&lt;'Données projet'!$A$192,$EG$205^A18,IF(A18='Données projet'!$A$192,'Données projet'!$B$192,EJ17+EI18-ER17)))</f>
        <v>24.974232188561476</v>
      </c>
      <c r="EK18" s="17">
        <f>EJ18*VLOOKUP('Données projet'!$B$15,Paramètres!$A$1:$I$89,3,0)*VLOOKUP('Données projet'!$B$15,Paramètres!$A$1:$I$89,5,0)</f>
        <v>26.882263527767574</v>
      </c>
      <c r="EL18" s="13">
        <f t="shared" si="45"/>
        <v>8.4455526941763424</v>
      </c>
      <c r="EM18" s="20">
        <f t="shared" si="19"/>
        <v>61.52927991988566</v>
      </c>
      <c r="EN18" s="59">
        <f t="shared" si="20"/>
        <v>354.86261325321897</v>
      </c>
      <c r="EO18" s="59">
        <f ca="1">AVERAGE(OFFSET($EN$3,0,0,'Données projet'!$E$15+1,1))-AVERAGE(OFFSET($H$3,0,0,'Données projet'!$E$15+1,1))</f>
        <v>399.38728019348088</v>
      </c>
      <c r="EP18" s="59">
        <f t="shared" si="46"/>
        <v>289.54922160039791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357.3560328458579</v>
      </c>
      <c r="S19" s="59">
        <f ca="1">AVERAGE(OFFSET($R$3,0,0,'Données projet'!$E$9+1,1))-AVERAGE(OFFSET($H$3,0,0,'Données projet'!$E$9+1,1))</f>
        <v>318.40875902853116</v>
      </c>
      <c r="T19" s="59">
        <f t="shared" si="34"/>
        <v>234.87694492493506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14.2</v>
      </c>
      <c r="AI19" s="13">
        <f>IF('Données projet'!$A$62&gt;35,AI18+AH19-AQ18,IF(A19&lt;'Données projet'!$A$62,$AF$205^A19,IF(A19='Données projet'!$A$62,'Données projet'!$B$62,AI18+AH19-AQ18)))</f>
        <v>80.2</v>
      </c>
      <c r="AJ19" s="13">
        <f>AI19*VLOOKUP('Données projet'!$B$10,Paramètres!$A$1:$I$89,3,0)*VLOOKUP('Données projet'!$B$10,Paramètres!$A$1:$I$89,5,0)</f>
        <v>70.062720000000013</v>
      </c>
      <c r="AK19" s="13">
        <f t="shared" si="35"/>
        <v>19.689032345957123</v>
      </c>
      <c r="AL19" s="20">
        <f t="shared" si="4"/>
        <v>156.31763533587534</v>
      </c>
      <c r="AM19" s="59">
        <f t="shared" si="5"/>
        <v>449.65096866920862</v>
      </c>
      <c r="AN19" s="59">
        <f ca="1">AVERAGE(OFFSET($AM$3,0,0,'Données projet'!$E$10+1,1))-AVERAGE(OFFSET($H$3,0,0,'Données projet'!$E$10+1,1))</f>
        <v>243.38048563215585</v>
      </c>
      <c r="AO19" s="59">
        <f t="shared" si="36"/>
        <v>372.1604147006675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2.1121897792383364</v>
      </c>
      <c r="AW19" s="21">
        <f>EXP(-LN(2)/2)*AW18+(1-EXP(-LN(2)/2))/(LN(2)/2)*AQ19*AT19*VLOOKUP('Données projet'!$B$10,Paramètres!$A$1:$I$89,3,0)*0.475*44/12</f>
        <v>3.0599281157257843</v>
      </c>
      <c r="AX19" s="21">
        <f t="shared" si="6"/>
        <v>5.1721178949641207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12.3</v>
      </c>
      <c r="BD19" s="12">
        <f>IF('Données projet'!$A$88&gt;35,BD18+BC19-BL18,IF(A19&lt;'Données projet'!$A$88,$BA$205^A19,IF(A19='Données projet'!$A$88,'Données projet'!$B$88,BD18+BC19-BL18)))</f>
        <v>84.8</v>
      </c>
      <c r="BE19" s="13">
        <f>BD19*VLOOKUP('Données projet'!$B$11,Paramètres!$A$1:$I$89,3,0)*VLOOKUP('Données projet'!$B$11,Paramètres!$A$1:$I$89,5,0)</f>
        <v>56.883839999999999</v>
      </c>
      <c r="BF19" s="13">
        <f t="shared" si="37"/>
        <v>16.377977207122715</v>
      </c>
      <c r="BG19" s="20">
        <f t="shared" si="7"/>
        <v>127.59766496907207</v>
      </c>
      <c r="BH19" s="59">
        <f t="shared" si="8"/>
        <v>420.93099830240538</v>
      </c>
      <c r="BI19" s="59">
        <f ca="1">AVERAGE(OFFSET($BH$3,0,0,'Données projet'!$E$11+1,1))-AVERAGE(OFFSET($H$3,0,0,'Données projet'!$E$11+1,1))</f>
        <v>207.93042467236967</v>
      </c>
      <c r="BJ19" s="59">
        <f t="shared" si="38"/>
        <v>250.70954318710835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5.85</v>
      </c>
      <c r="BY19" s="12">
        <f>IF('Données projet'!$A$114&gt;35,BY18+BX19-CG18,IF(A19&lt;'Données projet'!$A$114,$BV$205^A19,IF(A19='Données projet'!$A$114,'Données projet'!$B$114,BY18+BX19-CG18)))</f>
        <v>45.138662812705725</v>
      </c>
      <c r="BZ19" s="13">
        <f>BY19*VLOOKUP('Données projet'!$B$12,Paramètres!$A$1:$I$89,3,0)*VLOOKUP('Données projet'!$B$12,Paramètres!$A$1:$I$89,5,0)</f>
        <v>35.208156993910464</v>
      </c>
      <c r="CA19" s="13">
        <f t="shared" si="39"/>
        <v>10.71929141331386</v>
      </c>
      <c r="CB19" s="20">
        <f t="shared" si="10"/>
        <v>79.990305975915703</v>
      </c>
      <c r="CC19" s="59">
        <f t="shared" si="11"/>
        <v>373.32363930924902</v>
      </c>
      <c r="CD19" s="59">
        <f ca="1">AVERAGE(OFFSET($CC$3,0,0,'Données projet'!$E$12+1,1))-AVERAGE(OFFSET($H$3,0,0,'Données projet'!$E$12+1,1))</f>
        <v>266.30229009596883</v>
      </c>
      <c r="CE19" s="59">
        <f t="shared" si="40"/>
        <v>270.19195828386046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12.3</v>
      </c>
      <c r="CT19" s="12">
        <f>IF('Données projet'!$A$140&gt;35,CT18+CS19-DB18,IF(A19&lt;'Données projet'!$A$140,$CQ$205^A19,IF(A19='Données projet'!$A$140,'Données projet'!$B$140,CT18+CS19-DB18)))</f>
        <v>84.8</v>
      </c>
      <c r="CU19" s="17">
        <f>CT19*VLOOKUP('Données projet'!$B$13,Paramètres!$A$1:$I$89,3,0)*VLOOKUP('Données projet'!$B$13,Paramètres!$A$1:$I$89,5,0)</f>
        <v>67.466880000000003</v>
      </c>
      <c r="CV19" s="13">
        <f t="shared" si="41"/>
        <v>19.043051531232432</v>
      </c>
      <c r="CW19" s="20">
        <f t="shared" si="13"/>
        <v>150.67146408356317</v>
      </c>
      <c r="CX19" s="59">
        <f t="shared" si="14"/>
        <v>444.00479741689651</v>
      </c>
      <c r="CY19" s="59">
        <f ca="1">AVERAGE(OFFSET($CX$3,0,0,'Données projet'!$E$13+1,1))-AVERAGE(OFFSET($H$3,0,0,'Données projet'!$E$13+1,1))</f>
        <v>260.20517190557814</v>
      </c>
      <c r="CZ19" s="59">
        <f t="shared" si="42"/>
        <v>307.22009971147133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3.65</v>
      </c>
      <c r="DO19" s="12">
        <f>IF('Données projet'!$A$166&gt;35,DO18+DN19-DW18,IF(A19&lt;'Données projet'!$A$166,$DL$205^A19,IF(A19='Données projet'!$A$166,'Données projet'!$B$166,DO18+DN19-DW18)))</f>
        <v>30.949831440200953</v>
      </c>
      <c r="DP19" s="17">
        <f>DO19*VLOOKUP('Données projet'!$B$14,Paramètres!$A$1:$I$89,3,0)*VLOOKUP('Données projet'!$B$14,Paramètres!$A$1:$I$89,5,0)</f>
        <v>29.934676968962361</v>
      </c>
      <c r="DQ19" s="13">
        <f t="shared" si="43"/>
        <v>9.2875233828754098</v>
      </c>
      <c r="DR19" s="20">
        <f t="shared" si="16"/>
        <v>68.311998946117441</v>
      </c>
      <c r="DS19" s="59">
        <f t="shared" si="17"/>
        <v>361.64533227945077</v>
      </c>
      <c r="DT19" s="59">
        <f ca="1">AVERAGE(OFFSET($DS$3,0,0,'Données projet'!$E$14+1,1))-AVERAGE(OFFSET($H$3,0,0,'Données projet'!$E$14+1,1))</f>
        <v>347.8889410585312</v>
      </c>
      <c r="DU19" s="59">
        <f t="shared" si="44"/>
        <v>254.78167322479203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3.65</v>
      </c>
      <c r="EJ19" s="12">
        <f>IF('Données projet'!$A$192&gt;35,EJ18+EI19-ER18,IF(A19&lt;'Données projet'!$A$192,$EG$205^A19,IF(A19='Données projet'!$A$192,'Données projet'!$B$192,EJ18+EI19-ER18)))</f>
        <v>30.949831440200953</v>
      </c>
      <c r="EK19" s="17">
        <f>EJ19*VLOOKUP('Données projet'!$B$15,Paramètres!$A$1:$I$89,3,0)*VLOOKUP('Données projet'!$B$15,Paramètres!$A$1:$I$89,5,0)</f>
        <v>33.314398562232306</v>
      </c>
      <c r="EL19" s="13">
        <f t="shared" si="45"/>
        <v>10.208211980979948</v>
      </c>
      <c r="EM19" s="20">
        <f t="shared" si="19"/>
        <v>75.801880029428006</v>
      </c>
      <c r="EN19" s="59">
        <f t="shared" si="20"/>
        <v>369.13521336276131</v>
      </c>
      <c r="EO19" s="59">
        <f ca="1">AVERAGE(OFFSET($EN$3,0,0,'Données projet'!$E$15+1,1))-AVERAGE(OFFSET($H$3,0,0,'Données projet'!$E$15+1,1))</f>
        <v>399.38728019348088</v>
      </c>
      <c r="EP19" s="59">
        <f t="shared" si="46"/>
        <v>289.54922160039791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372.20870820074703</v>
      </c>
      <c r="S20" s="59">
        <f ca="1">AVERAGE(OFFSET($R$3,0,0,'Données projet'!$E$9+1,1))-AVERAGE(OFFSET($H$3,0,0,'Données projet'!$E$9+1,1))</f>
        <v>318.40875902853116</v>
      </c>
      <c r="T20" s="59">
        <f t="shared" si="34"/>
        <v>234.87694492493506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14.2</v>
      </c>
      <c r="AI20" s="13">
        <f>IF('Données projet'!$A$62&gt;35,AI19+AH20-AQ19,IF(A20&lt;'Données projet'!$A$62,$AF$205^A20,IF(A20='Données projet'!$A$62,'Données projet'!$B$62,AI19+AH20-AQ19)))</f>
        <v>94.4</v>
      </c>
      <c r="AJ20" s="13">
        <f>AI20*VLOOKUP('Données projet'!$B$10,Paramètres!$A$1:$I$89,3,0)*VLOOKUP('Données projet'!$B$10,Paramètres!$A$1:$I$89,5,0)</f>
        <v>82.467840000000024</v>
      </c>
      <c r="AK20" s="13">
        <f t="shared" si="35"/>
        <v>22.739512759227473</v>
      </c>
      <c r="AL20" s="20">
        <f t="shared" si="4"/>
        <v>183.23613938898788</v>
      </c>
      <c r="AM20" s="59">
        <f t="shared" si="5"/>
        <v>476.56947272232117</v>
      </c>
      <c r="AN20" s="59">
        <f ca="1">AVERAGE(OFFSET($AM$3,0,0,'Données projet'!$E$10+1,1))-AVERAGE(OFFSET($H$3,0,0,'Données projet'!$E$10+1,1))</f>
        <v>243.38048563215585</v>
      </c>
      <c r="AO20" s="59">
        <f t="shared" si="36"/>
        <v>372.1604147006675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2.054431838649831</v>
      </c>
      <c r="AW20" s="21">
        <f>EXP(-LN(2)/2)*AW19+(1-EXP(-LN(2)/2))/(LN(2)/2)*AQ20*AT20*VLOOKUP('Données projet'!$B$10,Paramètres!$A$1:$I$89,3,0)*0.475*44/12</f>
        <v>2.163695920573077</v>
      </c>
      <c r="AX20" s="21">
        <f t="shared" si="6"/>
        <v>4.2181277592229076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12.3</v>
      </c>
      <c r="BD20" s="12">
        <f>IF('Données projet'!$A$88&gt;35,BD19+BC20-BL19,IF(A20&lt;'Données projet'!$A$88,$BA$205^A20,IF(A20='Données projet'!$A$88,'Données projet'!$B$88,BD19+BC20-BL19)))</f>
        <v>97.1</v>
      </c>
      <c r="BE20" s="13">
        <f>BD20*VLOOKUP('Données projet'!$B$11,Paramètres!$A$1:$I$89,3,0)*VLOOKUP('Données projet'!$B$11,Paramètres!$A$1:$I$89,5,0)</f>
        <v>65.134680000000003</v>
      </c>
      <c r="BF20" s="13">
        <f t="shared" si="37"/>
        <v>18.460208371976567</v>
      </c>
      <c r="BG20" s="20">
        <f t="shared" si="7"/>
        <v>145.59443058119251</v>
      </c>
      <c r="BH20" s="59">
        <f t="shared" si="8"/>
        <v>438.92776391452583</v>
      </c>
      <c r="BI20" s="59">
        <f ca="1">AVERAGE(OFFSET($BH$3,0,0,'Données projet'!$E$11+1,1))-AVERAGE(OFFSET($H$3,0,0,'Données projet'!$E$11+1,1))</f>
        <v>207.93042467236967</v>
      </c>
      <c r="BJ20" s="59">
        <f t="shared" si="38"/>
        <v>250.70954318710835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5.85</v>
      </c>
      <c r="BY20" s="12">
        <f>IF('Données projet'!$A$114&gt;35,BY19+BX20-CG19,IF(A20&lt;'Données projet'!$A$114,$BV$205^A20,IF(A20='Données projet'!$A$114,'Données projet'!$B$114,BY19+BX20-CG19)))</f>
        <v>57.274061627749042</v>
      </c>
      <c r="BZ20" s="13">
        <f>BY20*VLOOKUP('Données projet'!$B$12,Paramètres!$A$1:$I$89,3,0)*VLOOKUP('Données projet'!$B$12,Paramètres!$A$1:$I$89,5,0)</f>
        <v>44.673768069644254</v>
      </c>
      <c r="CA20" s="13">
        <f t="shared" si="39"/>
        <v>13.229350691055696</v>
      </c>
      <c r="CB20" s="20">
        <f t="shared" si="10"/>
        <v>100.84793184155241</v>
      </c>
      <c r="CC20" s="59">
        <f t="shared" si="11"/>
        <v>394.18126517488571</v>
      </c>
      <c r="CD20" s="59">
        <f ca="1">AVERAGE(OFFSET($CC$3,0,0,'Données projet'!$E$12+1,1))-AVERAGE(OFFSET($H$3,0,0,'Données projet'!$E$12+1,1))</f>
        <v>266.30229009596883</v>
      </c>
      <c r="CE20" s="59">
        <f t="shared" si="40"/>
        <v>270.19195828386046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12.3</v>
      </c>
      <c r="CT20" s="12">
        <f>IF('Données projet'!$A$140&gt;35,CT19+CS20-DB19,IF(A20&lt;'Données projet'!$A$140,$CQ$205^A20,IF(A20='Données projet'!$A$140,'Données projet'!$B$140,CT19+CS20-DB19)))</f>
        <v>97.1</v>
      </c>
      <c r="CU20" s="17">
        <f>CT20*VLOOKUP('Données projet'!$B$13,Paramètres!$A$1:$I$89,3,0)*VLOOKUP('Données projet'!$B$13,Paramètres!$A$1:$I$89,5,0)</f>
        <v>77.252760000000009</v>
      </c>
      <c r="CV20" s="13">
        <f t="shared" si="41"/>
        <v>21.4641096918828</v>
      </c>
      <c r="CW20" s="20">
        <f t="shared" si="13"/>
        <v>171.93188138002924</v>
      </c>
      <c r="CX20" s="59">
        <f t="shared" si="14"/>
        <v>465.26521471336252</v>
      </c>
      <c r="CY20" s="59">
        <f ca="1">AVERAGE(OFFSET($CX$3,0,0,'Données projet'!$E$13+1,1))-AVERAGE(OFFSET($H$3,0,0,'Données projet'!$E$13+1,1))</f>
        <v>260.20517190557814</v>
      </c>
      <c r="CZ20" s="59">
        <f t="shared" si="42"/>
        <v>307.22009971147133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3.65</v>
      </c>
      <c r="DO20" s="12">
        <f>IF('Données projet'!$A$166&gt;35,DO19+DN20-DW19,IF(A20&lt;'Données projet'!$A$166,$DL$205^A20,IF(A20='Données projet'!$A$166,'Données projet'!$B$166,DO19+DN20-DW19)))</f>
        <v>38.355215845858055</v>
      </c>
      <c r="DP20" s="17">
        <f>DO20*VLOOKUP('Données projet'!$B$14,Paramètres!$A$1:$I$89,3,0)*VLOOKUP('Données projet'!$B$14,Paramètres!$A$1:$I$89,5,0)</f>
        <v>37.097164766113913</v>
      </c>
      <c r="DQ20" s="13">
        <f t="shared" si="43"/>
        <v>11.225909174194843</v>
      </c>
      <c r="DR20" s="20">
        <f t="shared" si="16"/>
        <v>84.162687112704418</v>
      </c>
      <c r="DS20" s="59">
        <f t="shared" si="17"/>
        <v>377.49602044603773</v>
      </c>
      <c r="DT20" s="59">
        <f ca="1">AVERAGE(OFFSET($DS$3,0,0,'Données projet'!$E$14+1,1))-AVERAGE(OFFSET($H$3,0,0,'Données projet'!$E$14+1,1))</f>
        <v>347.8889410585312</v>
      </c>
      <c r="DU20" s="59">
        <f t="shared" si="44"/>
        <v>254.78167322479203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3.65</v>
      </c>
      <c r="EJ20" s="12">
        <f>IF('Données projet'!$A$192&gt;35,EJ19+EI20-ER19,IF(A20&lt;'Données projet'!$A$192,$EG$205^A20,IF(A20='Données projet'!$A$192,'Données projet'!$B$192,EJ19+EI20-ER19)))</f>
        <v>38.355215845858055</v>
      </c>
      <c r="EK20" s="17">
        <f>EJ20*VLOOKUP('Données projet'!$B$15,Paramètres!$A$1:$I$89,3,0)*VLOOKUP('Données projet'!$B$15,Paramètres!$A$1:$I$89,5,0)</f>
        <v>41.28555433648161</v>
      </c>
      <c r="EL20" s="13">
        <f t="shared" si="45"/>
        <v>12.338753379690502</v>
      </c>
      <c r="EM20" s="20">
        <f t="shared" si="19"/>
        <v>93.39566927233308</v>
      </c>
      <c r="EN20" s="59">
        <f t="shared" si="20"/>
        <v>386.72900260566638</v>
      </c>
      <c r="EO20" s="59">
        <f ca="1">AVERAGE(OFFSET($EN$3,0,0,'Données projet'!$E$15+1,1))-AVERAGE(OFFSET($H$3,0,0,'Données projet'!$E$15+1,1))</f>
        <v>399.38728019348088</v>
      </c>
      <c r="EP20" s="59">
        <f t="shared" si="46"/>
        <v>289.54922160039791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390.51791836449235</v>
      </c>
      <c r="S21" s="59">
        <f ca="1">AVERAGE(OFFSET($R$3,0,0,'Données projet'!$E$9+1,1))-AVERAGE(OFFSET($H$3,0,0,'Données projet'!$E$9+1,1))</f>
        <v>318.40875902853116</v>
      </c>
      <c r="T21" s="59">
        <f t="shared" si="34"/>
        <v>234.87694492493506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14.2</v>
      </c>
      <c r="AI21" s="13">
        <f>IF('Données projet'!$A$62&gt;35,AI20+AH21-AQ20,IF(A21&lt;'Données projet'!$A$62,$AF$205^A21,IF(A21='Données projet'!$A$62,'Données projet'!$B$62,AI20+AH21-AQ20)))</f>
        <v>108.60000000000001</v>
      </c>
      <c r="AJ21" s="13">
        <f>AI21*VLOOKUP('Données projet'!$B$10,Paramètres!$A$1:$I$89,3,0)*VLOOKUP('Données projet'!$B$10,Paramètres!$A$1:$I$89,5,0)</f>
        <v>94.87296000000002</v>
      </c>
      <c r="AK21" s="13">
        <f t="shared" si="35"/>
        <v>25.736834760472274</v>
      </c>
      <c r="AL21" s="20">
        <f t="shared" si="4"/>
        <v>210.06205920782259</v>
      </c>
      <c r="AM21" s="59">
        <f t="shared" si="5"/>
        <v>503.3953925411559</v>
      </c>
      <c r="AN21" s="59">
        <f ca="1">AVERAGE(OFFSET($AM$3,0,0,'Données projet'!$E$10+1,1))-AVERAGE(OFFSET($H$3,0,0,'Données projet'!$E$10+1,1))</f>
        <v>243.38048563215585</v>
      </c>
      <c r="AO21" s="59">
        <f t="shared" si="36"/>
        <v>372.1604147006675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1.9982532919840765</v>
      </c>
      <c r="AW21" s="21">
        <f>EXP(-LN(2)/2)*AW20+(1-EXP(-LN(2)/2))/(LN(2)/2)*AQ21*AT21*VLOOKUP('Données projet'!$B$10,Paramètres!$A$1:$I$89,3,0)*0.475*44/12</f>
        <v>1.5299640578628924</v>
      </c>
      <c r="AX21" s="21">
        <f t="shared" si="6"/>
        <v>3.5282173498469689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12.3</v>
      </c>
      <c r="BD21" s="12">
        <f>IF('Données projet'!$A$88&gt;35,BD20+BC21-BL20,IF(A21&lt;'Données projet'!$A$88,$BA$205^A21,IF(A21='Données projet'!$A$88,'Données projet'!$B$88,BD20+BC21-BL20)))</f>
        <v>109.39999999999999</v>
      </c>
      <c r="BE21" s="13">
        <f>BD21*VLOOKUP('Données projet'!$B$11,Paramètres!$A$1:$I$89,3,0)*VLOOKUP('Données projet'!$B$11,Paramètres!$A$1:$I$89,5,0)</f>
        <v>73.38552</v>
      </c>
      <c r="BF21" s="13">
        <f t="shared" si="37"/>
        <v>20.511876501914987</v>
      </c>
      <c r="BG21" s="20">
        <f t="shared" si="7"/>
        <v>163.5379655741686</v>
      </c>
      <c r="BH21" s="59">
        <f t="shared" si="8"/>
        <v>456.87129890750191</v>
      </c>
      <c r="BI21" s="59">
        <f ca="1">AVERAGE(OFFSET($BH$3,0,0,'Données projet'!$E$11+1,1))-AVERAGE(OFFSET($H$3,0,0,'Données projet'!$E$11+1,1))</f>
        <v>207.93042467236967</v>
      </c>
      <c r="BJ21" s="59">
        <f t="shared" si="38"/>
        <v>250.70954318710835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5.85</v>
      </c>
      <c r="BY21" s="12">
        <f>IF('Données projet'!$A$114&gt;35,BY20+BX21-CG20,IF(A21&lt;'Données projet'!$A$114,$BV$205^A21,IF(A21='Données projet'!$A$114,'Données projet'!$B$114,BY20+BX21-CG20)))</f>
        <v>72.672027280698373</v>
      </c>
      <c r="BZ21" s="13">
        <f>BY21*VLOOKUP('Données projet'!$B$12,Paramètres!$A$1:$I$89,3,0)*VLOOKUP('Données projet'!$B$12,Paramètres!$A$1:$I$89,5,0)</f>
        <v>56.684181278944735</v>
      </c>
      <c r="CA21" s="13">
        <f t="shared" si="39"/>
        <v>16.327172474251263</v>
      </c>
      <c r="CB21" s="20">
        <f t="shared" si="10"/>
        <v>127.16144112014972</v>
      </c>
      <c r="CC21" s="59">
        <f t="shared" si="11"/>
        <v>420.49477445348305</v>
      </c>
      <c r="CD21" s="59">
        <f ca="1">AVERAGE(OFFSET($CC$3,0,0,'Données projet'!$E$12+1,1))-AVERAGE(OFFSET($H$3,0,0,'Données projet'!$E$12+1,1))</f>
        <v>266.30229009596883</v>
      </c>
      <c r="CE21" s="59">
        <f t="shared" si="40"/>
        <v>270.19195828386046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12.3</v>
      </c>
      <c r="CT21" s="12">
        <f>IF('Données projet'!$A$140&gt;35,CT20+CS21-DB20,IF(A21&lt;'Données projet'!$A$140,$CQ$205^A21,IF(A21='Données projet'!$A$140,'Données projet'!$B$140,CT20+CS21-DB20)))</f>
        <v>109.39999999999999</v>
      </c>
      <c r="CU21" s="17">
        <f>CT21*VLOOKUP('Données projet'!$B$13,Paramètres!$A$1:$I$89,3,0)*VLOOKUP('Données projet'!$B$13,Paramètres!$A$1:$I$89,5,0)</f>
        <v>87.038640000000001</v>
      </c>
      <c r="CV21" s="13">
        <f t="shared" si="41"/>
        <v>23.849631507508057</v>
      </c>
      <c r="CW21" s="20">
        <f t="shared" si="13"/>
        <v>193.13040620890987</v>
      </c>
      <c r="CX21" s="59">
        <f t="shared" si="14"/>
        <v>486.46373954224316</v>
      </c>
      <c r="CY21" s="59">
        <f ca="1">AVERAGE(OFFSET($CX$3,0,0,'Données projet'!$E$13+1,1))-AVERAGE(OFFSET($H$3,0,0,'Données projet'!$E$13+1,1))</f>
        <v>260.20517190557814</v>
      </c>
      <c r="CZ21" s="59">
        <f t="shared" si="42"/>
        <v>307.22009971147133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3.65</v>
      </c>
      <c r="DO21" s="12">
        <f>IF('Données projet'!$A$166&gt;35,DO20+DN21-DW20,IF(A21&lt;'Données projet'!$A$166,$DL$205^A21,IF(A21='Données projet'!$A$166,'Données projet'!$B$166,DO20+DN21-DW20)))</f>
        <v>47.532490941824946</v>
      </c>
      <c r="DP21" s="17">
        <f>DO21*VLOOKUP('Données projet'!$B$14,Paramètres!$A$1:$I$89,3,0)*VLOOKUP('Données projet'!$B$14,Paramètres!$A$1:$I$89,5,0)</f>
        <v>45.973425238933089</v>
      </c>
      <c r="DQ21" s="13">
        <f t="shared" si="43"/>
        <v>13.56885270616201</v>
      </c>
      <c r="DR21" s="20">
        <f t="shared" si="16"/>
        <v>103.70280075437397</v>
      </c>
      <c r="DS21" s="59">
        <f t="shared" si="17"/>
        <v>397.0361340877073</v>
      </c>
      <c r="DT21" s="59">
        <f ca="1">AVERAGE(OFFSET($DS$3,0,0,'Données projet'!$E$14+1,1))-AVERAGE(OFFSET($H$3,0,0,'Données projet'!$E$14+1,1))</f>
        <v>347.8889410585312</v>
      </c>
      <c r="DU21" s="59">
        <f t="shared" si="44"/>
        <v>254.78167322479203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3.65</v>
      </c>
      <c r="EJ21" s="12">
        <f>IF('Données projet'!$A$192&gt;35,EJ20+EI21-ER20,IF(A21&lt;'Données projet'!$A$192,$EG$205^A21,IF(A21='Données projet'!$A$192,'Données projet'!$B$192,EJ20+EI21-ER20)))</f>
        <v>47.532490941824946</v>
      </c>
      <c r="EK21" s="17">
        <f>EJ21*VLOOKUP('Données projet'!$B$15,Paramètres!$A$1:$I$89,3,0)*VLOOKUP('Données projet'!$B$15,Paramètres!$A$1:$I$89,5,0)</f>
        <v>51.163973249780369</v>
      </c>
      <c r="EL21" s="13">
        <f t="shared" si="45"/>
        <v>14.913957042476</v>
      </c>
      <c r="EM21" s="20">
        <f t="shared" si="19"/>
        <v>115.08572859234651</v>
      </c>
      <c r="EN21" s="59">
        <f t="shared" si="20"/>
        <v>408.41906192567984</v>
      </c>
      <c r="EO21" s="59">
        <f ca="1">AVERAGE(OFFSET($EN$3,0,0,'Données projet'!$E$15+1,1))-AVERAGE(OFFSET($H$3,0,0,'Données projet'!$E$15+1,1))</f>
        <v>399.38728019348088</v>
      </c>
      <c r="EP21" s="59">
        <f t="shared" si="46"/>
        <v>289.54922160039791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413.0904086280766</v>
      </c>
      <c r="S22" s="59">
        <f ca="1">AVERAGE(OFFSET($R$3,0,0,'Données projet'!$E$9+1,1))-AVERAGE(OFFSET($H$3,0,0,'Données projet'!$E$9+1,1))</f>
        <v>318.40875902853116</v>
      </c>
      <c r="T22" s="59">
        <f t="shared" si="34"/>
        <v>234.87694492493506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14.2</v>
      </c>
      <c r="AI22" s="13">
        <f>IF('Données projet'!$A$62&gt;35,AI21+AH22-AQ21,IF(A22&lt;'Données projet'!$A$62,$AF$205^A22,IF(A22='Données projet'!$A$62,'Données projet'!$B$62,AI21+AH22-AQ21)))</f>
        <v>122.80000000000001</v>
      </c>
      <c r="AJ22" s="13">
        <f>AI22*VLOOKUP('Données projet'!$B$10,Paramètres!$A$1:$I$89,3,0)*VLOOKUP('Données projet'!$B$10,Paramètres!$A$1:$I$89,5,0)</f>
        <v>107.27808000000003</v>
      </c>
      <c r="AK22" s="13">
        <f t="shared" si="35"/>
        <v>28.688746800886673</v>
      </c>
      <c r="AL22" s="20">
        <f t="shared" si="4"/>
        <v>236.80889001154432</v>
      </c>
      <c r="AM22" s="59">
        <f t="shared" si="5"/>
        <v>530.14222334487761</v>
      </c>
      <c r="AN22" s="59">
        <f ca="1">AVERAGE(OFFSET($AM$3,0,0,'Données projet'!$E$10+1,1))-AVERAGE(OFFSET($H$3,0,0,'Données projet'!$E$10+1,1))</f>
        <v>243.38048563215585</v>
      </c>
      <c r="AO22" s="59">
        <f t="shared" si="36"/>
        <v>372.1604147006675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1.9436109506311985</v>
      </c>
      <c r="AW22" s="21">
        <f>EXP(-LN(2)/2)*AW21+(1-EXP(-LN(2)/2))/(LN(2)/2)*AQ22*AT22*VLOOKUP('Données projet'!$B$10,Paramètres!$A$1:$I$89,3,0)*0.475*44/12</f>
        <v>1.0818479602865387</v>
      </c>
      <c r="AX22" s="21">
        <f t="shared" si="6"/>
        <v>3.0254589109177372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12.3</v>
      </c>
      <c r="BD22" s="12">
        <f>IF('Données projet'!$A$88&gt;35,BD21+BC22-BL21,IF(A22&lt;'Données projet'!$A$88,$BA$205^A22,IF(A22='Données projet'!$A$88,'Données projet'!$B$88,BD21+BC22-BL21)))</f>
        <v>121.69999999999999</v>
      </c>
      <c r="BE22" s="13">
        <f>BD22*VLOOKUP('Données projet'!$B$11,Paramètres!$A$1:$I$89,3,0)*VLOOKUP('Données projet'!$B$11,Paramètres!$A$1:$I$89,5,0)</f>
        <v>81.636359999999996</v>
      </c>
      <c r="BF22" s="13">
        <f t="shared" si="37"/>
        <v>22.536809944298909</v>
      </c>
      <c r="BG22" s="20">
        <f t="shared" si="7"/>
        <v>181.43493765298726</v>
      </c>
      <c r="BH22" s="59">
        <f t="shared" si="8"/>
        <v>474.76827098632054</v>
      </c>
      <c r="BI22" s="59">
        <f ca="1">AVERAGE(OFFSET($BH$3,0,0,'Données projet'!$E$11+1,1))-AVERAGE(OFFSET($H$3,0,0,'Données projet'!$E$11+1,1))</f>
        <v>207.93042467236967</v>
      </c>
      <c r="BJ22" s="59">
        <f t="shared" si="38"/>
        <v>250.70954318710835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5.85</v>
      </c>
      <c r="BY22" s="12">
        <f>IF('Données projet'!$A$114&gt;35,BY21+BX22-CG21,IF(A22&lt;'Données projet'!$A$114,$BV$205^A22,IF(A22='Données projet'!$A$114,'Données projet'!$B$114,BY21+BX22-CG21)))</f>
        <v>92.209691420380025</v>
      </c>
      <c r="BZ22" s="13">
        <f>BY22*VLOOKUP('Données projet'!$B$12,Paramètres!$A$1:$I$89,3,0)*VLOOKUP('Données projet'!$B$12,Paramètres!$A$1:$I$89,5,0)</f>
        <v>71.923559307896426</v>
      </c>
      <c r="CA22" s="13">
        <f t="shared" si="39"/>
        <v>20.150388876166009</v>
      </c>
      <c r="CB22" s="20">
        <f t="shared" si="10"/>
        <v>160.36212642057541</v>
      </c>
      <c r="CC22" s="59">
        <f t="shared" si="11"/>
        <v>453.69545975390872</v>
      </c>
      <c r="CD22" s="59">
        <f ca="1">AVERAGE(OFFSET($CC$3,0,0,'Données projet'!$E$12+1,1))-AVERAGE(OFFSET($H$3,0,0,'Données projet'!$E$12+1,1))</f>
        <v>266.30229009596883</v>
      </c>
      <c r="CE22" s="59">
        <f t="shared" si="40"/>
        <v>270.19195828386046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12.3</v>
      </c>
      <c r="CT22" s="12">
        <f>IF('Données projet'!$A$140&gt;35,CT21+CS22-DB21,IF(A22&lt;'Données projet'!$A$140,$CQ$205^A22,IF(A22='Données projet'!$A$140,'Données projet'!$B$140,CT21+CS22-DB21)))</f>
        <v>121.69999999999999</v>
      </c>
      <c r="CU22" s="17">
        <f>CT22*VLOOKUP('Données projet'!$B$13,Paramètres!$A$1:$I$89,3,0)*VLOOKUP('Données projet'!$B$13,Paramètres!$A$1:$I$89,5,0)</f>
        <v>96.824519999999993</v>
      </c>
      <c r="CV22" s="13">
        <f t="shared" si="41"/>
        <v>26.20406828580953</v>
      </c>
      <c r="CW22" s="20">
        <f t="shared" si="13"/>
        <v>214.27479126445158</v>
      </c>
      <c r="CX22" s="59">
        <f t="shared" si="14"/>
        <v>507.60812459778492</v>
      </c>
      <c r="CY22" s="59">
        <f ca="1">AVERAGE(OFFSET($CX$3,0,0,'Données projet'!$E$13+1,1))-AVERAGE(OFFSET($H$3,0,0,'Données projet'!$E$13+1,1))</f>
        <v>260.20517190557814</v>
      </c>
      <c r="CZ22" s="59">
        <f t="shared" si="42"/>
        <v>307.22009971147133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3.65</v>
      </c>
      <c r="DO22" s="12">
        <f>IF('Données projet'!$A$166&gt;35,DO21+DN22-DW21,IF(A22&lt;'Données projet'!$A$166,$DL$205^A22,IF(A22='Données projet'!$A$166,'Données projet'!$B$166,DO21+DN22-DW21)))</f>
        <v>58.90561805764559</v>
      </c>
      <c r="DP22" s="17">
        <f>DO22*VLOOKUP('Données projet'!$B$14,Paramètres!$A$1:$I$89,3,0)*VLOOKUP('Données projet'!$B$14,Paramètres!$A$1:$I$89,5,0)</f>
        <v>56.973513785354818</v>
      </c>
      <c r="DQ22" s="13">
        <f t="shared" si="43"/>
        <v>16.400788649238766</v>
      </c>
      <c r="DR22" s="20">
        <f t="shared" si="16"/>
        <v>127.7935767402505</v>
      </c>
      <c r="DS22" s="59">
        <f t="shared" si="17"/>
        <v>421.12691007358382</v>
      </c>
      <c r="DT22" s="59">
        <f ca="1">AVERAGE(OFFSET($DS$3,0,0,'Données projet'!$E$14+1,1))-AVERAGE(OFFSET($H$3,0,0,'Données projet'!$E$14+1,1))</f>
        <v>347.8889410585312</v>
      </c>
      <c r="DU22" s="59">
        <f t="shared" si="44"/>
        <v>254.78167322479203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3.65</v>
      </c>
      <c r="EJ22" s="12">
        <f>IF('Données projet'!$A$192&gt;35,EJ21+EI22-ER21,IF(A22&lt;'Données projet'!$A$192,$EG$205^A22,IF(A22='Données projet'!$A$192,'Données projet'!$B$192,EJ21+EI22-ER21)))</f>
        <v>58.90561805764559</v>
      </c>
      <c r="EK22" s="17">
        <f>EJ22*VLOOKUP('Données projet'!$B$15,Paramètres!$A$1:$I$89,3,0)*VLOOKUP('Données projet'!$B$15,Paramètres!$A$1:$I$89,5,0)</f>
        <v>63.406007277249707</v>
      </c>
      <c r="EL22" s="13">
        <f t="shared" si="45"/>
        <v>18.026627797823672</v>
      </c>
      <c r="EM22" s="20">
        <f t="shared" si="19"/>
        <v>141.82850608908612</v>
      </c>
      <c r="EN22" s="59">
        <f t="shared" si="20"/>
        <v>435.16183942241946</v>
      </c>
      <c r="EO22" s="59">
        <f ca="1">AVERAGE(OFFSET($EN$3,0,0,'Données projet'!$E$15+1,1))-AVERAGE(OFFSET($H$3,0,0,'Données projet'!$E$15+1,1))</f>
        <v>399.38728019348088</v>
      </c>
      <c r="EP22" s="59">
        <f t="shared" si="46"/>
        <v>289.54922160039791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440.92171753768048</v>
      </c>
      <c r="S23" s="59">
        <f ca="1">AVERAGE(OFFSET($R$3,0,0,'Données projet'!$E$9+1,1))-AVERAGE(OFFSET($H$3,0,0,'Données projet'!$E$9+1,1))</f>
        <v>318.40875902853116</v>
      </c>
      <c r="T23" s="59">
        <f t="shared" si="34"/>
        <v>234.87694492493506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0.64260789775653271</v>
      </c>
      <c r="AB23" s="21">
        <f>EXP(-LN(2)/2)*AB22+(1-EXP(-LN(2)/2))/(LN(2)/2)*V23*Y23*VLOOKUP('Données projet'!$B$9,Paramètres!$A$1:$I$89,3,0)*0.475*44/12</f>
        <v>1.2805547285024328</v>
      </c>
      <c r="AC23" s="22">
        <f t="shared" si="3"/>
        <v>1.9231626262589656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137</v>
      </c>
      <c r="AG23" s="12">
        <f>VLOOKUP(A23,'Données projet'!$A$61:$I$81,9,0)</f>
        <v>14.2</v>
      </c>
      <c r="AH23" s="12">
        <f t="array" ref="AH23">INDEX(AG:AG,MIN(IF(ISNUMBER(AG23:AG219),ROW(AG23:AG219),"")))</f>
        <v>14.2</v>
      </c>
      <c r="AI23" s="13">
        <f>IF('Données projet'!$A$62&gt;35,AI22+AH23-AQ22,IF(A23&lt;'Données projet'!$A$62,$AF$205^A23,IF(A23='Données projet'!$A$62,'Données projet'!$B$62,AI22+AH23-AQ22)))</f>
        <v>137</v>
      </c>
      <c r="AJ23" s="13">
        <f>AI23*VLOOKUP('Données projet'!$B$10,Paramètres!$A$1:$I$89,3,0)*VLOOKUP('Données projet'!$B$10,Paramètres!$A$1:$I$89,5,0)</f>
        <v>119.68320000000003</v>
      </c>
      <c r="AK23" s="13">
        <f t="shared" si="35"/>
        <v>31.601099532596194</v>
      </c>
      <c r="AL23" s="20">
        <f t="shared" si="4"/>
        <v>263.48682168593842</v>
      </c>
      <c r="AM23" s="59">
        <f t="shared" si="5"/>
        <v>556.82015501927174</v>
      </c>
      <c r="AN23" s="59">
        <f ca="1">AVERAGE(OFFSET($AM$3,0,0,'Données projet'!$E$10+1,1))-AVERAGE(OFFSET($H$3,0,0,'Données projet'!$E$10+1,1))</f>
        <v>243.38048563215585</v>
      </c>
      <c r="AO23" s="59">
        <f t="shared" si="36"/>
        <v>372.1604147006675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6.3370140075443224</v>
      </c>
      <c r="AW23" s="21">
        <f>EXP(-LN(2)/2)*AW22+(1-EXP(-LN(2)/2))/(LN(2)/2)*AQ23*AT23*VLOOKUP('Données projet'!$B$10,Paramètres!$A$1:$I$89,3,0)*0.475*44/12</f>
        <v>9.6258319893735695</v>
      </c>
      <c r="AX23" s="21">
        <f t="shared" si="6"/>
        <v>15.962845996917892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134</v>
      </c>
      <c r="BB23" s="12">
        <f>VLOOKUP(A23,'Données projet'!$A$87:$I$107,9,0)</f>
        <v>12.3</v>
      </c>
      <c r="BC23" s="12">
        <f t="array" ref="BC23">INDEX(BB:BB,MIN(IF(ISNUMBER(BB23:BB219),ROW(BB23:BB219),"")))</f>
        <v>12.3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89.887199999999993</v>
      </c>
      <c r="BF23" s="13">
        <f t="shared" si="37"/>
        <v>24.538018364785955</v>
      </c>
      <c r="BG23" s="20">
        <f t="shared" si="7"/>
        <v>199.29058865200216</v>
      </c>
      <c r="BH23" s="59">
        <f t="shared" si="8"/>
        <v>492.62392198533547</v>
      </c>
      <c r="BI23" s="59">
        <f ca="1">AVERAGE(OFFSET($BH$3,0,0,'Données projet'!$E$11+1,1))-AVERAGE(OFFSET($H$3,0,0,'Données projet'!$E$11+1,1))</f>
        <v>207.93042467236967</v>
      </c>
      <c r="BJ23" s="59">
        <f t="shared" si="38"/>
        <v>250.70954318710835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67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6.5571857613030105</v>
      </c>
      <c r="BR23" s="21">
        <f>EXP(-LN(2)/2)*BR22+(1-EXP(-LN(2)/2))/(LN(2)/2)*BL23*BO23*VLOOKUP('Données projet'!$B$11,Paramètres!$A$1:$I$89,3,0)*0.475*44/12</f>
        <v>10.601374059814683</v>
      </c>
      <c r="BS23" s="22">
        <f t="shared" si="9"/>
        <v>17.158559821117692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117</v>
      </c>
      <c r="BW23" s="12">
        <f>VLOOKUP(A23,'Données projet'!$A$113:$I$133,9,0)</f>
        <v>5.85</v>
      </c>
      <c r="BX23" s="12">
        <f t="array" ref="BX23">INDEX(BW:BW,MIN(IF(ISNUMBER(BW23:BW219),ROW(BW23:BW219),"")))</f>
        <v>5.85</v>
      </c>
      <c r="BY23" s="12">
        <f>IF('Données projet'!$A$114&gt;35,BY22+BX23-CG22,IF(A23&lt;'Données projet'!$A$114,$BV$205^A23,IF(A23='Données projet'!$A$114,'Données projet'!$B$114,BY22+BX23-CG22)))</f>
        <v>117</v>
      </c>
      <c r="BZ23" s="13">
        <f>BY23*VLOOKUP('Données projet'!$B$12,Paramètres!$A$1:$I$89,3,0)*VLOOKUP('Données projet'!$B$12,Paramètres!$A$1:$I$89,5,0)</f>
        <v>91.26</v>
      </c>
      <c r="CA23" s="13">
        <f t="shared" si="39"/>
        <v>24.868860330902777</v>
      </c>
      <c r="CB23" s="20">
        <f t="shared" si="10"/>
        <v>202.25776507632233</v>
      </c>
      <c r="CC23" s="59">
        <f t="shared" si="11"/>
        <v>495.59109840965561</v>
      </c>
      <c r="CD23" s="59">
        <f ca="1">AVERAGE(OFFSET($CC$3,0,0,'Données projet'!$E$12+1,1))-AVERAGE(OFFSET($H$3,0,0,'Données projet'!$E$12+1,1))</f>
        <v>266.30229009596883</v>
      </c>
      <c r="CE23" s="59">
        <f t="shared" si="40"/>
        <v>270.19195828386046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2.4928754654348251</v>
      </c>
      <c r="CM23" s="21">
        <f>EXP(-LN(2)/2)*CM22+(1-EXP(-LN(2)/2))/(LN(2)/2)*CG23*CJ23*VLOOKUP('Données projet'!$B$12,Paramètres!$A$1:$I$89,3,0)*0.475*44/12</f>
        <v>4.9676692053973701</v>
      </c>
      <c r="CN23" s="22">
        <f t="shared" si="12"/>
        <v>7.4605446708321956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134</v>
      </c>
      <c r="CR23" s="12">
        <f>VLOOKUP(A23,'Données projet'!$A$139:$I$159,9,0)</f>
        <v>12.3</v>
      </c>
      <c r="CS23" s="12">
        <f t="array" ref="CS23">INDEX(CR:CR,MIN(IF(ISNUMBER(CR23:CR219),ROW(CR23:CR219),"")))</f>
        <v>12.3</v>
      </c>
      <c r="CT23" s="12">
        <f>IF('Données projet'!$A$140&gt;35,CT22+CS23-DB22,IF(A23&lt;'Données projet'!$A$140,$CQ$205^A23,IF(A23='Données projet'!$A$140,'Données projet'!$B$140,CT22+CS23-DB22)))</f>
        <v>134</v>
      </c>
      <c r="CU23" s="17">
        <f>CT23*VLOOKUP('Données projet'!$B$13,Paramètres!$A$1:$I$89,3,0)*VLOOKUP('Données projet'!$B$13,Paramètres!$A$1:$I$89,5,0)</f>
        <v>106.61040000000001</v>
      </c>
      <c r="CV23" s="13">
        <f t="shared" si="41"/>
        <v>28.530919434405451</v>
      </c>
      <c r="CW23" s="20">
        <f t="shared" si="13"/>
        <v>235.3711313482562</v>
      </c>
      <c r="CX23" s="59">
        <f t="shared" si="14"/>
        <v>528.70446468158957</v>
      </c>
      <c r="CY23" s="59">
        <f ca="1">AVERAGE(OFFSET($CX$3,0,0,'Données projet'!$E$13+1,1))-AVERAGE(OFFSET($H$3,0,0,'Données projet'!$E$13+1,1))</f>
        <v>260.20517190557814</v>
      </c>
      <c r="CZ23" s="59">
        <f t="shared" si="42"/>
        <v>307.22009971147133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67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7.7771272982896171</v>
      </c>
      <c r="DH23" s="21">
        <f>EXP(-LN(2)/2)*DH22+(1-EXP(-LN(2)/2))/(LN(2)/2)*DB23*DE23*VLOOKUP('Données projet'!$B$13,Paramètres!$A$1:$I$89,3,0)*0.475*44/12</f>
        <v>12.573722722105785</v>
      </c>
      <c r="DI23" s="22">
        <f t="shared" si="15"/>
        <v>20.350850020395402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73</v>
      </c>
      <c r="DM23" s="12">
        <f>VLOOKUP(A23,'Données projet'!$A$165:$I$185,9,0)</f>
        <v>3.65</v>
      </c>
      <c r="DN23" s="12">
        <f t="array" ref="DN23">INDEX(DM:DM,MIN(IF(ISNUMBER(DM23:DM219),ROW(DM23:DM219),"")))</f>
        <v>3.65</v>
      </c>
      <c r="DO23" s="12">
        <f>IF('Données projet'!$A$166&gt;35,DO22+DN23-DW22,IF(A23&lt;'Données projet'!$A$166,$DL$205^A23,IF(A23='Données projet'!$A$166,'Données projet'!$B$166,DO22+DN23-DW22)))</f>
        <v>73</v>
      </c>
      <c r="DP23" s="17">
        <f>DO23*VLOOKUP('Données projet'!$B$14,Paramètres!$A$1:$I$89,3,0)*VLOOKUP('Données projet'!$B$14,Paramètres!$A$1:$I$89,5,0)</f>
        <v>70.605599999999995</v>
      </c>
      <c r="DQ23" s="13">
        <f t="shared" si="43"/>
        <v>19.823773913828742</v>
      </c>
      <c r="DR23" s="20">
        <f t="shared" si="16"/>
        <v>157.49782623325171</v>
      </c>
      <c r="DS23" s="59">
        <f t="shared" si="17"/>
        <v>450.83115956658503</v>
      </c>
      <c r="DT23" s="59">
        <f ca="1">AVERAGE(OFFSET($DS$3,0,0,'Données projet'!$E$14+1,1))-AVERAGE(OFFSET($H$3,0,0,'Données projet'!$E$14+1,1))</f>
        <v>347.8889410585312</v>
      </c>
      <c r="DU23" s="59">
        <f t="shared" si="44"/>
        <v>254.78167322479203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6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0.68692568380870744</v>
      </c>
      <c r="EC23" s="21">
        <f>EXP(-LN(2)/2)*EC22+(1-EXP(-LN(2)/2))/(LN(2)/2)*DW23*DZ23*VLOOKUP('Données projet'!$B$14,Paramètres!$A$1:$I$89,3,0)*0.475*44/12</f>
        <v>1.3688688477094972</v>
      </c>
      <c r="ED23" s="22">
        <f t="shared" si="18"/>
        <v>2.0557945315182047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73</v>
      </c>
      <c r="EH23" s="12">
        <f>VLOOKUP(A23,'Données projet'!$A$191:$I$211,9,0)</f>
        <v>3.65</v>
      </c>
      <c r="EI23" s="12">
        <f t="array" ref="EI23">INDEX(EH:EH,MIN(IF(ISNUMBER(EH23:EH219),ROW(EH23:EH219),"")))</f>
        <v>3.65</v>
      </c>
      <c r="EJ23" s="12">
        <f>IF('Données projet'!$A$192&gt;35,EJ22+EI23-ER22,IF(A23&lt;'Données projet'!$A$192,$EG$205^A23,IF(A23='Données projet'!$A$192,'Données projet'!$B$192,EJ22+EI23-ER22)))</f>
        <v>73</v>
      </c>
      <c r="EK23" s="17">
        <f>EJ23*VLOOKUP('Données projet'!$B$15,Paramètres!$A$1:$I$89,3,0)*VLOOKUP('Données projet'!$B$15,Paramètres!$A$1:$I$89,5,0)</f>
        <v>78.577200000000005</v>
      </c>
      <c r="EL23" s="13">
        <f t="shared" si="45"/>
        <v>21.788939637935243</v>
      </c>
      <c r="EM23" s="20">
        <f t="shared" si="19"/>
        <v>174.8043598694039</v>
      </c>
      <c r="EN23" s="59">
        <f t="shared" si="20"/>
        <v>468.13769320273718</v>
      </c>
      <c r="EO23" s="59">
        <f ca="1">AVERAGE(OFFSET($EN$3,0,0,'Données projet'!$E$15+1,1))-AVERAGE(OFFSET($H$3,0,0,'Données projet'!$E$15+1,1))</f>
        <v>399.38728019348088</v>
      </c>
      <c r="EP23" s="59">
        <f t="shared" si="46"/>
        <v>289.54922160039791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6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0.1075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0.76448180940001309</v>
      </c>
      <c r="EX23" s="21">
        <f>EXP(-LN(2)/2)*EX22+(1-EXP(-LN(2)/2))/(LN(2)/2)*ER23*EU23*VLOOKUP('Données projet'!$B$15,Paramètres!$A$1:$I$89,3,0)*0.475*44/12</f>
        <v>1.5234185563218594</v>
      </c>
      <c r="EY23" s="22">
        <f t="shared" si="21"/>
        <v>2.2879003657218724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8.1999999999999993</v>
      </c>
      <c r="N24" s="13">
        <f>IF('Données projet'!$A$36&gt;35,N23+M24-V23,IF(A24&lt;'Données projet'!$A$36,$K$205^A24,IF(A24='Données projet'!$A$36,'Données projet'!$B$36,N23+M24-V23)))</f>
        <v>75.2</v>
      </c>
      <c r="O24" s="13">
        <f>N24*VLOOKUP('Données projet'!$B$9,Paramètres!$A$1:$I$89,3,0)*VLOOKUP('Données projet'!$B$9,Paramètres!$A$1:$I$89,5,0)</f>
        <v>68.040959999999998</v>
      </c>
      <c r="P24" s="13">
        <f t="shared" si="33"/>
        <v>19.186158107165539</v>
      </c>
      <c r="Q24" s="20">
        <f t="shared" si="2"/>
        <v>151.92056403664665</v>
      </c>
      <c r="R24" s="59">
        <f t="shared" si="0"/>
        <v>445.25389736998</v>
      </c>
      <c r="S24" s="59">
        <f ca="1">AVERAGE(OFFSET($R$3,0,0,'Données projet'!$E$9+1,1))-AVERAGE(OFFSET($H$3,0,0,'Données projet'!$E$9+1,1))</f>
        <v>318.40875902853116</v>
      </c>
      <c r="T24" s="59">
        <f t="shared" si="34"/>
        <v>234.87694492493506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0.62503575099909969</v>
      </c>
      <c r="AB24" s="21">
        <f>EXP(-LN(2)/2)*AB23+(1-EXP(-LN(2)/2))/(LN(2)/2)*V24*Y24*VLOOKUP('Données projet'!$B$9,Paramètres!$A$1:$I$89,3,0)*0.475*44/12</f>
        <v>0.90548893220456861</v>
      </c>
      <c r="AC24" s="22">
        <f t="shared" si="3"/>
        <v>1.5305246832036683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13.4</v>
      </c>
      <c r="AI24" s="13">
        <f>IF('Données projet'!$A$62&gt;35,AI23+AH24-AQ23,IF(A24&lt;'Données projet'!$A$62,$AF$205^A24,IF(A24='Données projet'!$A$62,'Données projet'!$B$62,AI23+AH24-AQ23)))</f>
        <v>107.4</v>
      </c>
      <c r="AJ24" s="13">
        <f>AI24*VLOOKUP('Données projet'!$B$10,Paramètres!$A$1:$I$89,3,0)*VLOOKUP('Données projet'!$B$10,Paramètres!$A$1:$I$89,5,0)</f>
        <v>93.824640000000016</v>
      </c>
      <c r="AK24" s="13">
        <f t="shared" si="35"/>
        <v>25.48538998338303</v>
      </c>
      <c r="AL24" s="20">
        <f t="shared" si="4"/>
        <v>207.79830222105878</v>
      </c>
      <c r="AM24" s="59">
        <f t="shared" si="5"/>
        <v>501.13163555439212</v>
      </c>
      <c r="AN24" s="59">
        <f ca="1">AVERAGE(OFFSET($AM$3,0,0,'Données projet'!$E$10+1,1))-AVERAGE(OFFSET($H$3,0,0,'Données projet'!$E$10+1,1))</f>
        <v>243.38048563215585</v>
      </c>
      <c r="AO24" s="59">
        <f t="shared" si="36"/>
        <v>372.1604147006675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6.1637280262589398</v>
      </c>
      <c r="AW24" s="21">
        <f>EXP(-LN(2)/2)*AW23+(1-EXP(-LN(2)/2))/(LN(2)/2)*AQ24*AT24*VLOOKUP('Données projet'!$B$10,Paramètres!$A$1:$I$89,3,0)*0.475*44/12</f>
        <v>6.8064910742484468</v>
      </c>
      <c r="AX24" s="21">
        <f t="shared" si="6"/>
        <v>12.970219100507386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14.5</v>
      </c>
      <c r="BD24" s="12">
        <f>IF('Données projet'!$A$88&gt;35,BD23+BC24-BL23,IF(A24&lt;'Données projet'!$A$88,$BA$205^A24,IF(A24='Données projet'!$A$88,'Données projet'!$B$88,BD23+BC24-BL23)))</f>
        <v>81.5</v>
      </c>
      <c r="BE24" s="13">
        <f>BD24*VLOOKUP('Données projet'!$B$11,Paramètres!$A$1:$I$89,3,0)*VLOOKUP('Données projet'!$B$11,Paramètres!$A$1:$I$89,5,0)</f>
        <v>54.670200000000001</v>
      </c>
      <c r="BF24" s="13">
        <f t="shared" si="37"/>
        <v>15.813519935295519</v>
      </c>
      <c r="BG24" s="20">
        <f t="shared" si="7"/>
        <v>122.75914555397303</v>
      </c>
      <c r="BH24" s="59">
        <f t="shared" si="8"/>
        <v>416.09247888730636</v>
      </c>
      <c r="BI24" s="59">
        <f ca="1">AVERAGE(OFFSET($BH$3,0,0,'Données projet'!$E$11+1,1))-AVERAGE(OFFSET($H$3,0,0,'Données projet'!$E$11+1,1))</f>
        <v>207.93042467236967</v>
      </c>
      <c r="BJ24" s="59">
        <f t="shared" si="38"/>
        <v>250.70954318710835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6.3778791718327668</v>
      </c>
      <c r="BR24" s="21">
        <f>EXP(-LN(2)/2)*BR23+(1-EXP(-LN(2)/2))/(LN(2)/2)*BL24*BO24*VLOOKUP('Données projet'!$B$11,Paramètres!$A$1:$I$89,3,0)*0.475*44/12</f>
        <v>7.4963034875901222</v>
      </c>
      <c r="BS24" s="22">
        <f t="shared" si="9"/>
        <v>13.874182659422889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10.4</v>
      </c>
      <c r="BY24" s="12">
        <f>IF('Données projet'!$A$114&gt;35,BY23+BX24-CG23,IF(A24&lt;'Données projet'!$A$114,$BV$205^A24,IF(A24='Données projet'!$A$114,'Données projet'!$B$114,BY23+BX24-CG23)))</f>
        <v>100.4</v>
      </c>
      <c r="BZ24" s="13">
        <f>BY24*VLOOKUP('Données projet'!$B$12,Paramètres!$A$1:$I$89,3,0)*VLOOKUP('Données projet'!$B$12,Paramètres!$A$1:$I$89,5,0)</f>
        <v>78.312000000000012</v>
      </c>
      <c r="CA24" s="13">
        <f t="shared" si="39"/>
        <v>21.723948494283775</v>
      </c>
      <c r="CB24" s="20">
        <f t="shared" si="10"/>
        <v>174.22927696087757</v>
      </c>
      <c r="CC24" s="59">
        <f t="shared" si="11"/>
        <v>467.56261029421091</v>
      </c>
      <c r="CD24" s="59">
        <f ca="1">AVERAGE(OFFSET($CC$3,0,0,'Données projet'!$E$12+1,1))-AVERAGE(OFFSET($H$3,0,0,'Données projet'!$E$12+1,1))</f>
        <v>266.30229009596883</v>
      </c>
      <c r="CE24" s="59">
        <f t="shared" si="40"/>
        <v>270.19195828386046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2.4247076547378867</v>
      </c>
      <c r="CM24" s="21">
        <f>EXP(-LN(2)/2)*CM23+(1-EXP(-LN(2)/2))/(LN(2)/2)*CG24*CJ24*VLOOKUP('Données projet'!$B$12,Paramètres!$A$1:$I$89,3,0)*0.475*44/12</f>
        <v>3.5126725818280686</v>
      </c>
      <c r="CN24" s="22">
        <f t="shared" si="12"/>
        <v>5.9373802365659554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14.5</v>
      </c>
      <c r="CT24" s="12">
        <f>IF('Données projet'!$A$140&gt;35,CT23+CS24-DB23,IF(A24&lt;'Données projet'!$A$140,$CQ$205^A24,IF(A24='Données projet'!$A$140,'Données projet'!$B$140,CT23+CS24-DB23)))</f>
        <v>81.5</v>
      </c>
      <c r="CU24" s="17">
        <f>CT24*VLOOKUP('Données projet'!$B$13,Paramètres!$A$1:$I$89,3,0)*VLOOKUP('Données projet'!$B$13,Paramètres!$A$1:$I$89,5,0)</f>
        <v>64.841399999999993</v>
      </c>
      <c r="CV24" s="13">
        <f t="shared" si="41"/>
        <v>18.386744053291277</v>
      </c>
      <c r="CW24" s="20">
        <f t="shared" si="13"/>
        <v>144.95568422614897</v>
      </c>
      <c r="CX24" s="59">
        <f t="shared" si="14"/>
        <v>438.28901755948232</v>
      </c>
      <c r="CY24" s="59">
        <f ca="1">AVERAGE(OFFSET($CX$3,0,0,'Données projet'!$E$13+1,1))-AVERAGE(OFFSET($H$3,0,0,'Données projet'!$E$13+1,1))</f>
        <v>260.20517190557814</v>
      </c>
      <c r="CZ24" s="59">
        <f t="shared" si="42"/>
        <v>307.22009971147133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7.5644613433365375</v>
      </c>
      <c r="DH24" s="21">
        <f>EXP(-LN(2)/2)*DH23+(1-EXP(-LN(2)/2))/(LN(2)/2)*DB24*DE24*VLOOKUP('Données projet'!$B$13,Paramètres!$A$1:$I$89,3,0)*0.475*44/12</f>
        <v>8.8909646015603769</v>
      </c>
      <c r="DI24" s="22">
        <f t="shared" si="15"/>
        <v>16.455425944896916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8.1999999999999993</v>
      </c>
      <c r="DO24" s="12">
        <f>IF('Données projet'!$A$166&gt;35,DO23+DN24-DW23,IF(A24&lt;'Données projet'!$A$166,$DL$205^A24,IF(A24='Données projet'!$A$166,'Données projet'!$B$166,DO23+DN24-DW23)))</f>
        <v>75.2</v>
      </c>
      <c r="DP24" s="17">
        <f>DO24*VLOOKUP('Données projet'!$B$14,Paramètres!$A$1:$I$89,3,0)*VLOOKUP('Données projet'!$B$14,Paramètres!$A$1:$I$89,5,0)</f>
        <v>72.733440000000002</v>
      </c>
      <c r="DQ24" s="13">
        <f t="shared" si="43"/>
        <v>20.35074632423952</v>
      </c>
      <c r="DR24" s="20">
        <f t="shared" si="16"/>
        <v>162.12162451471718</v>
      </c>
      <c r="DS24" s="59">
        <f t="shared" si="17"/>
        <v>455.45495784805053</v>
      </c>
      <c r="DT24" s="59">
        <f ca="1">AVERAGE(OFFSET($DS$3,0,0,'Données projet'!$E$14+1,1))-AVERAGE(OFFSET($H$3,0,0,'Données projet'!$E$14+1,1))</f>
        <v>347.8889410585312</v>
      </c>
      <c r="DU24" s="59">
        <f t="shared" si="44"/>
        <v>254.78167322479203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0.6681416648611066</v>
      </c>
      <c r="EC24" s="21">
        <f>EXP(-LN(2)/2)*EC23+(1-EXP(-LN(2)/2))/(LN(2)/2)*DW24*DZ24*VLOOKUP('Données projet'!$B$14,Paramètres!$A$1:$I$89,3,0)*0.475*44/12</f>
        <v>0.96793644477040097</v>
      </c>
      <c r="ED24" s="22">
        <f t="shared" si="18"/>
        <v>1.6360781096315076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8.1999999999999993</v>
      </c>
      <c r="EJ24" s="12">
        <f>IF('Données projet'!$A$192&gt;35,EJ23+EI24-ER23,IF(A24&lt;'Données projet'!$A$192,$EG$205^A24,IF(A24='Données projet'!$A$192,'Données projet'!$B$192,EJ23+EI24-ER23)))</f>
        <v>75.2</v>
      </c>
      <c r="EK24" s="17">
        <f>EJ24*VLOOKUP('Données projet'!$B$15,Paramètres!$A$1:$I$89,3,0)*VLOOKUP('Données projet'!$B$15,Paramètres!$A$1:$I$89,5,0)</f>
        <v>80.945279999999997</v>
      </c>
      <c r="EL24" s="13">
        <f t="shared" si="45"/>
        <v>22.368151754215884</v>
      </c>
      <c r="EM24" s="20">
        <f t="shared" si="19"/>
        <v>179.93756030525932</v>
      </c>
      <c r="EN24" s="59">
        <f t="shared" si="20"/>
        <v>473.27089363859261</v>
      </c>
      <c r="EO24" s="59">
        <f ca="1">AVERAGE(OFFSET($EN$3,0,0,'Données projet'!$E$15+1,1))-AVERAGE(OFFSET($H$3,0,0,'Données projet'!$E$15+1,1))</f>
        <v>399.38728019348088</v>
      </c>
      <c r="EP24" s="59">
        <f t="shared" si="46"/>
        <v>289.54922160039791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0.74357701411961863</v>
      </c>
      <c r="EX24" s="21">
        <f>EXP(-LN(2)/2)*EX23+(1-EXP(-LN(2)/2))/(LN(2)/2)*ER24*EU24*VLOOKUP('Données projet'!$B$15,Paramètres!$A$1:$I$89,3,0)*0.475*44/12</f>
        <v>1.0772195917606073</v>
      </c>
      <c r="EY24" s="22">
        <f t="shared" si="21"/>
        <v>1.8207966058802261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8.1999999999999993</v>
      </c>
      <c r="N25" s="13">
        <f>IF('Données projet'!$A$36&gt;35,N24+M25-V24,IF(A25&lt;'Données projet'!$A$36,$K$205^A25,IF(A25='Données projet'!$A$36,'Données projet'!$B$36,N24+M25-V24)))</f>
        <v>83.4</v>
      </c>
      <c r="O25" s="13">
        <f>N25*VLOOKUP('Données projet'!$B$9,Paramètres!$A$1:$I$89,3,0)*VLOOKUP('Données projet'!$B$9,Paramètres!$A$1:$I$89,5,0)</f>
        <v>75.460319999999996</v>
      </c>
      <c r="P25" s="13">
        <f t="shared" si="33"/>
        <v>21.023463123249066</v>
      </c>
      <c r="Q25" s="20">
        <f t="shared" si="2"/>
        <v>168.04258893965877</v>
      </c>
      <c r="R25" s="59">
        <f t="shared" si="0"/>
        <v>461.37592227299206</v>
      </c>
      <c r="S25" s="59">
        <f ca="1">AVERAGE(OFFSET($R$3,0,0,'Données projet'!$E$9+1,1))-AVERAGE(OFFSET($H$3,0,0,'Données projet'!$E$9+1,1))</f>
        <v>318.40875902853116</v>
      </c>
      <c r="T25" s="59">
        <f t="shared" si="34"/>
        <v>234.87694492493506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0.60794411551882765</v>
      </c>
      <c r="AB25" s="21">
        <f>EXP(-LN(2)/2)*AB24+(1-EXP(-LN(2)/2))/(LN(2)/2)*V25*Y25*VLOOKUP('Données projet'!$B$9,Paramètres!$A$1:$I$89,3,0)*0.475*44/12</f>
        <v>0.64027736425121651</v>
      </c>
      <c r="AC25" s="22">
        <f t="shared" si="3"/>
        <v>1.2482214797700442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13.4</v>
      </c>
      <c r="AI25" s="13">
        <f>IF('Données projet'!$A$62&gt;35,AI24+AH25-AQ24,IF(A25&lt;'Données projet'!$A$62,$AF$205^A25,IF(A25='Données projet'!$A$62,'Données projet'!$B$62,AI24+AH25-AQ24)))</f>
        <v>120.80000000000001</v>
      </c>
      <c r="AJ25" s="13">
        <f>AI25*VLOOKUP('Données projet'!$B$10,Paramètres!$A$1:$I$89,3,0)*VLOOKUP('Données projet'!$B$10,Paramètres!$A$1:$I$89,5,0)</f>
        <v>105.53088000000002</v>
      </c>
      <c r="AK25" s="13">
        <f t="shared" si="35"/>
        <v>28.275496771440064</v>
      </c>
      <c r="AL25" s="20">
        <f t="shared" si="4"/>
        <v>233.04610621025813</v>
      </c>
      <c r="AM25" s="59">
        <f t="shared" si="5"/>
        <v>526.37943954359139</v>
      </c>
      <c r="AN25" s="59">
        <f ca="1">AVERAGE(OFFSET($AM$3,0,0,'Données projet'!$E$10+1,1))-AVERAGE(OFFSET($H$3,0,0,'Données projet'!$E$10+1,1))</f>
        <v>243.38048563215585</v>
      </c>
      <c r="AO25" s="59">
        <f t="shared" si="36"/>
        <v>372.1604147006675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5.9951805592445195</v>
      </c>
      <c r="AW25" s="21">
        <f>EXP(-LN(2)/2)*AW24+(1-EXP(-LN(2)/2))/(LN(2)/2)*AQ25*AT25*VLOOKUP('Données projet'!$B$10,Paramètres!$A$1:$I$89,3,0)*0.475*44/12</f>
        <v>4.8129159946867857</v>
      </c>
      <c r="AX25" s="21">
        <f t="shared" si="6"/>
        <v>10.808096553931305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14.5</v>
      </c>
      <c r="BD25" s="12">
        <f>IF('Données projet'!$A$88&gt;35,BD24+BC25-BL24,IF(A25&lt;'Données projet'!$A$88,$BA$205^A25,IF(A25='Données projet'!$A$88,'Données projet'!$B$88,BD24+BC25-BL24)))</f>
        <v>96</v>
      </c>
      <c r="BE25" s="13">
        <f>BD25*VLOOKUP('Données projet'!$B$11,Paramètres!$A$1:$I$89,3,0)*VLOOKUP('Données projet'!$B$11,Paramètres!$A$1:$I$89,5,0)</f>
        <v>64.396799999999999</v>
      </c>
      <c r="BF25" s="13">
        <f t="shared" si="37"/>
        <v>18.275301428499329</v>
      </c>
      <c r="BG25" s="20">
        <f t="shared" si="7"/>
        <v>143.987243321303</v>
      </c>
      <c r="BH25" s="59">
        <f t="shared" si="8"/>
        <v>437.32057665463628</v>
      </c>
      <c r="BI25" s="59">
        <f ca="1">AVERAGE(OFFSET($BH$3,0,0,'Données projet'!$E$11+1,1))-AVERAGE(OFFSET($H$3,0,0,'Données projet'!$E$11+1,1))</f>
        <v>207.93042467236967</v>
      </c>
      <c r="BJ25" s="59">
        <f t="shared" si="38"/>
        <v>250.70954318710835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6.2034757304809114</v>
      </c>
      <c r="BR25" s="21">
        <f>EXP(-LN(2)/2)*BR24+(1-EXP(-LN(2)/2))/(LN(2)/2)*BL25*BO25*VLOOKUP('Données projet'!$B$11,Paramètres!$A$1:$I$89,3,0)*0.475*44/12</f>
        <v>5.3006870299073423</v>
      </c>
      <c r="BS25" s="22">
        <f t="shared" si="9"/>
        <v>11.504162760388255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10.4</v>
      </c>
      <c r="BY25" s="12">
        <f>IF('Données projet'!$A$114&gt;35,BY24+BX25-CG24,IF(A25&lt;'Données projet'!$A$114,$BV$205^A25,IF(A25='Données projet'!$A$114,'Données projet'!$B$114,BY24+BX25-CG24)))</f>
        <v>110.80000000000001</v>
      </c>
      <c r="BZ25" s="13">
        <f>BY25*VLOOKUP('Données projet'!$B$12,Paramètres!$A$1:$I$89,3,0)*VLOOKUP('Données projet'!$B$12,Paramètres!$A$1:$I$89,5,0)</f>
        <v>86.424000000000007</v>
      </c>
      <c r="CA25" s="13">
        <f t="shared" si="39"/>
        <v>23.700755391849651</v>
      </c>
      <c r="CB25" s="20">
        <f t="shared" si="10"/>
        <v>191.80061564080484</v>
      </c>
      <c r="CC25" s="59">
        <f t="shared" si="11"/>
        <v>485.13394897413815</v>
      </c>
      <c r="CD25" s="59">
        <f ca="1">AVERAGE(OFFSET($CC$3,0,0,'Données projet'!$E$12+1,1))-AVERAGE(OFFSET($H$3,0,0,'Données projet'!$E$12+1,1))</f>
        <v>266.30229009596883</v>
      </c>
      <c r="CE25" s="59">
        <f t="shared" si="40"/>
        <v>270.19195828386046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2.3584038964092455</v>
      </c>
      <c r="CM25" s="21">
        <f>EXP(-LN(2)/2)*CM24+(1-EXP(-LN(2)/2))/(LN(2)/2)*CG25*CJ25*VLOOKUP('Données projet'!$B$12,Paramètres!$A$1:$I$89,3,0)*0.475*44/12</f>
        <v>2.4838346026986851</v>
      </c>
      <c r="CN25" s="22">
        <f t="shared" si="12"/>
        <v>4.8422384991079301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14.5</v>
      </c>
      <c r="CT25" s="12">
        <f>IF('Données projet'!$A$140&gt;35,CT24+CS25-DB24,IF(A25&lt;'Données projet'!$A$140,$CQ$205^A25,IF(A25='Données projet'!$A$140,'Données projet'!$B$140,CT24+CS25-DB24)))</f>
        <v>96</v>
      </c>
      <c r="CU25" s="17">
        <f>CT25*VLOOKUP('Données projet'!$B$13,Paramètres!$A$1:$I$89,3,0)*VLOOKUP('Données projet'!$B$13,Paramètres!$A$1:$I$89,5,0)</f>
        <v>76.377600000000001</v>
      </c>
      <c r="CV25" s="13">
        <f t="shared" si="41"/>
        <v>21.249114127498419</v>
      </c>
      <c r="CW25" s="20">
        <f t="shared" si="13"/>
        <v>170.03319377205972</v>
      </c>
      <c r="CX25" s="59">
        <f t="shared" si="14"/>
        <v>463.36652710539306</v>
      </c>
      <c r="CY25" s="59">
        <f ca="1">AVERAGE(OFFSET($CX$3,0,0,'Données projet'!$E$13+1,1))-AVERAGE(OFFSET($H$3,0,0,'Données projet'!$E$13+1,1))</f>
        <v>260.20517190557814</v>
      </c>
      <c r="CZ25" s="59">
        <f t="shared" si="42"/>
        <v>307.22009971147133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7.357610750105267</v>
      </c>
      <c r="DH25" s="21">
        <f>EXP(-LN(2)/2)*DH24+(1-EXP(-LN(2)/2))/(LN(2)/2)*DB25*DE25*VLOOKUP('Données projet'!$B$13,Paramètres!$A$1:$I$89,3,0)*0.475*44/12</f>
        <v>6.2868613610528934</v>
      </c>
      <c r="DI25" s="22">
        <f t="shared" si="15"/>
        <v>13.64447211115816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8.1999999999999993</v>
      </c>
      <c r="DO25" s="12">
        <f>IF('Données projet'!$A$166&gt;35,DO24+DN25-DW24,IF(A25&lt;'Données projet'!$A$166,$DL$205^A25,IF(A25='Données projet'!$A$166,'Données projet'!$B$166,DO24+DN25-DW24)))</f>
        <v>83.4</v>
      </c>
      <c r="DP25" s="17">
        <f>DO25*VLOOKUP('Données projet'!$B$14,Paramètres!$A$1:$I$89,3,0)*VLOOKUP('Données projet'!$B$14,Paramètres!$A$1:$I$89,5,0)</f>
        <v>80.664480000000012</v>
      </c>
      <c r="DQ25" s="13">
        <f t="shared" si="43"/>
        <v>22.299574645872305</v>
      </c>
      <c r="DR25" s="20">
        <f t="shared" si="16"/>
        <v>179.32906184156093</v>
      </c>
      <c r="DS25" s="59">
        <f t="shared" si="17"/>
        <v>472.66239517489424</v>
      </c>
      <c r="DT25" s="59">
        <f ca="1">AVERAGE(OFFSET($DS$3,0,0,'Données projet'!$E$14+1,1))-AVERAGE(OFFSET($H$3,0,0,'Données projet'!$E$14+1,1))</f>
        <v>347.8889410585312</v>
      </c>
      <c r="DU25" s="59">
        <f t="shared" si="44"/>
        <v>254.78167322479203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0.6498712958994366</v>
      </c>
      <c r="EC25" s="21">
        <f>EXP(-LN(2)/2)*EC24+(1-EXP(-LN(2)/2))/(LN(2)/2)*DW25*DZ25*VLOOKUP('Données projet'!$B$14,Paramètres!$A$1:$I$89,3,0)*0.475*44/12</f>
        <v>0.68443442385474873</v>
      </c>
      <c r="ED25" s="22">
        <f t="shared" si="18"/>
        <v>1.3343057197541852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8.1999999999999993</v>
      </c>
      <c r="EJ25" s="12">
        <f>IF('Données projet'!$A$192&gt;35,EJ24+EI25-ER24,IF(A25&lt;'Données projet'!$A$192,$EG$205^A25,IF(A25='Données projet'!$A$192,'Données projet'!$B$192,EJ24+EI25-ER24)))</f>
        <v>83.4</v>
      </c>
      <c r="EK25" s="17">
        <f>EJ25*VLOOKUP('Données projet'!$B$15,Paramètres!$A$1:$I$89,3,0)*VLOOKUP('Données projet'!$B$15,Paramètres!$A$1:$I$89,5,0)</f>
        <v>89.77176</v>
      </c>
      <c r="EL25" s="13">
        <f t="shared" si="45"/>
        <v>24.510170869715072</v>
      </c>
      <c r="EM25" s="20">
        <f t="shared" si="19"/>
        <v>199.04102959808708</v>
      </c>
      <c r="EN25" s="59">
        <f t="shared" si="20"/>
        <v>492.37436293142036</v>
      </c>
      <c r="EO25" s="59">
        <f ca="1">AVERAGE(OFFSET($EN$3,0,0,'Données projet'!$E$15+1,1))-AVERAGE(OFFSET($H$3,0,0,'Données projet'!$E$15+1,1))</f>
        <v>399.38728019348088</v>
      </c>
      <c r="EP25" s="59">
        <f t="shared" si="46"/>
        <v>289.54922160039791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0.72324386156550191</v>
      </c>
      <c r="EX25" s="21">
        <f>EXP(-LN(2)/2)*EX24+(1-EXP(-LN(2)/2))/(LN(2)/2)*ER25*EU25*VLOOKUP('Données projet'!$B$15,Paramètres!$A$1:$I$89,3,0)*0.475*44/12</f>
        <v>0.76170927816092993</v>
      </c>
      <c r="EY25" s="22">
        <f t="shared" si="21"/>
        <v>1.4849531397264317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8.1999999999999993</v>
      </c>
      <c r="N26" s="13">
        <f>IF('Données projet'!$A$36&gt;35,N25+M26-V25,IF(A26&lt;'Données projet'!$A$36,$K$205^A26,IF(A26='Données projet'!$A$36,'Données projet'!$B$36,N25+M26-V25)))</f>
        <v>91.600000000000009</v>
      </c>
      <c r="O26" s="13">
        <f>N26*VLOOKUP('Données projet'!$B$9,Paramètres!$A$1:$I$89,3,0)*VLOOKUP('Données projet'!$B$9,Paramètres!$A$1:$I$89,5,0)</f>
        <v>82.879680000000008</v>
      </c>
      <c r="P26" s="13">
        <f t="shared" si="33"/>
        <v>22.83982519050506</v>
      </c>
      <c r="Q26" s="20">
        <f t="shared" si="2"/>
        <v>184.12813820679631</v>
      </c>
      <c r="R26" s="59">
        <f t="shared" si="0"/>
        <v>477.46147154012965</v>
      </c>
      <c r="S26" s="59">
        <f ca="1">AVERAGE(OFFSET($R$3,0,0,'Données projet'!$E$9+1,1))-AVERAGE(OFFSET($H$3,0,0,'Données projet'!$E$9+1,1))</f>
        <v>318.40875902853116</v>
      </c>
      <c r="T26" s="59">
        <f t="shared" si="34"/>
        <v>234.87694492493506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0.5913198517095738</v>
      </c>
      <c r="AB26" s="21">
        <f>EXP(-LN(2)/2)*AB25+(1-EXP(-LN(2)/2))/(LN(2)/2)*V26*Y26*VLOOKUP('Données projet'!$B$9,Paramètres!$A$1:$I$89,3,0)*0.475*44/12</f>
        <v>0.45274446610228436</v>
      </c>
      <c r="AC26" s="22">
        <f t="shared" si="3"/>
        <v>1.0440643178118583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13.4</v>
      </c>
      <c r="AI26" s="13">
        <f>IF('Données projet'!$A$62&gt;35,AI25+AH26-AQ25,IF(A26&lt;'Données projet'!$A$62,$AF$205^A26,IF(A26='Données projet'!$A$62,'Données projet'!$B$62,AI25+AH26-AQ25)))</f>
        <v>134.20000000000002</v>
      </c>
      <c r="AJ26" s="13">
        <f>AI26*VLOOKUP('Données projet'!$B$10,Paramètres!$A$1:$I$89,3,0)*VLOOKUP('Données projet'!$B$10,Paramètres!$A$1:$I$89,5,0)</f>
        <v>117.23712000000003</v>
      </c>
      <c r="AK26" s="13">
        <f t="shared" si="35"/>
        <v>31.029731926851252</v>
      </c>
      <c r="AL26" s="20">
        <f t="shared" si="4"/>
        <v>258.2314337725993</v>
      </c>
      <c r="AM26" s="59">
        <f t="shared" si="5"/>
        <v>551.56476710593256</v>
      </c>
      <c r="AN26" s="59">
        <f ca="1">AVERAGE(OFFSET($AM$3,0,0,'Données projet'!$E$10+1,1))-AVERAGE(OFFSET($H$3,0,0,'Données projet'!$E$10+1,1))</f>
        <v>243.38048563215585</v>
      </c>
      <c r="AO26" s="59">
        <f t="shared" si="36"/>
        <v>372.1604147006675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5.8312420315791345</v>
      </c>
      <c r="AW26" s="21">
        <f>EXP(-LN(2)/2)*AW25+(1-EXP(-LN(2)/2))/(LN(2)/2)*AQ26*AT26*VLOOKUP('Données projet'!$B$10,Paramètres!$A$1:$I$89,3,0)*0.475*44/12</f>
        <v>3.4032455371242238</v>
      </c>
      <c r="AX26" s="21">
        <f t="shared" si="6"/>
        <v>9.2344875687033579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14.5</v>
      </c>
      <c r="BD26" s="12">
        <f>IF('Données projet'!$A$88&gt;35,BD25+BC26-BL25,IF(A26&lt;'Données projet'!$A$88,$BA$205^A26,IF(A26='Données projet'!$A$88,'Données projet'!$B$88,BD25+BC26-BL25)))</f>
        <v>110.5</v>
      </c>
      <c r="BE26" s="13">
        <f>BD26*VLOOKUP('Données projet'!$B$11,Paramètres!$A$1:$I$89,3,0)*VLOOKUP('Données projet'!$B$11,Paramètres!$A$1:$I$89,5,0)</f>
        <v>74.123400000000004</v>
      </c>
      <c r="BF26" s="13">
        <f t="shared" si="37"/>
        <v>20.694007215790624</v>
      </c>
      <c r="BG26" s="20">
        <f t="shared" si="7"/>
        <v>165.14031756750202</v>
      </c>
      <c r="BH26" s="59">
        <f t="shared" si="8"/>
        <v>458.47365090083531</v>
      </c>
      <c r="BI26" s="59">
        <f ca="1">AVERAGE(OFFSET($BH$3,0,0,'Données projet'!$E$11+1,1))-AVERAGE(OFFSET($H$3,0,0,'Données projet'!$E$11+1,1))</f>
        <v>207.93042467236967</v>
      </c>
      <c r="BJ26" s="59">
        <f t="shared" si="38"/>
        <v>250.70954318710835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6.0338413604043009</v>
      </c>
      <c r="BR26" s="21">
        <f>EXP(-LN(2)/2)*BR25+(1-EXP(-LN(2)/2))/(LN(2)/2)*BL26*BO26*VLOOKUP('Données projet'!$B$11,Paramètres!$A$1:$I$89,3,0)*0.475*44/12</f>
        <v>3.748151743795062</v>
      </c>
      <c r="BS26" s="22">
        <f t="shared" si="9"/>
        <v>9.781993104199362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10.4</v>
      </c>
      <c r="BY26" s="12">
        <f>IF('Données projet'!$A$114&gt;35,BY25+BX26-CG25,IF(A26&lt;'Données projet'!$A$114,$BV$205^A26,IF(A26='Données projet'!$A$114,'Données projet'!$B$114,BY25+BX26-CG25)))</f>
        <v>121.20000000000002</v>
      </c>
      <c r="BZ26" s="13">
        <f>BY26*VLOOKUP('Données projet'!$B$12,Paramètres!$A$1:$I$89,3,0)*VLOOKUP('Données projet'!$B$12,Paramètres!$A$1:$I$89,5,0)</f>
        <v>94.536000000000016</v>
      </c>
      <c r="CA26" s="13">
        <f t="shared" si="39"/>
        <v>25.656048664271697</v>
      </c>
      <c r="CB26" s="20">
        <f t="shared" si="10"/>
        <v>209.3344847569399</v>
      </c>
      <c r="CC26" s="59">
        <f t="shared" si="11"/>
        <v>502.66781809027322</v>
      </c>
      <c r="CD26" s="59">
        <f ca="1">AVERAGE(OFFSET($CC$3,0,0,'Données projet'!$E$12+1,1))-AVERAGE(OFFSET($H$3,0,0,'Données projet'!$E$12+1,1))</f>
        <v>266.30229009596883</v>
      </c>
      <c r="CE26" s="59">
        <f t="shared" si="40"/>
        <v>270.19195828386046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2.2939132178388641</v>
      </c>
      <c r="CM26" s="21">
        <f>EXP(-LN(2)/2)*CM25+(1-EXP(-LN(2)/2))/(LN(2)/2)*CG26*CJ26*VLOOKUP('Données projet'!$B$12,Paramètres!$A$1:$I$89,3,0)*0.475*44/12</f>
        <v>1.7563362909140343</v>
      </c>
      <c r="CN26" s="22">
        <f t="shared" si="12"/>
        <v>4.0502495087528985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14.5</v>
      </c>
      <c r="CT26" s="12">
        <f>IF('Données projet'!$A$140&gt;35,CT25+CS26-DB25,IF(A26&lt;'Données projet'!$A$140,$CQ$205^A26,IF(A26='Données projet'!$A$140,'Données projet'!$B$140,CT25+CS26-DB25)))</f>
        <v>110.5</v>
      </c>
      <c r="CU26" s="17">
        <f>CT26*VLOOKUP('Données projet'!$B$13,Paramètres!$A$1:$I$89,3,0)*VLOOKUP('Données projet'!$B$13,Paramètres!$A$1:$I$89,5,0)</f>
        <v>87.913800000000009</v>
      </c>
      <c r="CV26" s="13">
        <f t="shared" si="41"/>
        <v>24.061399085756083</v>
      </c>
      <c r="CW26" s="20">
        <f t="shared" si="13"/>
        <v>195.02347174102519</v>
      </c>
      <c r="CX26" s="59">
        <f t="shared" si="14"/>
        <v>488.35680507435848</v>
      </c>
      <c r="CY26" s="59">
        <f ca="1">AVERAGE(OFFSET($CX$3,0,0,'Données projet'!$E$13+1,1))-AVERAGE(OFFSET($H$3,0,0,'Données projet'!$E$13+1,1))</f>
        <v>260.20517190557814</v>
      </c>
      <c r="CZ26" s="59">
        <f t="shared" si="42"/>
        <v>307.22009971147133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7.156416497223705</v>
      </c>
      <c r="DH26" s="21">
        <f>EXP(-LN(2)/2)*DH25+(1-EXP(-LN(2)/2))/(LN(2)/2)*DB26*DE26*VLOOKUP('Données projet'!$B$13,Paramètres!$A$1:$I$89,3,0)*0.475*44/12</f>
        <v>4.4454823007801894</v>
      </c>
      <c r="DI26" s="22">
        <f t="shared" si="15"/>
        <v>11.601898798003894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8.1999999999999993</v>
      </c>
      <c r="DO26" s="12">
        <f>IF('Données projet'!$A$166&gt;35,DO25+DN26-DW25,IF(A26&lt;'Données projet'!$A$166,$DL$205^A26,IF(A26='Données projet'!$A$166,'Données projet'!$B$166,DO25+DN26-DW25)))</f>
        <v>91.600000000000009</v>
      </c>
      <c r="DP26" s="17">
        <f>DO26*VLOOKUP('Données projet'!$B$14,Paramètres!$A$1:$I$89,3,0)*VLOOKUP('Données projet'!$B$14,Paramètres!$A$1:$I$89,5,0)</f>
        <v>88.595520000000008</v>
      </c>
      <c r="DQ26" s="13">
        <f t="shared" si="43"/>
        <v>24.226188794324088</v>
      </c>
      <c r="DR26" s="20">
        <f t="shared" si="16"/>
        <v>196.49780948344778</v>
      </c>
      <c r="DS26" s="59">
        <f t="shared" si="17"/>
        <v>489.8311428167811</v>
      </c>
      <c r="DT26" s="59">
        <f ca="1">AVERAGE(OFFSET($DS$3,0,0,'Données projet'!$E$14+1,1))-AVERAGE(OFFSET($H$3,0,0,'Données projet'!$E$14+1,1))</f>
        <v>347.8889410585312</v>
      </c>
      <c r="DU26" s="59">
        <f t="shared" si="44"/>
        <v>254.78167322479203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0.63210053113782039</v>
      </c>
      <c r="EC26" s="21">
        <f>EXP(-LN(2)/2)*EC25+(1-EXP(-LN(2)/2))/(LN(2)/2)*DW26*DZ26*VLOOKUP('Données projet'!$B$14,Paramètres!$A$1:$I$89,3,0)*0.475*44/12</f>
        <v>0.48396822238520054</v>
      </c>
      <c r="ED26" s="22">
        <f t="shared" si="18"/>
        <v>1.1160687535230209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8.1999999999999993</v>
      </c>
      <c r="EJ26" s="12">
        <f>IF('Données projet'!$A$192&gt;35,EJ25+EI26-ER25,IF(A26&lt;'Données projet'!$A$192,$EG$205^A26,IF(A26='Données projet'!$A$192,'Données projet'!$B$192,EJ25+EI26-ER25)))</f>
        <v>91.600000000000009</v>
      </c>
      <c r="EK26" s="17">
        <f>EJ26*VLOOKUP('Données projet'!$B$15,Paramètres!$A$1:$I$89,3,0)*VLOOKUP('Données projet'!$B$15,Paramètres!$A$1:$I$89,5,0)</f>
        <v>98.598240000000004</v>
      </c>
      <c r="EL26" s="13">
        <f t="shared" si="45"/>
        <v>26.627773681807462</v>
      </c>
      <c r="EM26" s="20">
        <f t="shared" si="19"/>
        <v>218.10197382914802</v>
      </c>
      <c r="EN26" s="59">
        <f t="shared" si="20"/>
        <v>511.43530716248131</v>
      </c>
      <c r="EO26" s="59">
        <f ca="1">AVERAGE(OFFSET($EN$3,0,0,'Données projet'!$E$15+1,1))-AVERAGE(OFFSET($H$3,0,0,'Données projet'!$E$15+1,1))</f>
        <v>399.38728019348088</v>
      </c>
      <c r="EP26" s="59">
        <f t="shared" si="46"/>
        <v>289.54922160039791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0.70346672013725153</v>
      </c>
      <c r="EX26" s="21">
        <f>EXP(-LN(2)/2)*EX25+(1-EXP(-LN(2)/2))/(LN(2)/2)*ER26*EU26*VLOOKUP('Données projet'!$B$15,Paramètres!$A$1:$I$89,3,0)*0.475*44/12</f>
        <v>0.53860979588030378</v>
      </c>
      <c r="EY26" s="22">
        <f t="shared" si="21"/>
        <v>1.2420765160175553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8.1999999999999993</v>
      </c>
      <c r="N27" s="13">
        <f>IF('Données projet'!$A$36&gt;35,N26+M27-V26,IF(A27&lt;'Données projet'!$A$36,$K$205^A27,IF(A27='Données projet'!$A$36,'Données projet'!$B$36,N26+M27-V26)))</f>
        <v>99.800000000000011</v>
      </c>
      <c r="O27" s="13">
        <f>N27*VLOOKUP('Données projet'!$B$9,Paramètres!$A$1:$I$89,3,0)*VLOOKUP('Données projet'!$B$9,Paramètres!$A$1:$I$89,5,0)</f>
        <v>90.299040000000005</v>
      </c>
      <c r="P27" s="13">
        <f t="shared" si="33"/>
        <v>24.637332311507059</v>
      </c>
      <c r="Q27" s="20">
        <f t="shared" si="2"/>
        <v>200.18084844254145</v>
      </c>
      <c r="R27" s="59">
        <f t="shared" si="0"/>
        <v>493.51418177587476</v>
      </c>
      <c r="S27" s="59">
        <f ca="1">AVERAGE(OFFSET($R$3,0,0,'Données projet'!$E$9+1,1))-AVERAGE(OFFSET($H$3,0,0,'Données projet'!$E$9+1,1))</f>
        <v>318.40875902853116</v>
      </c>
      <c r="T27" s="59">
        <f t="shared" si="34"/>
        <v>234.87694492493506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0.57515017926841594</v>
      </c>
      <c r="AB27" s="21">
        <f>EXP(-LN(2)/2)*AB26+(1-EXP(-LN(2)/2))/(LN(2)/2)*V27*Y27*VLOOKUP('Données projet'!$B$9,Paramètres!$A$1:$I$89,3,0)*0.475*44/12</f>
        <v>0.32013868212560831</v>
      </c>
      <c r="AC27" s="22">
        <f t="shared" si="3"/>
        <v>0.89528886139402419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13.4</v>
      </c>
      <c r="AI27" s="13">
        <f>IF('Données projet'!$A$62&gt;35,AI26+AH27-AQ26,IF(A27&lt;'Données projet'!$A$62,$AF$205^A27,IF(A27='Données projet'!$A$62,'Données projet'!$B$62,AI26+AH27-AQ26)))</f>
        <v>147.60000000000002</v>
      </c>
      <c r="AJ27" s="13">
        <f>AI27*VLOOKUP('Données projet'!$B$10,Paramètres!$A$1:$I$89,3,0)*VLOOKUP('Données projet'!$B$10,Paramètres!$A$1:$I$89,5,0)</f>
        <v>128.94336000000004</v>
      </c>
      <c r="AK27" s="13">
        <f t="shared" si="35"/>
        <v>33.752085002132198</v>
      </c>
      <c r="AL27" s="20">
        <f t="shared" si="4"/>
        <v>283.36123337871362</v>
      </c>
      <c r="AM27" s="59">
        <f t="shared" si="5"/>
        <v>576.69456671204694</v>
      </c>
      <c r="AN27" s="59">
        <f ca="1">AVERAGE(OFFSET($AM$3,0,0,'Données projet'!$E$10+1,1))-AVERAGE(OFFSET($H$3,0,0,'Données projet'!$E$10+1,1))</f>
        <v>243.38048563215585</v>
      </c>
      <c r="AO27" s="59">
        <f t="shared" si="36"/>
        <v>372.1604147006675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5.6717864115739118</v>
      </c>
      <c r="AW27" s="21">
        <f>EXP(-LN(2)/2)*AW26+(1-EXP(-LN(2)/2))/(LN(2)/2)*AQ27*AT27*VLOOKUP('Données projet'!$B$10,Paramètres!$A$1:$I$89,3,0)*0.475*44/12</f>
        <v>2.4064579973433933</v>
      </c>
      <c r="AX27" s="21">
        <f t="shared" si="6"/>
        <v>8.0782444089173051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14.5</v>
      </c>
      <c r="BD27" s="12">
        <f>IF('Données projet'!$A$88&gt;35,BD26+BC27-BL26,IF(A27&lt;'Données projet'!$A$88,$BA$205^A27,IF(A27='Données projet'!$A$88,'Données projet'!$B$88,BD26+BC27-BL26)))</f>
        <v>125</v>
      </c>
      <c r="BE27" s="13">
        <f>BD27*VLOOKUP('Données projet'!$B$11,Paramètres!$A$1:$I$89,3,0)*VLOOKUP('Données projet'!$B$11,Paramètres!$A$1:$I$89,5,0)</f>
        <v>83.850000000000009</v>
      </c>
      <c r="BF27" s="13">
        <f t="shared" si="37"/>
        <v>23.075938604999987</v>
      </c>
      <c r="BG27" s="20">
        <f t="shared" si="7"/>
        <v>186.22934307037499</v>
      </c>
      <c r="BH27" s="59">
        <f t="shared" si="8"/>
        <v>479.56267640370834</v>
      </c>
      <c r="BI27" s="59">
        <f ca="1">AVERAGE(OFFSET($BH$3,0,0,'Données projet'!$E$11+1,1))-AVERAGE(OFFSET($H$3,0,0,'Données projet'!$E$11+1,1))</f>
        <v>207.93042467236967</v>
      </c>
      <c r="BJ27" s="59">
        <f t="shared" si="38"/>
        <v>250.70954318710835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5.8688456510981188</v>
      </c>
      <c r="BR27" s="21">
        <f>EXP(-LN(2)/2)*BR26+(1-EXP(-LN(2)/2))/(LN(2)/2)*BL27*BO27*VLOOKUP('Données projet'!$B$11,Paramètres!$A$1:$I$89,3,0)*0.475*44/12</f>
        <v>2.6503435149536716</v>
      </c>
      <c r="BS27" s="22">
        <f t="shared" si="9"/>
        <v>8.51918916605179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10.4</v>
      </c>
      <c r="BY27" s="12">
        <f>IF('Données projet'!$A$114&gt;35,BY26+BX27-CG26,IF(A27&lt;'Données projet'!$A$114,$BV$205^A27,IF(A27='Données projet'!$A$114,'Données projet'!$B$114,BY26+BX27-CG26)))</f>
        <v>131.60000000000002</v>
      </c>
      <c r="BZ27" s="13">
        <f>BY27*VLOOKUP('Données projet'!$B$12,Paramètres!$A$1:$I$89,3,0)*VLOOKUP('Données projet'!$B$12,Paramètres!$A$1:$I$89,5,0)</f>
        <v>102.64800000000002</v>
      </c>
      <c r="CA27" s="13">
        <f t="shared" si="39"/>
        <v>27.591884256813071</v>
      </c>
      <c r="CB27" s="20">
        <f t="shared" si="10"/>
        <v>226.83446508061613</v>
      </c>
      <c r="CC27" s="59">
        <f t="shared" si="11"/>
        <v>520.16779841394941</v>
      </c>
      <c r="CD27" s="59">
        <f ca="1">AVERAGE(OFFSET($CC$3,0,0,'Données projet'!$E$12+1,1))-AVERAGE(OFFSET($H$3,0,0,'Données projet'!$E$12+1,1))</f>
        <v>266.30229009596883</v>
      </c>
      <c r="CE27" s="59">
        <f t="shared" si="40"/>
        <v>270.19195828386046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2.2311860402654071</v>
      </c>
      <c r="CM27" s="21">
        <f>EXP(-LN(2)/2)*CM26+(1-EXP(-LN(2)/2))/(LN(2)/2)*CG27*CJ27*VLOOKUP('Données projet'!$B$12,Paramètres!$A$1:$I$89,3,0)*0.475*44/12</f>
        <v>1.2419173013493425</v>
      </c>
      <c r="CN27" s="22">
        <f t="shared" si="12"/>
        <v>3.4731033416147499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14.5</v>
      </c>
      <c r="CT27" s="12">
        <f>IF('Données projet'!$A$140&gt;35,CT26+CS27-DB26,IF(A27&lt;'Données projet'!$A$140,$CQ$205^A27,IF(A27='Données projet'!$A$140,'Données projet'!$B$140,CT26+CS27-DB26)))</f>
        <v>125</v>
      </c>
      <c r="CU27" s="17">
        <f>CT27*VLOOKUP('Données projet'!$B$13,Paramètres!$A$1:$I$89,3,0)*VLOOKUP('Données projet'!$B$13,Paramètres!$A$1:$I$89,5,0)</f>
        <v>99.45</v>
      </c>
      <c r="CV27" s="13">
        <f t="shared" si="41"/>
        <v>26.830925603893352</v>
      </c>
      <c r="CW27" s="20">
        <f t="shared" si="13"/>
        <v>219.93927876011423</v>
      </c>
      <c r="CX27" s="59">
        <f t="shared" si="14"/>
        <v>513.27261209344761</v>
      </c>
      <c r="CY27" s="59">
        <f ca="1">AVERAGE(OFFSET($CX$3,0,0,'Données projet'!$E$13+1,1))-AVERAGE(OFFSET($H$3,0,0,'Données projet'!$E$13+1,1))</f>
        <v>260.20517190557814</v>
      </c>
      <c r="CZ27" s="59">
        <f t="shared" si="42"/>
        <v>307.22009971147133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6.960723911767535</v>
      </c>
      <c r="DH27" s="21">
        <f>EXP(-LN(2)/2)*DH26+(1-EXP(-LN(2)/2))/(LN(2)/2)*DB27*DE27*VLOOKUP('Données projet'!$B$13,Paramètres!$A$1:$I$89,3,0)*0.475*44/12</f>
        <v>3.1434306805264476</v>
      </c>
      <c r="DI27" s="22">
        <f t="shared" si="15"/>
        <v>10.104154592293982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8.1999999999999993</v>
      </c>
      <c r="DO27" s="12">
        <f>IF('Données projet'!$A$166&gt;35,DO26+DN27-DW26,IF(A27&lt;'Données projet'!$A$166,$DL$205^A27,IF(A27='Données projet'!$A$166,'Données projet'!$B$166,DO26+DN27-DW26)))</f>
        <v>99.800000000000011</v>
      </c>
      <c r="DP27" s="17">
        <f>DO27*VLOOKUP('Données projet'!$B$14,Paramètres!$A$1:$I$89,3,0)*VLOOKUP('Données projet'!$B$14,Paramètres!$A$1:$I$89,5,0)</f>
        <v>96.526560000000018</v>
      </c>
      <c r="DQ27" s="13">
        <f t="shared" si="43"/>
        <v>26.132803512664371</v>
      </c>
      <c r="DR27" s="20">
        <f t="shared" si="16"/>
        <v>213.63172478455712</v>
      </c>
      <c r="DS27" s="59">
        <f t="shared" si="17"/>
        <v>506.96505811789041</v>
      </c>
      <c r="DT27" s="59">
        <f ca="1">AVERAGE(OFFSET($DS$3,0,0,'Données projet'!$E$14+1,1))-AVERAGE(OFFSET($H$3,0,0,'Données projet'!$E$14+1,1))</f>
        <v>347.8889410585312</v>
      </c>
      <c r="DU27" s="59">
        <f t="shared" si="44"/>
        <v>254.78167322479203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0.61481570887313441</v>
      </c>
      <c r="EC27" s="21">
        <f>EXP(-LN(2)/2)*EC26+(1-EXP(-LN(2)/2))/(LN(2)/2)*DW27*DZ27*VLOOKUP('Données projet'!$B$14,Paramètres!$A$1:$I$89,3,0)*0.475*44/12</f>
        <v>0.34221721192737442</v>
      </c>
      <c r="ED27" s="22">
        <f t="shared" si="18"/>
        <v>0.95703292080050884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8.1999999999999993</v>
      </c>
      <c r="EJ27" s="12">
        <f>IF('Données projet'!$A$192&gt;35,EJ26+EI27-ER26,IF(A27&lt;'Données projet'!$A$192,$EG$205^A27,IF(A27='Données projet'!$A$192,'Données projet'!$B$192,EJ26+EI27-ER26)))</f>
        <v>99.800000000000011</v>
      </c>
      <c r="EK27" s="17">
        <f>EJ27*VLOOKUP('Données projet'!$B$15,Paramètres!$A$1:$I$89,3,0)*VLOOKUP('Données projet'!$B$15,Paramètres!$A$1:$I$89,5,0)</f>
        <v>107.42472000000002</v>
      </c>
      <c r="EL27" s="13">
        <f t="shared" si="45"/>
        <v>28.723394484955154</v>
      </c>
      <c r="EM27" s="20">
        <f t="shared" si="19"/>
        <v>237.12463272796364</v>
      </c>
      <c r="EN27" s="59">
        <f t="shared" si="20"/>
        <v>530.45796606129693</v>
      </c>
      <c r="EO27" s="59">
        <f ca="1">AVERAGE(OFFSET($EN$3,0,0,'Données projet'!$E$15+1,1))-AVERAGE(OFFSET($H$3,0,0,'Données projet'!$E$15+1,1))</f>
        <v>399.38728019348088</v>
      </c>
      <c r="EP27" s="59">
        <f t="shared" si="46"/>
        <v>289.54922160039791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0.68423038568139138</v>
      </c>
      <c r="EX27" s="21">
        <f>EXP(-LN(2)/2)*EX26+(1-EXP(-LN(2)/2))/(LN(2)/2)*ER27*EU27*VLOOKUP('Données projet'!$B$15,Paramètres!$A$1:$I$89,3,0)*0.475*44/12</f>
        <v>0.38085463908046502</v>
      </c>
      <c r="EY27" s="22">
        <f t="shared" si="21"/>
        <v>1.0650850247618564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8.1999999999999993</v>
      </c>
      <c r="N28" s="13">
        <f>IF('Données projet'!$A$36&gt;35,N27+M28-V27,IF(A28&lt;'Données projet'!$A$36,$K$205^A28,IF(A28='Données projet'!$A$36,'Données projet'!$B$36,N27+M28-V27)))</f>
        <v>108.00000000000001</v>
      </c>
      <c r="O28" s="13">
        <f>N28*VLOOKUP('Données projet'!$B$9,Paramètres!$A$1:$I$89,3,0)*VLOOKUP('Données projet'!$B$9,Paramètres!$A$1:$I$89,5,0)</f>
        <v>97.718400000000003</v>
      </c>
      <c r="P28" s="13">
        <f t="shared" si="33"/>
        <v>26.417709819192194</v>
      </c>
      <c r="Q28" s="20">
        <f t="shared" si="2"/>
        <v>216.20372460175975</v>
      </c>
      <c r="R28" s="59">
        <f t="shared" si="0"/>
        <v>509.53705793509306</v>
      </c>
      <c r="S28" s="59">
        <f ca="1">AVERAGE(OFFSET($R$3,0,0,'Données projet'!$E$9+1,1))-AVERAGE(OFFSET($H$3,0,0,'Données projet'!$E$9+1,1))</f>
        <v>318.40875902853116</v>
      </c>
      <c r="T28" s="59">
        <f t="shared" si="34"/>
        <v>234.87694492493506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0.55942266737048774</v>
      </c>
      <c r="AB28" s="21">
        <f>EXP(-LN(2)/2)*AB27+(1-EXP(-LN(2)/2))/(LN(2)/2)*V28*Y28*VLOOKUP('Données projet'!$B$9,Paramètres!$A$1:$I$89,3,0)*0.475*44/12</f>
        <v>0.22637223305114224</v>
      </c>
      <c r="AC28" s="22">
        <f t="shared" si="3"/>
        <v>0.78579490042163003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13.4</v>
      </c>
      <c r="AI28" s="13">
        <f>IF('Données projet'!$A$62&gt;35,AI27+AH28-AQ27,IF(A28&lt;'Données projet'!$A$62,$AF$205^A28,IF(A28='Données projet'!$A$62,'Données projet'!$B$62,AI27+AH28-AQ27)))</f>
        <v>161.00000000000003</v>
      </c>
      <c r="AJ28" s="13">
        <f>AI28*VLOOKUP('Données projet'!$B$10,Paramètres!$A$1:$I$89,3,0)*VLOOKUP('Données projet'!$B$10,Paramètres!$A$1:$I$89,5,0)</f>
        <v>140.64960000000005</v>
      </c>
      <c r="AK28" s="13">
        <f t="shared" si="35"/>
        <v>36.445779615258637</v>
      </c>
      <c r="AL28" s="20">
        <f t="shared" si="4"/>
        <v>308.44111949657554</v>
      </c>
      <c r="AM28" s="59">
        <f t="shared" si="5"/>
        <v>601.7744528299088</v>
      </c>
      <c r="AN28" s="59">
        <f ca="1">AVERAGE(OFFSET($AM$3,0,0,'Données projet'!$E$10+1,1))-AVERAGE(OFFSET($H$3,0,0,'Données projet'!$E$10+1,1))</f>
        <v>243.38048563215585</v>
      </c>
      <c r="AO28" s="59">
        <f t="shared" si="36"/>
        <v>372.1604147006675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5.5166911138831392</v>
      </c>
      <c r="AW28" s="21">
        <f>EXP(-LN(2)/2)*AW27+(1-EXP(-LN(2)/2))/(LN(2)/2)*AQ28*AT28*VLOOKUP('Données projet'!$B$10,Paramètres!$A$1:$I$89,3,0)*0.475*44/12</f>
        <v>1.7016227685621124</v>
      </c>
      <c r="AX28" s="21">
        <f t="shared" si="6"/>
        <v>7.2183138824452513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14.5</v>
      </c>
      <c r="BD28" s="12">
        <f>IF('Données projet'!$A$88&gt;35,BD27+BC28-BL27,IF(A28&lt;'Données projet'!$A$88,$BA$205^A28,IF(A28='Données projet'!$A$88,'Données projet'!$B$88,BD27+BC28-BL27)))</f>
        <v>139.5</v>
      </c>
      <c r="BE28" s="13">
        <f>BD28*VLOOKUP('Données projet'!$B$11,Paramètres!$A$1:$I$89,3,0)*VLOOKUP('Données projet'!$B$11,Paramètres!$A$1:$I$89,5,0)</f>
        <v>93.576599999999999</v>
      </c>
      <c r="BF28" s="13">
        <f t="shared" si="37"/>
        <v>25.42584863187091</v>
      </c>
      <c r="BG28" s="20">
        <f t="shared" si="7"/>
        <v>207.26259803384178</v>
      </c>
      <c r="BH28" s="59">
        <f t="shared" si="8"/>
        <v>500.59593136717513</v>
      </c>
      <c r="BI28" s="59">
        <f ca="1">AVERAGE(OFFSET($BH$3,0,0,'Données projet'!$E$11+1,1))-AVERAGE(OFFSET($H$3,0,0,'Données projet'!$E$11+1,1))</f>
        <v>207.93042467236967</v>
      </c>
      <c r="BJ28" s="59">
        <f t="shared" si="38"/>
        <v>250.70954318710835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5.7083617581396613</v>
      </c>
      <c r="BR28" s="21">
        <f>EXP(-LN(2)/2)*BR27+(1-EXP(-LN(2)/2))/(LN(2)/2)*BL28*BO28*VLOOKUP('Données projet'!$B$11,Paramètres!$A$1:$I$89,3,0)*0.475*44/12</f>
        <v>1.8740758718975312</v>
      </c>
      <c r="BS28" s="22">
        <f t="shared" si="9"/>
        <v>7.5824376300371927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10.4</v>
      </c>
      <c r="BY28" s="12">
        <f>IF('Données projet'!$A$114&gt;35,BY27+BX28-CG27,IF(A28&lt;'Données projet'!$A$114,$BV$205^A28,IF(A28='Données projet'!$A$114,'Données projet'!$B$114,BY27+BX28-CG27)))</f>
        <v>142.00000000000003</v>
      </c>
      <c r="BZ28" s="13">
        <f>BY28*VLOOKUP('Données projet'!$B$12,Paramètres!$A$1:$I$89,3,0)*VLOOKUP('Données projet'!$B$12,Paramètres!$A$1:$I$89,5,0)</f>
        <v>110.76000000000002</v>
      </c>
      <c r="CA28" s="13">
        <f t="shared" si="39"/>
        <v>29.509974682362952</v>
      </c>
      <c r="CB28" s="20">
        <f t="shared" si="10"/>
        <v>244.30353923844885</v>
      </c>
      <c r="CC28" s="59">
        <f t="shared" si="11"/>
        <v>537.63687257178219</v>
      </c>
      <c r="CD28" s="59">
        <f ca="1">AVERAGE(OFFSET($CC$3,0,0,'Données projet'!$E$12+1,1))-AVERAGE(OFFSET($H$3,0,0,'Données projet'!$E$12+1,1))</f>
        <v>266.30229009596883</v>
      </c>
      <c r="CE28" s="59">
        <f t="shared" si="40"/>
        <v>270.19195828386046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2.1701741406613753</v>
      </c>
      <c r="CM28" s="21">
        <f>EXP(-LN(2)/2)*CM27+(1-EXP(-LN(2)/2))/(LN(2)/2)*CG28*CJ28*VLOOKUP('Données projet'!$B$12,Paramètres!$A$1:$I$89,3,0)*0.475*44/12</f>
        <v>0.87816814545701716</v>
      </c>
      <c r="CN28" s="22">
        <f t="shared" si="12"/>
        <v>3.0483422861183924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14.5</v>
      </c>
      <c r="CT28" s="12">
        <f>IF('Données projet'!$A$140&gt;35,CT27+CS28-DB27,IF(A28&lt;'Données projet'!$A$140,$CQ$205^A28,IF(A28='Données projet'!$A$140,'Données projet'!$B$140,CT27+CS28-DB27)))</f>
        <v>139.5</v>
      </c>
      <c r="CU28" s="17">
        <f>CT28*VLOOKUP('Données projet'!$B$13,Paramètres!$A$1:$I$89,3,0)*VLOOKUP('Données projet'!$B$13,Paramètres!$A$1:$I$89,5,0)</f>
        <v>110.9862</v>
      </c>
      <c r="CV28" s="13">
        <f t="shared" si="41"/>
        <v>29.563220146103436</v>
      </c>
      <c r="CW28" s="20">
        <f t="shared" si="13"/>
        <v>244.79024008779683</v>
      </c>
      <c r="CX28" s="59">
        <f t="shared" si="14"/>
        <v>538.12357342113012</v>
      </c>
      <c r="CY28" s="59">
        <f ca="1">AVERAGE(OFFSET($CX$3,0,0,'Données projet'!$E$13+1,1))-AVERAGE(OFFSET($H$3,0,0,'Données projet'!$E$13+1,1))</f>
        <v>260.20517190557814</v>
      </c>
      <c r="CZ28" s="59">
        <f t="shared" si="42"/>
        <v>307.22009971147133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6.7703825503516901</v>
      </c>
      <c r="DH28" s="21">
        <f>EXP(-LN(2)/2)*DH27+(1-EXP(-LN(2)/2))/(LN(2)/2)*DB28*DE28*VLOOKUP('Données projet'!$B$13,Paramètres!$A$1:$I$89,3,0)*0.475*44/12</f>
        <v>2.2227411503900951</v>
      </c>
      <c r="DI28" s="22">
        <f t="shared" si="15"/>
        <v>8.9931237007417852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8.1999999999999993</v>
      </c>
      <c r="DO28" s="12">
        <f>IF('Données projet'!$A$166&gt;35,DO27+DN28-DW27,IF(A28&lt;'Données projet'!$A$166,$DL$205^A28,IF(A28='Données projet'!$A$166,'Données projet'!$B$166,DO27+DN28-DW27)))</f>
        <v>108.00000000000001</v>
      </c>
      <c r="DP28" s="17">
        <f>DO28*VLOOKUP('Données projet'!$B$14,Paramètres!$A$1:$I$89,3,0)*VLOOKUP('Données projet'!$B$14,Paramètres!$A$1:$I$89,5,0)</f>
        <v>104.45760000000001</v>
      </c>
      <c r="DQ28" s="13">
        <f t="shared" si="43"/>
        <v>28.021248860498272</v>
      </c>
      <c r="DR28" s="20">
        <f t="shared" si="16"/>
        <v>230.73399509870117</v>
      </c>
      <c r="DS28" s="59">
        <f t="shared" si="17"/>
        <v>524.06732843203451</v>
      </c>
      <c r="DT28" s="59">
        <f ca="1">AVERAGE(OFFSET($DS$3,0,0,'Données projet'!$E$14+1,1))-AVERAGE(OFFSET($H$3,0,0,'Données projet'!$E$14+1,1))</f>
        <v>347.8889410585312</v>
      </c>
      <c r="DU28" s="59">
        <f t="shared" si="44"/>
        <v>254.78167322479203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0.59800354098224562</v>
      </c>
      <c r="EC28" s="21">
        <f>EXP(-LN(2)/2)*EC27+(1-EXP(-LN(2)/2))/(LN(2)/2)*DW28*DZ28*VLOOKUP('Données projet'!$B$14,Paramètres!$A$1:$I$89,3,0)*0.475*44/12</f>
        <v>0.24198411119260033</v>
      </c>
      <c r="ED28" s="22">
        <f t="shared" si="18"/>
        <v>0.83998765217484594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8.1999999999999993</v>
      </c>
      <c r="EJ28" s="12">
        <f>IF('Données projet'!$A$192&gt;35,EJ27+EI28-ER27,IF(A28&lt;'Données projet'!$A$192,$EG$205^A28,IF(A28='Données projet'!$A$192,'Données projet'!$B$192,EJ27+EI28-ER27)))</f>
        <v>108.00000000000001</v>
      </c>
      <c r="EK28" s="17">
        <f>EJ28*VLOOKUP('Données projet'!$B$15,Paramètres!$A$1:$I$89,3,0)*VLOOKUP('Données projet'!$B$15,Paramètres!$A$1:$I$89,5,0)</f>
        <v>116.25120000000003</v>
      </c>
      <c r="EL28" s="13">
        <f t="shared" si="45"/>
        <v>30.799044755804353</v>
      </c>
      <c r="EM28" s="20">
        <f t="shared" si="19"/>
        <v>256.11250961635932</v>
      </c>
      <c r="EN28" s="59">
        <f t="shared" si="20"/>
        <v>549.44584294969263</v>
      </c>
      <c r="EO28" s="59">
        <f ca="1">AVERAGE(OFFSET($EN$3,0,0,'Données projet'!$E$15+1,1))-AVERAGE(OFFSET($H$3,0,0,'Données projet'!$E$15+1,1))</f>
        <v>399.38728019348088</v>
      </c>
      <c r="EP28" s="59">
        <f t="shared" si="46"/>
        <v>289.54922160039791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0.66552006980282163</v>
      </c>
      <c r="EX28" s="21">
        <f>EXP(-LN(2)/2)*EX27+(1-EXP(-LN(2)/2))/(LN(2)/2)*ER28*EU28*VLOOKUP('Données projet'!$B$15,Paramètres!$A$1:$I$89,3,0)*0.475*44/12</f>
        <v>0.26930489794015194</v>
      </c>
      <c r="EY28" s="22">
        <f t="shared" si="21"/>
        <v>0.93482496774297363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8.1999999999999993</v>
      </c>
      <c r="N29" s="13">
        <f>IF('Données projet'!$A$36&gt;35,N28+M29-V28,IF(A29&lt;'Données projet'!$A$36,$K$205^A29,IF(A29='Données projet'!$A$36,'Données projet'!$B$36,N28+M29-V28)))</f>
        <v>116.20000000000002</v>
      </c>
      <c r="O29" s="13">
        <f>N29*VLOOKUP('Données projet'!$B$9,Paramètres!$A$1:$I$89,3,0)*VLOOKUP('Données projet'!$B$9,Paramètres!$A$1:$I$89,5,0)</f>
        <v>105.13776</v>
      </c>
      <c r="P29" s="13">
        <f t="shared" si="33"/>
        <v>28.182406176030653</v>
      </c>
      <c r="Q29" s="20">
        <f t="shared" si="2"/>
        <v>232.19928942325339</v>
      </c>
      <c r="R29" s="59">
        <f t="shared" si="0"/>
        <v>525.53262275658676</v>
      </c>
      <c r="S29" s="59">
        <f ca="1">AVERAGE(OFFSET($R$3,0,0,'Données projet'!$E$9+1,1))-AVERAGE(OFFSET($H$3,0,0,'Données projet'!$E$9+1,1))</f>
        <v>318.40875902853116</v>
      </c>
      <c r="T29" s="59">
        <f t="shared" si="34"/>
        <v>234.87694492493506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0.54412522511248229</v>
      </c>
      <c r="AB29" s="21">
        <f>EXP(-LN(2)/2)*AB28+(1-EXP(-LN(2)/2))/(LN(2)/2)*V29*Y29*VLOOKUP('Données projet'!$B$9,Paramètres!$A$1:$I$89,3,0)*0.475*44/12</f>
        <v>0.16006934106280418</v>
      </c>
      <c r="AC29" s="22">
        <f t="shared" si="3"/>
        <v>0.70419456617528642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13.4</v>
      </c>
      <c r="AI29" s="13">
        <f>IF('Données projet'!$A$62&gt;35,AI28+AH29-AQ28,IF(A29&lt;'Données projet'!$A$62,$AF$205^A29,IF(A29='Données projet'!$A$62,'Données projet'!$B$62,AI28+AH29-AQ28)))</f>
        <v>174.40000000000003</v>
      </c>
      <c r="AJ29" s="13">
        <f>AI29*VLOOKUP('Données projet'!$B$10,Paramètres!$A$1:$I$89,3,0)*VLOOKUP('Données projet'!$B$10,Paramètres!$A$1:$I$89,5,0)</f>
        <v>152.35584000000006</v>
      </c>
      <c r="AK29" s="13">
        <f t="shared" si="35"/>
        <v>39.11347218476763</v>
      </c>
      <c r="AL29" s="20">
        <f t="shared" si="4"/>
        <v>333.47571872180373</v>
      </c>
      <c r="AM29" s="59">
        <f t="shared" si="5"/>
        <v>626.80905205513704</v>
      </c>
      <c r="AN29" s="59">
        <f ca="1">AVERAGE(OFFSET($AM$3,0,0,'Données projet'!$E$10+1,1))-AVERAGE(OFFSET($H$3,0,0,'Données projet'!$E$10+1,1))</f>
        <v>243.38048563215585</v>
      </c>
      <c r="AO29" s="59">
        <f t="shared" si="36"/>
        <v>372.1604147006675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5.3658369052638273</v>
      </c>
      <c r="AW29" s="21">
        <f>EXP(-LN(2)/2)*AW28+(1-EXP(-LN(2)/2))/(LN(2)/2)*AQ29*AT29*VLOOKUP('Données projet'!$B$10,Paramètres!$A$1:$I$89,3,0)*0.475*44/12</f>
        <v>1.2032289986716969</v>
      </c>
      <c r="AX29" s="21">
        <f t="shared" si="6"/>
        <v>6.5690659039355239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14.5</v>
      </c>
      <c r="BD29" s="12">
        <f>IF('Données projet'!$A$88&gt;35,BD28+BC29-BL28,IF(A29&lt;'Données projet'!$A$88,$BA$205^A29,IF(A29='Données projet'!$A$88,'Données projet'!$B$88,BD28+BC29-BL28)))</f>
        <v>154</v>
      </c>
      <c r="BE29" s="13">
        <f>BD29*VLOOKUP('Données projet'!$B$11,Paramètres!$A$1:$I$89,3,0)*VLOOKUP('Données projet'!$B$11,Paramètres!$A$1:$I$89,5,0)</f>
        <v>103.3032</v>
      </c>
      <c r="BF29" s="13">
        <f t="shared" si="37"/>
        <v>27.747444810362108</v>
      </c>
      <c r="BG29" s="20">
        <f t="shared" si="7"/>
        <v>228.24653971138068</v>
      </c>
      <c r="BH29" s="59">
        <f t="shared" si="8"/>
        <v>521.57987304471396</v>
      </c>
      <c r="BI29" s="59">
        <f ca="1">AVERAGE(OFFSET($BH$3,0,0,'Données projet'!$E$11+1,1))-AVERAGE(OFFSET($H$3,0,0,'Données projet'!$E$11+1,1))</f>
        <v>207.93042467236967</v>
      </c>
      <c r="BJ29" s="59">
        <f t="shared" si="38"/>
        <v>250.70954318710835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5.5522663056736343</v>
      </c>
      <c r="BR29" s="21">
        <f>EXP(-LN(2)/2)*BR28+(1-EXP(-LN(2)/2))/(LN(2)/2)*BL29*BO29*VLOOKUP('Données projet'!$B$11,Paramètres!$A$1:$I$89,3,0)*0.475*44/12</f>
        <v>1.325171757476836</v>
      </c>
      <c r="BS29" s="22">
        <f t="shared" si="9"/>
        <v>6.8774380631504703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10.4</v>
      </c>
      <c r="BY29" s="12">
        <f>IF('Données projet'!$A$114&gt;35,BY28+BX29-CG28,IF(A29&lt;'Données projet'!$A$114,$BV$205^A29,IF(A29='Données projet'!$A$114,'Données projet'!$B$114,BY28+BX29-CG28)))</f>
        <v>152.40000000000003</v>
      </c>
      <c r="BZ29" s="13">
        <f>BY29*VLOOKUP('Données projet'!$B$12,Paramètres!$A$1:$I$89,3,0)*VLOOKUP('Données projet'!$B$12,Paramètres!$A$1:$I$89,5,0)</f>
        <v>118.87200000000003</v>
      </c>
      <c r="CA29" s="13">
        <f t="shared" si="39"/>
        <v>31.411767382096244</v>
      </c>
      <c r="CB29" s="20">
        <f t="shared" si="10"/>
        <v>261.74422819048431</v>
      </c>
      <c r="CC29" s="59">
        <f t="shared" si="11"/>
        <v>555.07756152381762</v>
      </c>
      <c r="CD29" s="59">
        <f ca="1">AVERAGE(OFFSET($CC$3,0,0,'Données projet'!$E$12+1,1))-AVERAGE(OFFSET($H$3,0,0,'Données projet'!$E$12+1,1))</f>
        <v>266.30229009596883</v>
      </c>
      <c r="CE29" s="59">
        <f t="shared" si="40"/>
        <v>270.19195828386046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2.1108306146604918</v>
      </c>
      <c r="CM29" s="21">
        <f>EXP(-LN(2)/2)*CM28+(1-EXP(-LN(2)/2))/(LN(2)/2)*CG29*CJ29*VLOOKUP('Données projet'!$B$12,Paramètres!$A$1:$I$89,3,0)*0.475*44/12</f>
        <v>0.62095865067467126</v>
      </c>
      <c r="CN29" s="22">
        <f t="shared" si="12"/>
        <v>2.7317892653351632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14.5</v>
      </c>
      <c r="CT29" s="12">
        <f>IF('Données projet'!$A$140&gt;35,CT28+CS29-DB28,IF(A29&lt;'Données projet'!$A$140,$CQ$205^A29,IF(A29='Données projet'!$A$140,'Données projet'!$B$140,CT28+CS29-DB28)))</f>
        <v>154</v>
      </c>
      <c r="CU29" s="17">
        <f>CT29*VLOOKUP('Données projet'!$B$13,Paramètres!$A$1:$I$89,3,0)*VLOOKUP('Données projet'!$B$13,Paramètres!$A$1:$I$89,5,0)</f>
        <v>122.52240000000002</v>
      </c>
      <c r="CV29" s="13">
        <f t="shared" si="41"/>
        <v>32.26259352430629</v>
      </c>
      <c r="CW29" s="20">
        <f t="shared" si="13"/>
        <v>269.58386372150017</v>
      </c>
      <c r="CX29" s="59">
        <f t="shared" si="14"/>
        <v>562.91719705483342</v>
      </c>
      <c r="CY29" s="59">
        <f ca="1">AVERAGE(OFFSET($CX$3,0,0,'Données projet'!$E$13+1,1))-AVERAGE(OFFSET($H$3,0,0,'Données projet'!$E$13+1,1))</f>
        <v>260.20517190557814</v>
      </c>
      <c r="CZ29" s="59">
        <f t="shared" si="42"/>
        <v>307.22009971147133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6.585246083473379</v>
      </c>
      <c r="DH29" s="21">
        <f>EXP(-LN(2)/2)*DH28+(1-EXP(-LN(2)/2))/(LN(2)/2)*DB29*DE29*VLOOKUP('Données projet'!$B$13,Paramètres!$A$1:$I$89,3,0)*0.475*44/12</f>
        <v>1.571715340263224</v>
      </c>
      <c r="DI29" s="22">
        <f t="shared" si="15"/>
        <v>8.1569614237366039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8.1999999999999993</v>
      </c>
      <c r="DO29" s="12">
        <f>IF('Données projet'!$A$166&gt;35,DO28+DN29-DW28,IF(A29&lt;'Données projet'!$A$166,$DL$205^A29,IF(A29='Données projet'!$A$166,'Données projet'!$B$166,DO28+DN29-DW28)))</f>
        <v>116.20000000000002</v>
      </c>
      <c r="DP29" s="17">
        <f>DO29*VLOOKUP('Données projet'!$B$14,Paramètres!$A$1:$I$89,3,0)*VLOOKUP('Données projet'!$B$14,Paramètres!$A$1:$I$89,5,0)</f>
        <v>112.38864000000002</v>
      </c>
      <c r="DQ29" s="13">
        <f t="shared" si="43"/>
        <v>29.893061221093621</v>
      </c>
      <c r="DR29" s="20">
        <f t="shared" si="16"/>
        <v>247.80729629340476</v>
      </c>
      <c r="DS29" s="59">
        <f t="shared" si="17"/>
        <v>541.14062962673802</v>
      </c>
      <c r="DT29" s="59">
        <f ca="1">AVERAGE(OFFSET($DS$3,0,0,'Données projet'!$E$14+1,1))-AVERAGE(OFFSET($H$3,0,0,'Données projet'!$E$14+1,1))</f>
        <v>347.8889410585312</v>
      </c>
      <c r="DU29" s="59">
        <f t="shared" si="44"/>
        <v>254.78167322479203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0.5816511027064466</v>
      </c>
      <c r="EC29" s="21">
        <f>EXP(-LN(2)/2)*EC28+(1-EXP(-LN(2)/2))/(LN(2)/2)*DW29*DZ29*VLOOKUP('Données projet'!$B$14,Paramètres!$A$1:$I$89,3,0)*0.475*44/12</f>
        <v>0.17110860596368724</v>
      </c>
      <c r="ED29" s="22">
        <f t="shared" si="18"/>
        <v>0.75275970867013386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8.1999999999999993</v>
      </c>
      <c r="EJ29" s="12">
        <f>IF('Données projet'!$A$192&gt;35,EJ28+EI29-ER28,IF(A29&lt;'Données projet'!$A$192,$EG$205^A29,IF(A29='Données projet'!$A$192,'Données projet'!$B$192,EJ28+EI29-ER28)))</f>
        <v>116.20000000000002</v>
      </c>
      <c r="EK29" s="17">
        <f>EJ29*VLOOKUP('Données projet'!$B$15,Paramètres!$A$1:$I$89,3,0)*VLOOKUP('Données projet'!$B$15,Paramètres!$A$1:$I$89,5,0)</f>
        <v>125.07768000000003</v>
      </c>
      <c r="EL29" s="13">
        <f t="shared" si="45"/>
        <v>32.856413182010108</v>
      </c>
      <c r="EM29" s="20">
        <f t="shared" si="19"/>
        <v>275.06854562533431</v>
      </c>
      <c r="EN29" s="59">
        <f t="shared" si="20"/>
        <v>568.40187895866757</v>
      </c>
      <c r="EO29" s="59">
        <f ca="1">AVERAGE(OFFSET($EN$3,0,0,'Données projet'!$E$15+1,1))-AVERAGE(OFFSET($H$3,0,0,'Données projet'!$E$15+1,1))</f>
        <v>399.38728019348088</v>
      </c>
      <c r="EP29" s="59">
        <f t="shared" si="46"/>
        <v>289.54922160039791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0.64732138849588405</v>
      </c>
      <c r="EX29" s="21">
        <f>EXP(-LN(2)/2)*EX28+(1-EXP(-LN(2)/2))/(LN(2)/2)*ER29*EU29*VLOOKUP('Données projet'!$B$15,Paramètres!$A$1:$I$89,3,0)*0.475*44/12</f>
        <v>0.19042731954023254</v>
      </c>
      <c r="EY29" s="22">
        <f t="shared" si="21"/>
        <v>0.83774870803611656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8.1999999999999993</v>
      </c>
      <c r="N30" s="13">
        <f>IF('Données projet'!$A$36&gt;35,N29+M30-V29,IF(A30&lt;'Données projet'!$A$36,$K$205^A30,IF(A30='Données projet'!$A$36,'Données projet'!$B$36,N29+M30-V29)))</f>
        <v>124.40000000000002</v>
      </c>
      <c r="O30" s="13">
        <f>N30*VLOOKUP('Données projet'!$B$9,Paramètres!$A$1:$I$89,3,0)*VLOOKUP('Données projet'!$B$9,Paramètres!$A$1:$I$89,5,0)</f>
        <v>112.55712000000001</v>
      </c>
      <c r="P30" s="13">
        <f t="shared" si="33"/>
        <v>29.932653834140599</v>
      </c>
      <c r="Q30" s="20">
        <f t="shared" si="2"/>
        <v>248.16968942779488</v>
      </c>
      <c r="R30" s="59">
        <f t="shared" si="0"/>
        <v>541.50302276112825</v>
      </c>
      <c r="S30" s="59">
        <f ca="1">AVERAGE(OFFSET($R$3,0,0,'Données projet'!$E$9+1,1))-AVERAGE(OFFSET($H$3,0,0,'Données projet'!$E$9+1,1))</f>
        <v>318.40875902853116</v>
      </c>
      <c r="T30" s="59">
        <f t="shared" si="34"/>
        <v>234.87694492493506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0.52924609221747954</v>
      </c>
      <c r="AB30" s="21">
        <f>EXP(-LN(2)/2)*AB29+(1-EXP(-LN(2)/2))/(LN(2)/2)*V30*Y30*VLOOKUP('Données projet'!$B$9,Paramètres!$A$1:$I$89,3,0)*0.475*44/12</f>
        <v>0.11318611652557113</v>
      </c>
      <c r="AC30" s="22">
        <f t="shared" si="3"/>
        <v>0.64243220874305063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13.4</v>
      </c>
      <c r="AI30" s="13">
        <f>IF('Données projet'!$A$62&gt;35,AI29+AH30-AQ29,IF(A30&lt;'Données projet'!$A$62,$AF$205^A30,IF(A30='Données projet'!$A$62,'Données projet'!$B$62,AI29+AH30-AQ29)))</f>
        <v>187.80000000000004</v>
      </c>
      <c r="AJ30" s="13">
        <f>AI30*VLOOKUP('Données projet'!$B$10,Paramètres!$A$1:$I$89,3,0)*VLOOKUP('Données projet'!$B$10,Paramètres!$A$1:$I$89,5,0)</f>
        <v>164.06208000000007</v>
      </c>
      <c r="AK30" s="13">
        <f t="shared" si="35"/>
        <v>41.75738773013461</v>
      </c>
      <c r="AL30" s="20">
        <f t="shared" si="4"/>
        <v>358.46890629665114</v>
      </c>
      <c r="AM30" s="59">
        <f t="shared" si="5"/>
        <v>651.80223962998446</v>
      </c>
      <c r="AN30" s="59">
        <f ca="1">AVERAGE(OFFSET($AM$3,0,0,'Données projet'!$E$10+1,1))-AVERAGE(OFFSET($H$3,0,0,'Données projet'!$E$10+1,1))</f>
        <v>243.38048563215585</v>
      </c>
      <c r="AO30" s="59">
        <f t="shared" si="36"/>
        <v>372.1604147006675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5.2191078129122888</v>
      </c>
      <c r="AW30" s="21">
        <f>EXP(-LN(2)/2)*AW29+(1-EXP(-LN(2)/2))/(LN(2)/2)*AQ30*AT30*VLOOKUP('Données projet'!$B$10,Paramètres!$A$1:$I$89,3,0)*0.475*44/12</f>
        <v>0.85081138428105629</v>
      </c>
      <c r="AX30" s="21">
        <f t="shared" si="6"/>
        <v>6.0699191971933448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14.5</v>
      </c>
      <c r="BD30" s="12">
        <f>IF('Données projet'!$A$88&gt;35,BD29+BC30-BL29,IF(A30&lt;'Données projet'!$A$88,$BA$205^A30,IF(A30='Données projet'!$A$88,'Données projet'!$B$88,BD29+BC30-BL29)))</f>
        <v>168.5</v>
      </c>
      <c r="BE30" s="13">
        <f>BD30*VLOOKUP('Données projet'!$B$11,Paramètres!$A$1:$I$89,3,0)*VLOOKUP('Données projet'!$B$11,Paramètres!$A$1:$I$89,5,0)</f>
        <v>113.02979999999999</v>
      </c>
      <c r="BF30" s="13">
        <f t="shared" si="37"/>
        <v>30.043696324209073</v>
      </c>
      <c r="BG30" s="20">
        <f t="shared" si="7"/>
        <v>249.18633943133077</v>
      </c>
      <c r="BH30" s="59">
        <f t="shared" si="8"/>
        <v>542.51967276466405</v>
      </c>
      <c r="BI30" s="59">
        <f ca="1">AVERAGE(OFFSET($BH$3,0,0,'Données projet'!$E$11+1,1))-AVERAGE(OFFSET($H$3,0,0,'Données projet'!$E$11+1,1))</f>
        <v>207.93042467236967</v>
      </c>
      <c r="BJ30" s="59">
        <f t="shared" si="38"/>
        <v>250.70954318710835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5.4004392915639938</v>
      </c>
      <c r="BR30" s="21">
        <f>EXP(-LN(2)/2)*BR29+(1-EXP(-LN(2)/2))/(LN(2)/2)*BL30*BO30*VLOOKUP('Données projet'!$B$11,Paramètres!$A$1:$I$89,3,0)*0.475*44/12</f>
        <v>0.93703793594876572</v>
      </c>
      <c r="BS30" s="22">
        <f t="shared" si="9"/>
        <v>6.3374772275127595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10.4</v>
      </c>
      <c r="BY30" s="12">
        <f>IF('Données projet'!$A$114&gt;35,BY29+BX30-CG29,IF(A30&lt;'Données projet'!$A$114,$BV$205^A30,IF(A30='Données projet'!$A$114,'Données projet'!$B$114,BY29+BX30-CG29)))</f>
        <v>162.80000000000004</v>
      </c>
      <c r="BZ30" s="13">
        <f>BY30*VLOOKUP('Données projet'!$B$12,Paramètres!$A$1:$I$89,3,0)*VLOOKUP('Données projet'!$B$12,Paramètres!$A$1:$I$89,5,0)</f>
        <v>126.98400000000004</v>
      </c>
      <c r="CA30" s="13">
        <f t="shared" si="39"/>
        <v>33.298501064557207</v>
      </c>
      <c r="CB30" s="20">
        <f t="shared" si="10"/>
        <v>279.15868935410384</v>
      </c>
      <c r="CC30" s="59">
        <f t="shared" si="11"/>
        <v>572.49202268743716</v>
      </c>
      <c r="CD30" s="59">
        <f ca="1">AVERAGE(OFFSET($CC$3,0,0,'Données projet'!$E$12+1,1))-AVERAGE(OFFSET($H$3,0,0,'Données projet'!$E$12+1,1))</f>
        <v>266.30229009596883</v>
      </c>
      <c r="CE30" s="59">
        <f t="shared" si="40"/>
        <v>270.19195828386046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2.053109840498843</v>
      </c>
      <c r="CM30" s="21">
        <f>EXP(-LN(2)/2)*CM29+(1-EXP(-LN(2)/2))/(LN(2)/2)*CG30*CJ30*VLOOKUP('Données projet'!$B$12,Paramètres!$A$1:$I$89,3,0)*0.475*44/12</f>
        <v>0.43908407272850858</v>
      </c>
      <c r="CN30" s="22">
        <f t="shared" si="12"/>
        <v>2.4921939132273518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14.5</v>
      </c>
      <c r="CT30" s="12">
        <f>IF('Données projet'!$A$140&gt;35,CT29+CS30-DB29,IF(A30&lt;'Données projet'!$A$140,$CQ$205^A30,IF(A30='Données projet'!$A$140,'Données projet'!$B$140,CT29+CS30-DB29)))</f>
        <v>168.5</v>
      </c>
      <c r="CU30" s="17">
        <f>CT30*VLOOKUP('Données projet'!$B$13,Paramètres!$A$1:$I$89,3,0)*VLOOKUP('Données projet'!$B$13,Paramètres!$A$1:$I$89,5,0)</f>
        <v>134.05860000000001</v>
      </c>
      <c r="CV30" s="13">
        <f t="shared" si="41"/>
        <v>34.932498076856362</v>
      </c>
      <c r="CW30" s="20">
        <f t="shared" si="13"/>
        <v>294.32616248385813</v>
      </c>
      <c r="CX30" s="59">
        <f t="shared" si="14"/>
        <v>587.65949581719144</v>
      </c>
      <c r="CY30" s="59">
        <f ca="1">AVERAGE(OFFSET($CX$3,0,0,'Données projet'!$E$13+1,1))-AVERAGE(OFFSET($H$3,0,0,'Données projet'!$E$13+1,1))</f>
        <v>260.20517190557814</v>
      </c>
      <c r="CZ30" s="59">
        <f t="shared" si="42"/>
        <v>307.22009971147133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6.4051721830177586</v>
      </c>
      <c r="DH30" s="21">
        <f>EXP(-LN(2)/2)*DH29+(1-EXP(-LN(2)/2))/(LN(2)/2)*DB30*DE30*VLOOKUP('Données projet'!$B$13,Paramètres!$A$1:$I$89,3,0)*0.475*44/12</f>
        <v>1.1113705751950478</v>
      </c>
      <c r="DI30" s="22">
        <f t="shared" si="15"/>
        <v>7.5165427582128066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8.1999999999999993</v>
      </c>
      <c r="DO30" s="12">
        <f>IF('Données projet'!$A$166&gt;35,DO29+DN30-DW29,IF(A30&lt;'Données projet'!$A$166,$DL$205^A30,IF(A30='Données projet'!$A$166,'Données projet'!$B$166,DO29+DN30-DW29)))</f>
        <v>124.40000000000002</v>
      </c>
      <c r="DP30" s="17">
        <f>DO30*VLOOKUP('Données projet'!$B$14,Paramètres!$A$1:$I$89,3,0)*VLOOKUP('Données projet'!$B$14,Paramètres!$A$1:$I$89,5,0)</f>
        <v>120.31968000000002</v>
      </c>
      <c r="DQ30" s="13">
        <f t="shared" si="43"/>
        <v>31.74954785566829</v>
      </c>
      <c r="DR30" s="20">
        <f t="shared" si="16"/>
        <v>264.85390518195561</v>
      </c>
      <c r="DS30" s="59">
        <f t="shared" si="17"/>
        <v>558.18723851528898</v>
      </c>
      <c r="DT30" s="59">
        <f ca="1">AVERAGE(OFFSET($DS$3,0,0,'Données projet'!$E$14+1,1))-AVERAGE(OFFSET($H$3,0,0,'Données projet'!$E$14+1,1))</f>
        <v>347.8889410585312</v>
      </c>
      <c r="DU30" s="59">
        <f t="shared" si="44"/>
        <v>254.78167322479203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0.56574582271523666</v>
      </c>
      <c r="EC30" s="21">
        <f>EXP(-LN(2)/2)*EC29+(1-EXP(-LN(2)/2))/(LN(2)/2)*DW30*DZ30*VLOOKUP('Données projet'!$B$14,Paramètres!$A$1:$I$89,3,0)*0.475*44/12</f>
        <v>0.12099205559630018</v>
      </c>
      <c r="ED30" s="22">
        <f t="shared" si="18"/>
        <v>0.68673787831153688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8.1999999999999993</v>
      </c>
      <c r="EJ30" s="12">
        <f>IF('Données projet'!$A$192&gt;35,EJ29+EI30-ER29,IF(A30&lt;'Données projet'!$A$192,$EG$205^A30,IF(A30='Données projet'!$A$192,'Données projet'!$B$192,EJ29+EI30-ER29)))</f>
        <v>124.40000000000002</v>
      </c>
      <c r="EK30" s="17">
        <f>EJ30*VLOOKUP('Données projet'!$B$15,Paramètres!$A$1:$I$89,3,0)*VLOOKUP('Données projet'!$B$15,Paramètres!$A$1:$I$89,5,0)</f>
        <v>133.90416000000002</v>
      </c>
      <c r="EL30" s="13">
        <f t="shared" si="45"/>
        <v>34.896936615903982</v>
      </c>
      <c r="EM30" s="20">
        <f t="shared" si="19"/>
        <v>293.99524327269938</v>
      </c>
      <c r="EN30" s="59">
        <f t="shared" si="20"/>
        <v>587.3285766060327</v>
      </c>
      <c r="EO30" s="59">
        <f ca="1">AVERAGE(OFFSET($EN$3,0,0,'Données projet'!$E$15+1,1))-AVERAGE(OFFSET($H$3,0,0,'Données projet'!$E$15+1,1))</f>
        <v>399.38728019348088</v>
      </c>
      <c r="EP30" s="59">
        <f t="shared" si="46"/>
        <v>289.54922160039791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0.62962035108631176</v>
      </c>
      <c r="EX30" s="21">
        <f>EXP(-LN(2)/2)*EX29+(1-EXP(-LN(2)/2))/(LN(2)/2)*ER30*EU30*VLOOKUP('Données projet'!$B$15,Paramètres!$A$1:$I$89,3,0)*0.475*44/12</f>
        <v>0.13465244897007597</v>
      </c>
      <c r="EY30" s="22">
        <f t="shared" si="21"/>
        <v>0.76427280005638776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8.1999999999999993</v>
      </c>
      <c r="N31" s="13">
        <f>IF('Données projet'!$A$36&gt;35,N30+M31-V30,IF(A31&lt;'Données projet'!$A$36,$K$205^A31,IF(A31='Données projet'!$A$36,'Données projet'!$B$36,N30+M31-V30)))</f>
        <v>132.60000000000002</v>
      </c>
      <c r="O31" s="13">
        <f>N31*VLOOKUP('Données projet'!$B$9,Paramètres!$A$1:$I$89,3,0)*VLOOKUP('Données projet'!$B$9,Paramètres!$A$1:$I$89,5,0)</f>
        <v>119.97648000000001</v>
      </c>
      <c r="P31" s="13">
        <f t="shared" si="33"/>
        <v>31.669513577784763</v>
      </c>
      <c r="Q31" s="20">
        <f t="shared" si="2"/>
        <v>264.1167721479751</v>
      </c>
      <c r="R31" s="59">
        <f t="shared" si="0"/>
        <v>557.45010548130836</v>
      </c>
      <c r="S31" s="59">
        <f ca="1">AVERAGE(OFFSET($R$3,0,0,'Données projet'!$E$9+1,1))-AVERAGE(OFFSET($H$3,0,0,'Données projet'!$E$9+1,1))</f>
        <v>318.40875902853116</v>
      </c>
      <c r="T31" s="59">
        <f t="shared" si="34"/>
        <v>234.87694492493506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0.51477382999395016</v>
      </c>
      <c r="AB31" s="21">
        <f>EXP(-LN(2)/2)*AB30+(1-EXP(-LN(2)/2))/(LN(2)/2)*V31*Y31*VLOOKUP('Données projet'!$B$9,Paramètres!$A$1:$I$89,3,0)*0.475*44/12</f>
        <v>8.0034670531402105E-2</v>
      </c>
      <c r="AC31" s="22">
        <f t="shared" si="3"/>
        <v>0.59480850052535228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13.4</v>
      </c>
      <c r="AI31" s="13">
        <f>IF('Données projet'!$A$62&gt;35,AI30+AH31-AQ30,IF(A31&lt;'Données projet'!$A$62,$AF$205^A31,IF(A31='Données projet'!$A$62,'Données projet'!$B$62,AI30+AH31-AQ30)))</f>
        <v>201.20000000000005</v>
      </c>
      <c r="AJ31" s="13">
        <f>AI31*VLOOKUP('Données projet'!$B$10,Paramètres!$A$1:$I$89,3,0)*VLOOKUP('Données projet'!$B$10,Paramètres!$A$1:$I$89,5,0)</f>
        <v>175.76832000000007</v>
      </c>
      <c r="AK31" s="13">
        <f t="shared" si="35"/>
        <v>44.379415757690204</v>
      </c>
      <c r="AL31" s="20">
        <f t="shared" si="4"/>
        <v>383.42397311131054</v>
      </c>
      <c r="AM31" s="59">
        <f t="shared" si="5"/>
        <v>676.75730644464386</v>
      </c>
      <c r="AN31" s="59">
        <f ca="1">AVERAGE(OFFSET($AM$3,0,0,'Données projet'!$E$10+1,1))-AVERAGE(OFFSET($H$3,0,0,'Données projet'!$E$10+1,1))</f>
        <v>243.38048563215585</v>
      </c>
      <c r="AO31" s="59">
        <f t="shared" si="36"/>
        <v>372.1604147006675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5.0763910353072506</v>
      </c>
      <c r="AW31" s="21">
        <f>EXP(-LN(2)/2)*AW30+(1-EXP(-LN(2)/2))/(LN(2)/2)*AQ31*AT31*VLOOKUP('Données projet'!$B$10,Paramètres!$A$1:$I$89,3,0)*0.475*44/12</f>
        <v>0.60161449933584854</v>
      </c>
      <c r="AX31" s="21">
        <f t="shared" si="6"/>
        <v>5.6780055346430993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14.5</v>
      </c>
      <c r="BD31" s="12">
        <f>IF('Données projet'!$A$88&gt;35,BD30+BC31-BL30,IF(A31&lt;'Données projet'!$A$88,$BA$205^A31,IF(A31='Données projet'!$A$88,'Données projet'!$B$88,BD30+BC31-BL30)))</f>
        <v>183</v>
      </c>
      <c r="BE31" s="13">
        <f>BD31*VLOOKUP('Données projet'!$B$11,Paramètres!$A$1:$I$89,3,0)*VLOOKUP('Données projet'!$B$11,Paramètres!$A$1:$I$89,5,0)</f>
        <v>122.7564</v>
      </c>
      <c r="BF31" s="13">
        <f t="shared" si="37"/>
        <v>32.317032143878919</v>
      </c>
      <c r="BG31" s="20">
        <f t="shared" si="7"/>
        <v>270.08622765058908</v>
      </c>
      <c r="BH31" s="59">
        <f t="shared" si="8"/>
        <v>563.41956098392234</v>
      </c>
      <c r="BI31" s="59">
        <f ca="1">AVERAGE(OFFSET($BH$3,0,0,'Données projet'!$E$11+1,1))-AVERAGE(OFFSET($H$3,0,0,'Données projet'!$E$11+1,1))</f>
        <v>207.93042467236967</v>
      </c>
      <c r="BJ31" s="59">
        <f t="shared" si="38"/>
        <v>250.70954318710835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5.2527639951394169</v>
      </c>
      <c r="BR31" s="21">
        <f>EXP(-LN(2)/2)*BR30+(1-EXP(-LN(2)/2))/(LN(2)/2)*BL31*BO31*VLOOKUP('Données projet'!$B$11,Paramètres!$A$1:$I$89,3,0)*0.475*44/12</f>
        <v>0.66258587873841801</v>
      </c>
      <c r="BS31" s="22">
        <f t="shared" si="9"/>
        <v>5.915349873877835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10.4</v>
      </c>
      <c r="BY31" s="12">
        <f>IF('Données projet'!$A$114&gt;35,BY30+BX31-CG30,IF(A31&lt;'Données projet'!$A$114,$BV$205^A31,IF(A31='Données projet'!$A$114,'Données projet'!$B$114,BY30+BX31-CG30)))</f>
        <v>173.20000000000005</v>
      </c>
      <c r="BZ31" s="13">
        <f>BY31*VLOOKUP('Données projet'!$B$12,Paramètres!$A$1:$I$89,3,0)*VLOOKUP('Données projet'!$B$12,Paramètres!$A$1:$I$89,5,0)</f>
        <v>135.09600000000003</v>
      </c>
      <c r="CA31" s="13">
        <f t="shared" si="39"/>
        <v>35.171247228284784</v>
      </c>
      <c r="CB31" s="20">
        <f t="shared" si="10"/>
        <v>296.54878892259609</v>
      </c>
      <c r="CC31" s="59">
        <f t="shared" si="11"/>
        <v>589.8821222559294</v>
      </c>
      <c r="CD31" s="59">
        <f ca="1">AVERAGE(OFFSET($CC$3,0,0,'Données projet'!$E$12+1,1))-AVERAGE(OFFSET($H$3,0,0,'Données projet'!$E$12+1,1))</f>
        <v>266.30229009596883</v>
      </c>
      <c r="CE31" s="59">
        <f t="shared" si="40"/>
        <v>270.19195828386046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1.9969674439420482</v>
      </c>
      <c r="CM31" s="21">
        <f>EXP(-LN(2)/2)*CM30+(1-EXP(-LN(2)/2))/(LN(2)/2)*CG31*CJ31*VLOOKUP('Données projet'!$B$12,Paramètres!$A$1:$I$89,3,0)*0.475*44/12</f>
        <v>0.31047932533733563</v>
      </c>
      <c r="CN31" s="22">
        <f t="shared" si="12"/>
        <v>2.3074467692793839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14.5</v>
      </c>
      <c r="CT31" s="12">
        <f>IF('Données projet'!$A$140&gt;35,CT30+CS31-DB30,IF(A31&lt;'Données projet'!$A$140,$CQ$205^A31,IF(A31='Données projet'!$A$140,'Données projet'!$B$140,CT30+CS31-DB30)))</f>
        <v>183</v>
      </c>
      <c r="CU31" s="17">
        <f>CT31*VLOOKUP('Données projet'!$B$13,Paramètres!$A$1:$I$89,3,0)*VLOOKUP('Données projet'!$B$13,Paramètres!$A$1:$I$89,5,0)</f>
        <v>145.59479999999999</v>
      </c>
      <c r="CV31" s="13">
        <f t="shared" si="41"/>
        <v>37.575758023691719</v>
      </c>
      <c r="CW31" s="20">
        <f t="shared" si="13"/>
        <v>319.02205522459639</v>
      </c>
      <c r="CX31" s="59">
        <f t="shared" si="14"/>
        <v>612.3553885579297</v>
      </c>
      <c r="CY31" s="59">
        <f ca="1">AVERAGE(OFFSET($CX$3,0,0,'Données projet'!$E$13+1,1))-AVERAGE(OFFSET($H$3,0,0,'Données projet'!$E$13+1,1))</f>
        <v>260.20517190557814</v>
      </c>
      <c r="CZ31" s="59">
        <f t="shared" si="42"/>
        <v>307.22009971147133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6.2300224128397721</v>
      </c>
      <c r="DH31" s="21">
        <f>EXP(-LN(2)/2)*DH30+(1-EXP(-LN(2)/2))/(LN(2)/2)*DB31*DE31*VLOOKUP('Données projet'!$B$13,Paramètres!$A$1:$I$89,3,0)*0.475*44/12</f>
        <v>0.78585767013161212</v>
      </c>
      <c r="DI31" s="22">
        <f t="shared" si="15"/>
        <v>7.0158800829713845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8.1999999999999993</v>
      </c>
      <c r="DO31" s="12">
        <f>IF('Données projet'!$A$166&gt;35,DO30+DN31-DW30,IF(A31&lt;'Données projet'!$A$166,$DL$205^A31,IF(A31='Données projet'!$A$166,'Données projet'!$B$166,DO30+DN31-DW30)))</f>
        <v>132.60000000000002</v>
      </c>
      <c r="DP31" s="17">
        <f>DO31*VLOOKUP('Données projet'!$B$14,Paramètres!$A$1:$I$89,3,0)*VLOOKUP('Données projet'!$B$14,Paramètres!$A$1:$I$89,5,0)</f>
        <v>128.25072000000003</v>
      </c>
      <c r="DQ31" s="13">
        <f t="shared" si="43"/>
        <v>33.591833937449593</v>
      </c>
      <c r="DR31" s="20">
        <f t="shared" si="16"/>
        <v>281.87578144105805</v>
      </c>
      <c r="DS31" s="59">
        <f t="shared" si="17"/>
        <v>575.20911477439131</v>
      </c>
      <c r="DT31" s="59">
        <f ca="1">AVERAGE(OFFSET($DS$3,0,0,'Données projet'!$E$14+1,1))-AVERAGE(OFFSET($H$3,0,0,'Données projet'!$E$14+1,1))</f>
        <v>347.8889410585312</v>
      </c>
      <c r="DU31" s="59">
        <f t="shared" si="44"/>
        <v>254.78167322479203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0.55027547344180872</v>
      </c>
      <c r="EC31" s="21">
        <f>EXP(-LN(2)/2)*EC30+(1-EXP(-LN(2)/2))/(LN(2)/2)*DW31*DZ31*VLOOKUP('Données projet'!$B$14,Paramètres!$A$1:$I$89,3,0)*0.475*44/12</f>
        <v>8.5554302981843633E-2</v>
      </c>
      <c r="ED31" s="22">
        <f t="shared" si="18"/>
        <v>0.63582977642365235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8.1999999999999993</v>
      </c>
      <c r="EJ31" s="12">
        <f>IF('Données projet'!$A$192&gt;35,EJ30+EI31-ER30,IF(A31&lt;'Données projet'!$A$192,$EG$205^A31,IF(A31='Données projet'!$A$192,'Données projet'!$B$192,EJ30+EI31-ER30)))</f>
        <v>132.60000000000002</v>
      </c>
      <c r="EK31" s="17">
        <f>EJ31*VLOOKUP('Données projet'!$B$15,Paramètres!$A$1:$I$89,3,0)*VLOOKUP('Données projet'!$B$15,Paramètres!$A$1:$I$89,5,0)</f>
        <v>142.73064000000002</v>
      </c>
      <c r="EL31" s="13">
        <f t="shared" si="45"/>
        <v>36.921851771122689</v>
      </c>
      <c r="EM31" s="20">
        <f t="shared" si="19"/>
        <v>312.894756501372</v>
      </c>
      <c r="EN31" s="59">
        <f t="shared" si="20"/>
        <v>606.22808983470532</v>
      </c>
      <c r="EO31" s="59">
        <f ca="1">AVERAGE(OFFSET($EN$3,0,0,'Données projet'!$E$15+1,1))-AVERAGE(OFFSET($H$3,0,0,'Données projet'!$E$15+1,1))</f>
        <v>399.38728019348088</v>
      </c>
      <c r="EP31" s="59">
        <f t="shared" si="46"/>
        <v>289.54922160039791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0.6124033494755613</v>
      </c>
      <c r="EX31" s="21">
        <f>EXP(-LN(2)/2)*EX30+(1-EXP(-LN(2)/2))/(LN(2)/2)*ER31*EU31*VLOOKUP('Données projet'!$B$15,Paramètres!$A$1:$I$89,3,0)*0.475*44/12</f>
        <v>9.5213659770116268E-2</v>
      </c>
      <c r="EY31" s="22">
        <f t="shared" si="21"/>
        <v>0.70761700924567761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8.1999999999999993</v>
      </c>
      <c r="N32" s="13">
        <f>IF('Données projet'!$A$36&gt;35,N31+M32-V31,IF(A32&lt;'Données projet'!$A$36,$K$205^A32,IF(A32='Données projet'!$A$36,'Données projet'!$B$36,N31+M32-V31)))</f>
        <v>140.80000000000001</v>
      </c>
      <c r="O32" s="13">
        <f>N32*VLOOKUP('Données projet'!$B$9,Paramètres!$A$1:$I$89,3,0)*VLOOKUP('Données projet'!$B$9,Paramètres!$A$1:$I$89,5,0)</f>
        <v>127.39584000000001</v>
      </c>
      <c r="P32" s="13">
        <f t="shared" si="33"/>
        <v>33.393907578695213</v>
      </c>
      <c r="Q32" s="20">
        <f t="shared" si="2"/>
        <v>280.04214369956082</v>
      </c>
      <c r="R32" s="59">
        <f t="shared" si="0"/>
        <v>573.3754770328942</v>
      </c>
      <c r="S32" s="59">
        <f ca="1">AVERAGE(OFFSET($R$3,0,0,'Données projet'!$E$9+1,1))-AVERAGE(OFFSET($H$3,0,0,'Données projet'!$E$9+1,1))</f>
        <v>318.40875902853116</v>
      </c>
      <c r="T32" s="59">
        <f t="shared" si="34"/>
        <v>234.87694492493506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0.50069731254198635</v>
      </c>
      <c r="AB32" s="21">
        <f>EXP(-LN(2)/2)*AB31+(1-EXP(-LN(2)/2))/(LN(2)/2)*V32*Y32*VLOOKUP('Données projet'!$B$9,Paramètres!$A$1:$I$89,3,0)*0.475*44/12</f>
        <v>5.6593058262785573E-2</v>
      </c>
      <c r="AC32" s="22">
        <f t="shared" si="3"/>
        <v>0.55729037080477195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13.4</v>
      </c>
      <c r="AI32" s="13">
        <f>IF('Données projet'!$A$62&gt;35,AI31+AH32-AQ31,IF(A32&lt;'Données projet'!$A$62,$AF$205^A32,IF(A32='Données projet'!$A$62,'Données projet'!$B$62,AI31+AH32-AQ31)))</f>
        <v>214.60000000000005</v>
      </c>
      <c r="AJ32" s="13">
        <f>AI32*VLOOKUP('Données projet'!$B$10,Paramètres!$A$1:$I$89,3,0)*VLOOKUP('Données projet'!$B$10,Paramètres!$A$1:$I$89,5,0)</f>
        <v>187.47456000000008</v>
      </c>
      <c r="AK32" s="13">
        <f t="shared" si="35"/>
        <v>46.981179851370143</v>
      </c>
      <c r="AL32" s="20">
        <f t="shared" si="4"/>
        <v>408.34374690780311</v>
      </c>
      <c r="AM32" s="59">
        <f t="shared" si="5"/>
        <v>701.67708024113642</v>
      </c>
      <c r="AN32" s="59">
        <f ca="1">AVERAGE(OFFSET($AM$3,0,0,'Données projet'!$E$10+1,1))-AVERAGE(OFFSET($H$3,0,0,'Données projet'!$E$10+1,1))</f>
        <v>243.38048563215585</v>
      </c>
      <c r="AO32" s="59">
        <f t="shared" si="36"/>
        <v>372.1604147006675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4.9375768554909714</v>
      </c>
      <c r="AW32" s="21">
        <f>EXP(-LN(2)/2)*AW31+(1-EXP(-LN(2)/2))/(LN(2)/2)*AQ32*AT32*VLOOKUP('Données projet'!$B$10,Paramètres!$A$1:$I$89,3,0)*0.475*44/12</f>
        <v>0.4254056921405282</v>
      </c>
      <c r="AX32" s="21">
        <f t="shared" si="6"/>
        <v>5.3629825476314998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14.5</v>
      </c>
      <c r="BD32" s="12">
        <f>IF('Données projet'!$A$88&gt;35,BD31+BC32-BL31,IF(A32&lt;'Données projet'!$A$88,$BA$205^A32,IF(A32='Données projet'!$A$88,'Données projet'!$B$88,BD31+BC32-BL31)))</f>
        <v>197.5</v>
      </c>
      <c r="BE32" s="13">
        <f>BD32*VLOOKUP('Données projet'!$B$11,Paramètres!$A$1:$I$89,3,0)*VLOOKUP('Données projet'!$B$11,Paramètres!$A$1:$I$89,5,0)</f>
        <v>132.483</v>
      </c>
      <c r="BF32" s="13">
        <f t="shared" si="37"/>
        <v>34.569474427459426</v>
      </c>
      <c r="BG32" s="20">
        <f t="shared" si="7"/>
        <v>290.94972629449177</v>
      </c>
      <c r="BH32" s="59">
        <f t="shared" si="8"/>
        <v>584.28305962782508</v>
      </c>
      <c r="BI32" s="59">
        <f ca="1">AVERAGE(OFFSET($BH$3,0,0,'Données projet'!$E$11+1,1))-AVERAGE(OFFSET($H$3,0,0,'Données projet'!$E$11+1,1))</f>
        <v>207.93042467236967</v>
      </c>
      <c r="BJ32" s="59">
        <f t="shared" si="38"/>
        <v>250.70954318710835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5.1091268874614766</v>
      </c>
      <c r="BR32" s="21">
        <f>EXP(-LN(2)/2)*BR31+(1-EXP(-LN(2)/2))/(LN(2)/2)*BL32*BO32*VLOOKUP('Données projet'!$B$11,Paramètres!$A$1:$I$89,3,0)*0.475*44/12</f>
        <v>0.46851896797438286</v>
      </c>
      <c r="BS32" s="22">
        <f t="shared" si="9"/>
        <v>5.5776458554358594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10.4</v>
      </c>
      <c r="BY32" s="12">
        <f>IF('Données projet'!$A$114&gt;35,BY31+BX32-CG31,IF(A32&lt;'Données projet'!$A$114,$BV$205^A32,IF(A32='Données projet'!$A$114,'Données projet'!$B$114,BY31+BX32-CG31)))</f>
        <v>183.60000000000005</v>
      </c>
      <c r="BZ32" s="13">
        <f>BY32*VLOOKUP('Données projet'!$B$12,Paramètres!$A$1:$I$89,3,0)*VLOOKUP('Données projet'!$B$12,Paramètres!$A$1:$I$89,5,0)</f>
        <v>143.20800000000006</v>
      </c>
      <c r="CA32" s="13">
        <f t="shared" si="39"/>
        <v>37.030941422835831</v>
      </c>
      <c r="CB32" s="20">
        <f t="shared" si="10"/>
        <v>313.91615631143918</v>
      </c>
      <c r="CC32" s="59">
        <f t="shared" si="11"/>
        <v>607.24948964477244</v>
      </c>
      <c r="CD32" s="59">
        <f ca="1">AVERAGE(OFFSET($CC$3,0,0,'Données projet'!$E$12+1,1))-AVERAGE(OFFSET($H$3,0,0,'Données projet'!$E$12+1,1))</f>
        <v>266.30229009596883</v>
      </c>
      <c r="CE32" s="59">
        <f t="shared" si="40"/>
        <v>270.19195828386046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1.9423602641714992</v>
      </c>
      <c r="CM32" s="21">
        <f>EXP(-LN(2)/2)*CM31+(1-EXP(-LN(2)/2))/(LN(2)/2)*CG32*CJ32*VLOOKUP('Données projet'!$B$12,Paramètres!$A$1:$I$89,3,0)*0.475*44/12</f>
        <v>0.21954203636425429</v>
      </c>
      <c r="CN32" s="22">
        <f t="shared" si="12"/>
        <v>2.1619023005357536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14.5</v>
      </c>
      <c r="CT32" s="12">
        <f>IF('Données projet'!$A$140&gt;35,CT31+CS32-DB31,IF(A32&lt;'Données projet'!$A$140,$CQ$205^A32,IF(A32='Données projet'!$A$140,'Données projet'!$B$140,CT31+CS32-DB31)))</f>
        <v>197.5</v>
      </c>
      <c r="CU32" s="17">
        <f>CT32*VLOOKUP('Données projet'!$B$13,Paramètres!$A$1:$I$89,3,0)*VLOOKUP('Données projet'!$B$13,Paramètres!$A$1:$I$89,5,0)</f>
        <v>157.13100000000003</v>
      </c>
      <c r="CV32" s="13">
        <f t="shared" si="41"/>
        <v>40.194724574621844</v>
      </c>
      <c r="CW32" s="20">
        <f t="shared" si="13"/>
        <v>343.67563696746635</v>
      </c>
      <c r="CX32" s="59">
        <f t="shared" si="14"/>
        <v>637.00897030079966</v>
      </c>
      <c r="CY32" s="59">
        <f ca="1">AVERAGE(OFFSET($CX$3,0,0,'Données projet'!$E$13+1,1))-AVERAGE(OFFSET($H$3,0,0,'Données projet'!$E$13+1,1))</f>
        <v>260.20517190557814</v>
      </c>
      <c r="CZ32" s="59">
        <f t="shared" si="42"/>
        <v>307.22009971147133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6.0596621223380289</v>
      </c>
      <c r="DH32" s="21">
        <f>EXP(-LN(2)/2)*DH31+(1-EXP(-LN(2)/2))/(LN(2)/2)*DB32*DE32*VLOOKUP('Données projet'!$B$13,Paramètres!$A$1:$I$89,3,0)*0.475*44/12</f>
        <v>0.55568528759752389</v>
      </c>
      <c r="DI32" s="22">
        <f t="shared" si="15"/>
        <v>6.6153474099355529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8.1999999999999993</v>
      </c>
      <c r="DO32" s="12">
        <f>IF('Données projet'!$A$166&gt;35,DO31+DN32-DW31,IF(A32&lt;'Données projet'!$A$166,$DL$205^A32,IF(A32='Données projet'!$A$166,'Données projet'!$B$166,DO31+DN32-DW31)))</f>
        <v>140.80000000000001</v>
      </c>
      <c r="DP32" s="17">
        <f>DO32*VLOOKUP('Données projet'!$B$14,Paramètres!$A$1:$I$89,3,0)*VLOOKUP('Données projet'!$B$14,Paramètres!$A$1:$I$89,5,0)</f>
        <v>136.18176000000003</v>
      </c>
      <c r="DQ32" s="13">
        <f t="shared" si="43"/>
        <v>35.420897613437006</v>
      </c>
      <c r="DR32" s="20">
        <f t="shared" si="16"/>
        <v>298.87462867673611</v>
      </c>
      <c r="DS32" s="59">
        <f t="shared" si="17"/>
        <v>592.20796201006942</v>
      </c>
      <c r="DT32" s="59">
        <f ca="1">AVERAGE(OFFSET($DS$3,0,0,'Données projet'!$E$14+1,1))-AVERAGE(OFFSET($H$3,0,0,'Données projet'!$E$14+1,1))</f>
        <v>347.8889410585312</v>
      </c>
      <c r="DU32" s="59">
        <f t="shared" si="44"/>
        <v>254.78167322479203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0.53522816168281295</v>
      </c>
      <c r="EC32" s="21">
        <f>EXP(-LN(2)/2)*EC31+(1-EXP(-LN(2)/2))/(LN(2)/2)*DW32*DZ32*VLOOKUP('Données projet'!$B$14,Paramètres!$A$1:$I$89,3,0)*0.475*44/12</f>
        <v>6.0496027798150102E-2</v>
      </c>
      <c r="ED32" s="22">
        <f t="shared" si="18"/>
        <v>0.59572418948096306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8.1999999999999993</v>
      </c>
      <c r="EJ32" s="12">
        <f>IF('Données projet'!$A$192&gt;35,EJ31+EI32-ER31,IF(A32&lt;'Données projet'!$A$192,$EG$205^A32,IF(A32='Données projet'!$A$192,'Données projet'!$B$192,EJ31+EI32-ER31)))</f>
        <v>140.80000000000001</v>
      </c>
      <c r="EK32" s="17">
        <f>EJ32*VLOOKUP('Données projet'!$B$15,Paramètres!$A$1:$I$89,3,0)*VLOOKUP('Données projet'!$B$15,Paramètres!$A$1:$I$89,5,0)</f>
        <v>151.55712</v>
      </c>
      <c r="EL32" s="13">
        <f t="shared" si="45"/>
        <v>38.932233760105582</v>
      </c>
      <c r="EM32" s="20">
        <f t="shared" si="19"/>
        <v>331.76895779885058</v>
      </c>
      <c r="EN32" s="59">
        <f t="shared" si="20"/>
        <v>625.10229113218384</v>
      </c>
      <c r="EO32" s="59">
        <f ca="1">AVERAGE(OFFSET($EN$3,0,0,'Données projet'!$E$15+1,1))-AVERAGE(OFFSET($H$3,0,0,'Données projet'!$E$15+1,1))</f>
        <v>399.38728019348088</v>
      </c>
      <c r="EP32" s="59">
        <f t="shared" si="46"/>
        <v>289.54922160039791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0.59565714767925959</v>
      </c>
      <c r="EX32" s="21">
        <f>EXP(-LN(2)/2)*EX31+(1-EXP(-LN(2)/2))/(LN(2)/2)*ER32*EU32*VLOOKUP('Données projet'!$B$15,Paramètres!$A$1:$I$89,3,0)*0.475*44/12</f>
        <v>6.7326224485037986E-2</v>
      </c>
      <c r="EY32" s="22">
        <f t="shared" si="21"/>
        <v>0.66298337216429759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8.1999999999999993</v>
      </c>
      <c r="M33" s="12">
        <f t="array" ref="M33">INDEX(L:L,MIN(IF(ISNUMBER(L33:L229),ROW(L33:L229),"")))</f>
        <v>8.1999999999999993</v>
      </c>
      <c r="N33" s="13">
        <f>IF('Données projet'!$A$36&gt;35,N32+M33-V32,IF(A33&lt;'Données projet'!$A$36,$K$205^A33,IF(A33='Données projet'!$A$36,'Données projet'!$B$36,N32+M33-V32)))</f>
        <v>149</v>
      </c>
      <c r="O33" s="13">
        <f>N33*VLOOKUP('Données projet'!$B$9,Paramètres!$A$1:$I$89,3,0)*VLOOKUP('Données projet'!$B$9,Paramètres!$A$1:$I$89,5,0)</f>
        <v>134.81519999999998</v>
      </c>
      <c r="P33" s="13">
        <f t="shared" si="33"/>
        <v>35.106644529103392</v>
      </c>
      <c r="Q33" s="20">
        <f t="shared" si="2"/>
        <v>295.94721255485501</v>
      </c>
      <c r="R33" s="59">
        <f t="shared" si="0"/>
        <v>589.28054588818827</v>
      </c>
      <c r="S33" s="59">
        <f ca="1">AVERAGE(OFFSET($R$3,0,0,'Données projet'!$E$9+1,1))-AVERAGE(OFFSET($H$3,0,0,'Données projet'!$E$9+1,1))</f>
        <v>318.40875902853116</v>
      </c>
      <c r="T33" s="59">
        <f t="shared" si="34"/>
        <v>234.87694492493506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2.4085528753586032</v>
      </c>
      <c r="AA33" s="21">
        <f>EXP(-LN(2)/25)*AA32+(1-EXP(-LN(2)/25))/(LN(2)/25)*Calculateur!V33*Calculateur!X33*VLOOKUP('Données projet'!$B$9,Paramètres!$A$1:$I$89,3,0)*0.475*44/12</f>
        <v>11.282818400509749</v>
      </c>
      <c r="AB33" s="21">
        <f>EXP(-LN(2)/2)*AB32+(1-EXP(-LN(2)/2))/(LN(2)/2)*V33*Y33*VLOOKUP('Données projet'!$B$9,Paramètres!$A$1:$I$89,3,0)*0.475*44/12</f>
        <v>21.553336774106572</v>
      </c>
      <c r="AC33" s="22">
        <f t="shared" si="3"/>
        <v>35.244708049974925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228</v>
      </c>
      <c r="AG33" s="12">
        <f>VLOOKUP(A33,'Données projet'!$A$61:$I$81,9,0)</f>
        <v>13.4</v>
      </c>
      <c r="AH33" s="12">
        <f t="array" ref="AH33">INDEX(AG:AG,MIN(IF(ISNUMBER(AG33:AG229),ROW(AG33:AG229),"")))</f>
        <v>13.4</v>
      </c>
      <c r="AI33" s="13">
        <f>IF('Données projet'!$A$62&gt;35,AI32+AH33-AQ32,IF(A33&lt;'Données projet'!$A$62,$AF$205^A33,IF(A33='Données projet'!$A$62,'Données projet'!$B$62,AI32+AH33-AQ32)))</f>
        <v>228.00000000000006</v>
      </c>
      <c r="AJ33" s="13">
        <f>AI33*VLOOKUP('Données projet'!$B$10,Paramètres!$A$1:$I$89,3,0)*VLOOKUP('Données projet'!$B$10,Paramètres!$A$1:$I$89,5,0)</f>
        <v>199.18080000000009</v>
      </c>
      <c r="AK33" s="13">
        <f t="shared" si="35"/>
        <v>49.564089376413726</v>
      </c>
      <c r="AL33" s="20">
        <f t="shared" si="4"/>
        <v>433.2306823305874</v>
      </c>
      <c r="AM33" s="59">
        <f t="shared" si="5"/>
        <v>726.56401566392071</v>
      </c>
      <c r="AN33" s="59">
        <f ca="1">AVERAGE(OFFSET($AM$3,0,0,'Données projet'!$E$10+1,1))-AVERAGE(OFFSET($H$3,0,0,'Données projet'!$E$10+1,1))</f>
        <v>243.38048563215585</v>
      </c>
      <c r="AO33" s="59">
        <f t="shared" si="36"/>
        <v>372.1604147006675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88</v>
      </c>
      <c r="AR33" s="16">
        <f>IF(ISNA(VLOOKUP(A33,'Données projet'!$A$61:$I$81,5,0)),0%,VLOOKUP(A33,'Données projet'!$A$61:$I$81,5,0)*VLOOKUP('Données projet'!$B$10,Paramètres!$A$1:$I$89,7,0))</f>
        <v>8.6000000000000007E-2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7.3087121735019691</v>
      </c>
      <c r="AV33" s="21">
        <f>EXP(-LN(2)/25)*AV32+(1-EXP(-LN(2)/25))/(LN(2)/25)*Calculateur!AQ33*Calculateur!AS33*VLOOKUP('Données projet'!$B$10,Paramètres!$A$1:$I$89,3,0)*0.475*44/12</f>
        <v>19.362428534396141</v>
      </c>
      <c r="AW33" s="21">
        <f>EXP(-LN(2)/2)*AW32+(1-EXP(-LN(2)/2))/(LN(2)/2)*AQ33*AT33*VLOOKUP('Données projet'!$B$10,Paramètres!$A$1:$I$89,3,0)*0.475*44/12</f>
        <v>29.314939213162127</v>
      </c>
      <c r="AX33" s="21">
        <f t="shared" si="6"/>
        <v>55.986079921060238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212</v>
      </c>
      <c r="BB33" s="12">
        <f>VLOOKUP(A33,'Données projet'!$A$87:$I$107,9,0)</f>
        <v>14.5</v>
      </c>
      <c r="BC33" s="12">
        <f t="array" ref="BC33">INDEX(BB:BB,MIN(IF(ISNUMBER(BB33:BB229),ROW(BB33:BB229),"")))</f>
        <v>14.5</v>
      </c>
      <c r="BD33" s="12">
        <f>IF('Données projet'!$A$88&gt;35,BD32+BC33-BL32,IF(A33&lt;'Données projet'!$A$88,$BA$205^A33,IF(A33='Données projet'!$A$88,'Données projet'!$B$88,BD32+BC33-BL32)))</f>
        <v>212</v>
      </c>
      <c r="BE33" s="13">
        <f>BD33*VLOOKUP('Données projet'!$B$11,Paramètres!$A$1:$I$89,3,0)*VLOOKUP('Données projet'!$B$11,Paramètres!$A$1:$I$89,5,0)</f>
        <v>142.20959999999999</v>
      </c>
      <c r="BF33" s="13">
        <f t="shared" si="37"/>
        <v>36.802731569585646</v>
      </c>
      <c r="BG33" s="20">
        <f t="shared" si="7"/>
        <v>311.77981081702825</v>
      </c>
      <c r="BH33" s="59">
        <f t="shared" si="8"/>
        <v>605.11314415036156</v>
      </c>
      <c r="BI33" s="59">
        <f ca="1">AVERAGE(OFFSET($BH$3,0,0,'Données projet'!$E$11+1,1))-AVERAGE(OFFSET($H$3,0,0,'Données projet'!$E$11+1,1))</f>
        <v>207.93042467236967</v>
      </c>
      <c r="BJ33" s="59">
        <f t="shared" si="38"/>
        <v>250.70954318710835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5.3000000000000005E-2</v>
      </c>
      <c r="BN33" s="16">
        <f>IF(ISNA(VLOOKUP(A33,'Données projet'!$A$87:$I$107,6,0)),0%,VLOOKUP(A33,'Données projet'!$A$87:$I$107,6,0)*VLOOKUP('Données projet'!$B$11,Paramètres!$A$1:$I$89,7,0))</f>
        <v>0.23850000000000002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2.7511487584915084</v>
      </c>
      <c r="BQ33" s="21">
        <f>EXP(-LN(2)/25)*BQ32+(1-EXP(-LN(2)/25))/(LN(2)/25)*Calculateur!BL33*Calculateur!BN33*VLOOKUP('Données projet'!$B$11,Paramètres!$A$1:$I$89,3,0)*0.475*44/12</f>
        <v>17.300841513064139</v>
      </c>
      <c r="BR33" s="21">
        <f>EXP(-LN(2)/2)*BR32+(1-EXP(-LN(2)/2))/(LN(2)/2)*BL33*BO33*VLOOKUP('Données projet'!$B$11,Paramètres!$A$1:$I$89,3,0)*0.475*44/12</f>
        <v>20.268205350363985</v>
      </c>
      <c r="BS33" s="22">
        <f t="shared" si="9"/>
        <v>40.32019562191963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194</v>
      </c>
      <c r="BW33" s="12">
        <f>VLOOKUP(A33,'Données projet'!$A$113:$I$133,9,0)</f>
        <v>10.4</v>
      </c>
      <c r="BX33" s="12">
        <f t="array" ref="BX33">INDEX(BW:BW,MIN(IF(ISNUMBER(BW33:BW229),ROW(BW33:BW229),"")))</f>
        <v>10.4</v>
      </c>
      <c r="BY33" s="12">
        <f>IF('Données projet'!$A$114&gt;35,BY32+BX33-CG32,IF(A33&lt;'Données projet'!$A$114,$BV$205^A33,IF(A33='Données projet'!$A$114,'Données projet'!$B$114,BY32+BX33-CG32)))</f>
        <v>194.00000000000006</v>
      </c>
      <c r="BZ33" s="13">
        <f>BY33*VLOOKUP('Données projet'!$B$12,Paramètres!$A$1:$I$89,3,0)*VLOOKUP('Données projet'!$B$12,Paramètres!$A$1:$I$89,5,0)</f>
        <v>151.32000000000005</v>
      </c>
      <c r="CA33" s="13">
        <f t="shared" si="39"/>
        <v>38.878407223223149</v>
      </c>
      <c r="CB33" s="20">
        <f t="shared" si="10"/>
        <v>331.26222591378041</v>
      </c>
      <c r="CC33" s="59">
        <f t="shared" si="11"/>
        <v>624.59555924711367</v>
      </c>
      <c r="CD33" s="59">
        <f ca="1">AVERAGE(OFFSET($CC$3,0,0,'Données projet'!$E$12+1,1))-AVERAGE(OFFSET($H$3,0,0,'Données projet'!$E$12+1,1))</f>
        <v>266.30229009596883</v>
      </c>
      <c r="CE33" s="59">
        <f t="shared" si="40"/>
        <v>270.19195828386046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39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1.4460215846518709</v>
      </c>
      <c r="CL33" s="21">
        <f>EXP(-LN(2)/25)*CL32+(1-EXP(-LN(2)/25))/(LN(2)/25)*Calculateur!CG33*Calculateur!CI33*VLOOKUP('Données projet'!$B$12,Paramètres!$A$1:$I$89,3,0)*0.475*44/12</f>
        <v>8.3707225307339872</v>
      </c>
      <c r="CM33" s="21">
        <f>EXP(-LN(2)/2)*CM32+(1-EXP(-LN(2)/2))/(LN(2)/2)*CG33*CJ33*VLOOKUP('Données projet'!$B$12,Paramètres!$A$1:$I$89,3,0)*0.475*44/12</f>
        <v>13.071179596701828</v>
      </c>
      <c r="CN33" s="22">
        <f t="shared" si="12"/>
        <v>22.887923712087687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212</v>
      </c>
      <c r="CR33" s="12">
        <f>VLOOKUP(A33,'Données projet'!$A$139:$I$159,9,0)</f>
        <v>14.5</v>
      </c>
      <c r="CS33" s="12">
        <f t="array" ref="CS33">INDEX(CR:CR,MIN(IF(ISNUMBER(CR33:CR229),ROW(CR33:CR229),"")))</f>
        <v>14.5</v>
      </c>
      <c r="CT33" s="12">
        <f>IF('Données projet'!$A$140&gt;35,CT32+CS33-DB32,IF(A33&lt;'Données projet'!$A$140,$CQ$205^A33,IF(A33='Données projet'!$A$140,'Données projet'!$B$140,CT32+CS33-DB32)))</f>
        <v>212</v>
      </c>
      <c r="CU33" s="17">
        <f>CT33*VLOOKUP('Données projet'!$B$13,Paramètres!$A$1:$I$89,3,0)*VLOOKUP('Données projet'!$B$13,Paramètres!$A$1:$I$89,5,0)</f>
        <v>168.66720000000001</v>
      </c>
      <c r="CV33" s="13">
        <f t="shared" si="41"/>
        <v>42.791384119459089</v>
      </c>
      <c r="CW33" s="20">
        <f t="shared" si="13"/>
        <v>368.29036734139123</v>
      </c>
      <c r="CX33" s="59">
        <f t="shared" si="14"/>
        <v>661.62370067472455</v>
      </c>
      <c r="CY33" s="59">
        <f ca="1">AVERAGE(OFFSET($CX$3,0,0,'Données projet'!$E$13+1,1))-AVERAGE(OFFSET($H$3,0,0,'Données projet'!$E$13+1,1))</f>
        <v>260.20517190557814</v>
      </c>
      <c r="CZ33" s="59">
        <f t="shared" si="42"/>
        <v>307.22009971147133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70</v>
      </c>
      <c r="DC33" s="16">
        <f>IF(ISNA(VLOOKUP(A33,'Données projet'!$A$139:$I$159,5,0)),0%,VLOOKUP(A33,'Données projet'!$A$139:$I$159,5,0)*VLOOKUP('Données projet'!$B$13,Paramètres!$A$1:$I$89,7,0))</f>
        <v>5.3000000000000005E-2</v>
      </c>
      <c r="DD33" s="16">
        <f>IF(ISNA(VLOOKUP(A33,'Données projet'!$A$139:$I$159,6,0)),0%,VLOOKUP(A33,'Données projet'!$A$139:$I$159,6,0)*VLOOKUP('Données projet'!$B$13,Paramètres!$A$1:$I$89,7,0))</f>
        <v>0.23850000000000002</v>
      </c>
      <c r="DE33" s="16">
        <f>IF(ISNA(VLOOKUP(A33,'Données projet'!$A$139:$I$159,7,0)),0%,VLOOKUP(A33,'Données projet'!$A$139:$I$159,7,0))</f>
        <v>0.45</v>
      </c>
      <c r="DF33" s="21">
        <f>EXP(-LN(2)/35)*DF32+(1-EXP(-LN(2)/35))/(LN(2)/35)*DB33*DC33*VLOOKUP('Données projet'!$B$13,Paramètres!$A$1:$I$89,3,0)*0.475*44/12</f>
        <v>3.2629903879783009</v>
      </c>
      <c r="DG33" s="21">
        <f>EXP(-LN(2)/25)*DG32+(1-EXP(-LN(2)/25))/(LN(2)/25)*Calculateur!DB33*Calculateur!DD33*VLOOKUP('Données projet'!$B$13,Paramètres!$A$1:$I$89,3,0)*0.475*44/12</f>
        <v>20.519602724797</v>
      </c>
      <c r="DH33" s="21">
        <f>EXP(-LN(2)/2)*DH32+(1-EXP(-LN(2)/2))/(LN(2)/2)*DB33*DE33*VLOOKUP('Données projet'!$B$13,Paramètres!$A$1:$I$89,3,0)*0.475*44/12</f>
        <v>24.039034252757283</v>
      </c>
      <c r="DI33" s="22">
        <f t="shared" si="15"/>
        <v>47.821627365532585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149</v>
      </c>
      <c r="DM33" s="12">
        <f>VLOOKUP(A33,'Données projet'!$A$165:$I$185,9,0)</f>
        <v>8.1999999999999993</v>
      </c>
      <c r="DN33" s="12">
        <f t="array" ref="DN33">INDEX(DM:DM,MIN(IF(ISNUMBER(DM33:DM229),ROW(DM33:DM229),"")))</f>
        <v>8.1999999999999993</v>
      </c>
      <c r="DO33" s="12">
        <f>IF('Données projet'!$A$166&gt;35,DO32+DN33-DW32,IF(A33&lt;'Données projet'!$A$166,$DL$205^A33,IF(A33='Données projet'!$A$166,'Données projet'!$B$166,DO32+DN33-DW32)))</f>
        <v>149</v>
      </c>
      <c r="DP33" s="17">
        <f>DO33*VLOOKUP('Données projet'!$B$14,Paramètres!$A$1:$I$89,3,0)*VLOOKUP('Données projet'!$B$14,Paramètres!$A$1:$I$89,5,0)</f>
        <v>144.11279999999999</v>
      </c>
      <c r="DQ33" s="13">
        <f t="shared" si="43"/>
        <v>37.237596662992502</v>
      </c>
      <c r="DR33" s="20">
        <f t="shared" si="16"/>
        <v>315.85194085471193</v>
      </c>
      <c r="DS33" s="59">
        <f t="shared" si="17"/>
        <v>609.18527418804524</v>
      </c>
      <c r="DT33" s="59">
        <f ca="1">AVERAGE(OFFSET($DS$3,0,0,'Données projet'!$E$14+1,1))-AVERAGE(OFFSET($H$3,0,0,'Données projet'!$E$14+1,1))</f>
        <v>347.8889410585312</v>
      </c>
      <c r="DU33" s="59">
        <f t="shared" si="44"/>
        <v>254.78167322479203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56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2.5746599702109205</v>
      </c>
      <c r="EB33" s="21">
        <f>EXP(-LN(2)/25)*EB32+(1-EXP(-LN(2)/25))/(LN(2)/25)*Calculateur!DW33*Calculateur!DY33*VLOOKUP('Données projet'!$B$14,Paramètres!$A$1:$I$89,3,0)*0.475*44/12</f>
        <v>12.060943807441456</v>
      </c>
      <c r="EC33" s="21">
        <f>EXP(-LN(2)/2)*EC32+(1-EXP(-LN(2)/2))/(LN(2)/2)*DW33*DZ33*VLOOKUP('Données projet'!$B$14,Paramètres!$A$1:$I$89,3,0)*0.475*44/12</f>
        <v>23.039773793010479</v>
      </c>
      <c r="ED33" s="22">
        <f t="shared" si="18"/>
        <v>37.675377570662853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149</v>
      </c>
      <c r="EH33" s="12">
        <f>VLOOKUP(A33,'Données projet'!$A$191:$I$211,9,0)</f>
        <v>8.1999999999999993</v>
      </c>
      <c r="EI33" s="12">
        <f t="array" ref="EI33">INDEX(EH:EH,MIN(IF(ISNUMBER(EH33:EH229),ROW(EH33:EH229),"")))</f>
        <v>8.1999999999999993</v>
      </c>
      <c r="EJ33" s="12">
        <f>IF('Données projet'!$A$192&gt;35,EJ32+EI33-ER32,IF(A33&lt;'Données projet'!$A$192,$EG$205^A33,IF(A33='Données projet'!$A$192,'Données projet'!$B$192,EJ32+EI33-ER32)))</f>
        <v>149</v>
      </c>
      <c r="EK33" s="17">
        <f>EJ33*VLOOKUP('Données projet'!$B$15,Paramètres!$A$1:$I$89,3,0)*VLOOKUP('Données projet'!$B$15,Paramètres!$A$1:$I$89,5,0)</f>
        <v>160.38359999999997</v>
      </c>
      <c r="EL33" s="13">
        <f t="shared" si="45"/>
        <v>40.929025395397851</v>
      </c>
      <c r="EM33" s="20">
        <f t="shared" si="19"/>
        <v>350.61948923031787</v>
      </c>
      <c r="EN33" s="59">
        <f t="shared" si="20"/>
        <v>643.95282256365113</v>
      </c>
      <c r="EO33" s="59">
        <f ca="1">AVERAGE(OFFSET($EN$3,0,0,'Données projet'!$E$15+1,1))-AVERAGE(OFFSET($H$3,0,0,'Données projet'!$E$15+1,1))</f>
        <v>399.38728019348088</v>
      </c>
      <c r="EP33" s="59">
        <f t="shared" si="46"/>
        <v>289.54922160039791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56</v>
      </c>
      <c r="ES33" s="16">
        <f>IF(ISNA(VLOOKUP(A33,'Données projet'!$A$191:$I$211,5,0)),0%,VLOOKUP(A33,'Données projet'!$A$191:$I$211,5,0)*VLOOKUP('Données projet'!$B$15,Paramètres!$A$1:$I$89,7,0))</f>
        <v>4.3000000000000003E-2</v>
      </c>
      <c r="ET33" s="16">
        <f>IF(ISNA(VLOOKUP(A33,'Données projet'!$A$191:$I$211,6,0)),0%,VLOOKUP(A33,'Données projet'!$A$191:$I$211,6,0)*VLOOKUP('Données projet'!$B$15,Paramètres!$A$1:$I$89,7,0))</f>
        <v>0.19350000000000001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2.8653473862024765</v>
      </c>
      <c r="EW33" s="21">
        <f>EXP(-LN(2)/25)*EW32+(1-EXP(-LN(2)/25))/(LN(2)/25)*Calculateur!ER33*Calculateur!ET33*VLOOKUP('Données projet'!$B$15,Paramètres!$A$1:$I$89,3,0)*0.475*44/12</f>
        <v>13.422663269571942</v>
      </c>
      <c r="EX33" s="21">
        <f>EXP(-LN(2)/2)*EX32+(1-EXP(-LN(2)/2))/(LN(2)/2)*ER33*EU33*VLOOKUP('Données projet'!$B$15,Paramètres!$A$1:$I$89,3,0)*0.475*44/12</f>
        <v>25.641038576092303</v>
      </c>
      <c r="EY33" s="22">
        <f t="shared" si="21"/>
        <v>41.929049231866721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</v>
      </c>
      <c r="N34" s="13">
        <f>IF('Données projet'!$A$36&gt;35,N33+M34-V33,IF(A34&lt;'Données projet'!$A$36,$K$205^A34,IF(A34='Données projet'!$A$36,'Données projet'!$B$36,N33+M34-V33)))</f>
        <v>104</v>
      </c>
      <c r="O34" s="13">
        <f>N34*VLOOKUP('Données projet'!$B$9,Paramètres!$A$1:$I$89,3,0)*VLOOKUP('Données projet'!$B$9,Paramètres!$A$1:$I$89,5,0)</f>
        <v>94.099199999999996</v>
      </c>
      <c r="P34" s="13">
        <f t="shared" si="33"/>
        <v>25.551276031514817</v>
      </c>
      <c r="Q34" s="20">
        <f t="shared" si="2"/>
        <v>208.39124575488827</v>
      </c>
      <c r="R34" s="59">
        <f t="shared" si="0"/>
        <v>501.72457908822162</v>
      </c>
      <c r="S34" s="59">
        <f ca="1">AVERAGE(OFFSET($R$3,0,0,'Données projet'!$E$9+1,1))-AVERAGE(OFFSET($H$3,0,0,'Données projet'!$E$9+1,1))</f>
        <v>318.40875902853116</v>
      </c>
      <c r="T34" s="59">
        <f t="shared" si="34"/>
        <v>234.87694492493506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2.3613226225450159</v>
      </c>
      <c r="AA34" s="21">
        <f>EXP(-LN(2)/25)*AA33+(1-EXP(-LN(2)/25))/(LN(2)/25)*Calculateur!V34*Calculateur!X34*VLOOKUP('Données projet'!$B$9,Paramètres!$A$1:$I$89,3,0)*0.475*44/12</f>
        <v>10.974289138010176</v>
      </c>
      <c r="AB34" s="21">
        <f>EXP(-LN(2)/2)*AB33+(1-EXP(-LN(2)/2))/(LN(2)/2)*V34*Y34*VLOOKUP('Données projet'!$B$9,Paramètres!$A$1:$I$89,3,0)*0.475*44/12</f>
        <v>15.240510590168146</v>
      </c>
      <c r="AC34" s="22">
        <f t="shared" si="3"/>
        <v>28.576122350723338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11.5</v>
      </c>
      <c r="AI34" s="13">
        <f>IF('Données projet'!$A$62&gt;35,AI33+AH34-AQ33,IF(A34&lt;'Données projet'!$A$62,$AF$205^A34,IF(A34='Données projet'!$A$62,'Données projet'!$B$62,AI33+AH34-AQ33)))</f>
        <v>151.50000000000006</v>
      </c>
      <c r="AJ34" s="13">
        <f>AI34*VLOOKUP('Données projet'!$B$10,Paramètres!$A$1:$I$89,3,0)*VLOOKUP('Données projet'!$B$10,Paramètres!$A$1:$I$89,5,0)</f>
        <v>132.35040000000006</v>
      </c>
      <c r="AK34" s="13">
        <f t="shared" si="35"/>
        <v>34.538900082505862</v>
      </c>
      <c r="AL34" s="20">
        <f t="shared" si="4"/>
        <v>290.66553097703115</v>
      </c>
      <c r="AM34" s="59">
        <f t="shared" si="5"/>
        <v>583.99886431036452</v>
      </c>
      <c r="AN34" s="59">
        <f ca="1">AVERAGE(OFFSET($AM$3,0,0,'Données projet'!$E$10+1,1))-AVERAGE(OFFSET($H$3,0,0,'Données projet'!$E$10+1,1))</f>
        <v>243.38048563215585</v>
      </c>
      <c r="AO34" s="59">
        <f t="shared" si="36"/>
        <v>372.1604147006675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7.1653927856538431</v>
      </c>
      <c r="AV34" s="21">
        <f>EXP(-LN(2)/25)*AV33+(1-EXP(-LN(2)/25))/(LN(2)/25)*Calculateur!AQ34*Calculateur!AS34*VLOOKUP('Données projet'!$B$10,Paramètres!$A$1:$I$89,3,0)*0.475*44/12</f>
        <v>18.832961907897214</v>
      </c>
      <c r="AW34" s="21">
        <f>EXP(-LN(2)/2)*AW33+(1-EXP(-LN(2)/2))/(LN(2)/2)*AQ34*AT34*VLOOKUP('Données projet'!$B$10,Paramètres!$A$1:$I$89,3,0)*0.475*44/12</f>
        <v>20.728792307698374</v>
      </c>
      <c r="AX34" s="21">
        <f t="shared" si="6"/>
        <v>46.727147001249435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</v>
      </c>
      <c r="BD34" s="12">
        <f>IF('Données projet'!$A$88&gt;35,BD33+BC34-BL33,IF(A34&lt;'Données projet'!$A$88,$BA$205^A34,IF(A34='Données projet'!$A$88,'Données projet'!$B$88,BD33+BC34-BL33)))</f>
        <v>154.1</v>
      </c>
      <c r="BE34" s="13">
        <f>BD34*VLOOKUP('Données projet'!$B$11,Paramètres!$A$1:$I$89,3,0)*VLOOKUP('Données projet'!$B$11,Paramètres!$A$1:$I$89,5,0)</f>
        <v>103.37027999999999</v>
      </c>
      <c r="BF34" s="13">
        <f t="shared" si="37"/>
        <v>27.763364755740294</v>
      </c>
      <c r="BG34" s="20">
        <f t="shared" si="7"/>
        <v>228.39109794958097</v>
      </c>
      <c r="BH34" s="59">
        <f t="shared" si="8"/>
        <v>521.72443128291434</v>
      </c>
      <c r="BI34" s="59">
        <f ca="1">AVERAGE(OFFSET($BH$3,0,0,'Données projet'!$E$11+1,1))-AVERAGE(OFFSET($H$3,0,0,'Données projet'!$E$11+1,1))</f>
        <v>207.93042467236967</v>
      </c>
      <c r="BJ34" s="59">
        <f t="shared" si="38"/>
        <v>250.70954318710835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2.6972004093725404</v>
      </c>
      <c r="BQ34" s="21">
        <f>EXP(-LN(2)/25)*BQ33+(1-EXP(-LN(2)/25))/(LN(2)/25)*Calculateur!BL34*Calculateur!BN34*VLOOKUP('Données projet'!$B$11,Paramètres!$A$1:$I$89,3,0)*0.475*44/12</f>
        <v>16.827749092077685</v>
      </c>
      <c r="BR34" s="21">
        <f>EXP(-LN(2)/2)*BR33+(1-EXP(-LN(2)/2))/(LN(2)/2)*BL34*BO34*VLOOKUP('Données projet'!$B$11,Paramètres!$A$1:$I$89,3,0)*0.475*44/12</f>
        <v>14.331785445723838</v>
      </c>
      <c r="BS34" s="22">
        <f t="shared" si="9"/>
        <v>33.856734947174061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11.5</v>
      </c>
      <c r="BY34" s="12">
        <f>IF('Données projet'!$A$114&gt;35,BY33+BX34-CG33,IF(A34&lt;'Données projet'!$A$114,$BV$205^A34,IF(A34='Données projet'!$A$114,'Données projet'!$B$114,BY33+BX34-CG33)))</f>
        <v>166.50000000000006</v>
      </c>
      <c r="BZ34" s="13">
        <f>BY34*VLOOKUP('Données projet'!$B$12,Paramètres!$A$1:$I$89,3,0)*VLOOKUP('Données projet'!$B$12,Paramètres!$A$1:$I$89,5,0)</f>
        <v>129.87000000000006</v>
      </c>
      <c r="CA34" s="13">
        <f t="shared" si="39"/>
        <v>33.966318400312318</v>
      </c>
      <c r="CB34" s="20">
        <f t="shared" si="10"/>
        <v>285.34825454721073</v>
      </c>
      <c r="CC34" s="59">
        <f t="shared" si="11"/>
        <v>578.68158788054404</v>
      </c>
      <c r="CD34" s="59">
        <f ca="1">AVERAGE(OFFSET($CC$3,0,0,'Données projet'!$E$12+1,1))-AVERAGE(OFFSET($H$3,0,0,'Données projet'!$E$12+1,1))</f>
        <v>266.30229009596883</v>
      </c>
      <c r="CE34" s="59">
        <f t="shared" si="40"/>
        <v>270.19195828386046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1.4176659833629255</v>
      </c>
      <c r="CL34" s="21">
        <f>EXP(-LN(2)/25)*CL33+(1-EXP(-LN(2)/25))/(LN(2)/25)*Calculateur!CG34*Calculateur!CI34*VLOOKUP('Données projet'!$B$12,Paramètres!$A$1:$I$89,3,0)*0.475*44/12</f>
        <v>8.1418246829338994</v>
      </c>
      <c r="CM34" s="21">
        <f>EXP(-LN(2)/2)*CM33+(1-EXP(-LN(2)/2))/(LN(2)/2)*CG34*CJ34*VLOOKUP('Données projet'!$B$12,Paramètres!$A$1:$I$89,3,0)*0.475*44/12</f>
        <v>9.2427197309351055</v>
      </c>
      <c r="CN34" s="22">
        <f t="shared" si="12"/>
        <v>18.802210397231931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12.1</v>
      </c>
      <c r="CT34" s="12">
        <f>IF('Données projet'!$A$140&gt;35,CT33+CS34-DB33,IF(A34&lt;'Données projet'!$A$140,$CQ$205^A34,IF(A34='Données projet'!$A$140,'Données projet'!$B$140,CT33+CS34-DB33)))</f>
        <v>154.1</v>
      </c>
      <c r="CU34" s="17">
        <f>CT34*VLOOKUP('Données projet'!$B$13,Paramètres!$A$1:$I$89,3,0)*VLOOKUP('Données projet'!$B$13,Paramètres!$A$1:$I$89,5,0)</f>
        <v>122.60195999999999</v>
      </c>
      <c r="CV34" s="13">
        <f t="shared" si="41"/>
        <v>32.281104011674643</v>
      </c>
      <c r="CW34" s="20">
        <f t="shared" si="13"/>
        <v>269.75466982033333</v>
      </c>
      <c r="CX34" s="59">
        <f t="shared" si="14"/>
        <v>563.0880031536667</v>
      </c>
      <c r="CY34" s="59">
        <f ca="1">AVERAGE(OFFSET($CX$3,0,0,'Données projet'!$E$13+1,1))-AVERAGE(OFFSET($H$3,0,0,'Données projet'!$E$13+1,1))</f>
        <v>260.20517190557814</v>
      </c>
      <c r="CZ34" s="59">
        <f t="shared" si="42"/>
        <v>307.22009971147133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3.1990051366976644</v>
      </c>
      <c r="DG34" s="21">
        <f>EXP(-LN(2)/25)*DG33+(1-EXP(-LN(2)/25))/(LN(2)/25)*Calculateur!DB34*Calculateur!DD34*VLOOKUP('Données projet'!$B$13,Paramètres!$A$1:$I$89,3,0)*0.475*44/12</f>
        <v>19.958493109208415</v>
      </c>
      <c r="DH34" s="21">
        <f>EXP(-LN(2)/2)*DH33+(1-EXP(-LN(2)/2))/(LN(2)/2)*DB34*DE34*VLOOKUP('Données projet'!$B$13,Paramètres!$A$1:$I$89,3,0)*0.475*44/12</f>
        <v>16.998164133300367</v>
      </c>
      <c r="DI34" s="22">
        <f t="shared" si="15"/>
        <v>40.155662379206447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</v>
      </c>
      <c r="DO34" s="12">
        <f>IF('Données projet'!$A$166&gt;35,DO33+DN34-DW33,IF(A34&lt;'Données projet'!$A$166,$DL$205^A34,IF(A34='Données projet'!$A$166,'Données projet'!$B$166,DO33+DN34-DW33)))</f>
        <v>104</v>
      </c>
      <c r="DP34" s="17">
        <f>DO34*VLOOKUP('Données projet'!$B$14,Paramètres!$A$1:$I$89,3,0)*VLOOKUP('Données projet'!$B$14,Paramètres!$A$1:$I$89,5,0)</f>
        <v>100.58880000000001</v>
      </c>
      <c r="DQ34" s="13">
        <f t="shared" si="43"/>
        <v>27.102223064855139</v>
      </c>
      <c r="DR34" s="20">
        <f t="shared" si="16"/>
        <v>222.3951985046227</v>
      </c>
      <c r="DS34" s="59">
        <f t="shared" si="17"/>
        <v>515.72853183795598</v>
      </c>
      <c r="DT34" s="59">
        <f ca="1">AVERAGE(OFFSET($DS$3,0,0,'Données projet'!$E$14+1,1))-AVERAGE(OFFSET($H$3,0,0,'Données projet'!$E$14+1,1))</f>
        <v>347.8889410585312</v>
      </c>
      <c r="DU34" s="59">
        <f t="shared" si="44"/>
        <v>254.78167322479203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2.5241724585826035</v>
      </c>
      <c r="EB34" s="21">
        <f>EXP(-LN(2)/25)*EB33+(1-EXP(-LN(2)/25))/(LN(2)/25)*Calculateur!DW34*Calculateur!DY34*VLOOKUP('Données projet'!$B$14,Paramètres!$A$1:$I$89,3,0)*0.475*44/12</f>
        <v>11.731136664769499</v>
      </c>
      <c r="EC34" s="21">
        <f>EXP(-LN(2)/2)*EC33+(1-EXP(-LN(2)/2))/(LN(2)/2)*DW34*DZ34*VLOOKUP('Données projet'!$B$14,Paramètres!$A$1:$I$89,3,0)*0.475*44/12</f>
        <v>16.291580286041814</v>
      </c>
      <c r="ED34" s="22">
        <f t="shared" si="18"/>
        <v>30.546889409393916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11</v>
      </c>
      <c r="EJ34" s="12">
        <f>IF('Données projet'!$A$192&gt;35,EJ33+EI34-ER33,IF(A34&lt;'Données projet'!$A$192,$EG$205^A34,IF(A34='Données projet'!$A$192,'Données projet'!$B$192,EJ33+EI34-ER33)))</f>
        <v>104</v>
      </c>
      <c r="EK34" s="17">
        <f>EJ34*VLOOKUP('Données projet'!$B$15,Paramètres!$A$1:$I$89,3,0)*VLOOKUP('Données projet'!$B$15,Paramètres!$A$1:$I$89,5,0)</f>
        <v>111.94559999999998</v>
      </c>
      <c r="EL34" s="13">
        <f t="shared" si="45"/>
        <v>29.788914309703763</v>
      </c>
      <c r="EM34" s="20">
        <f t="shared" si="19"/>
        <v>246.85427908940071</v>
      </c>
      <c r="EN34" s="59">
        <f t="shared" si="20"/>
        <v>540.18761242273399</v>
      </c>
      <c r="EO34" s="59">
        <f ca="1">AVERAGE(OFFSET($EN$3,0,0,'Données projet'!$E$15+1,1))-AVERAGE(OFFSET($H$3,0,0,'Données projet'!$E$15+1,1))</f>
        <v>399.38728019348088</v>
      </c>
      <c r="EP34" s="59">
        <f t="shared" si="46"/>
        <v>289.54922160039791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2.8091596716483815</v>
      </c>
      <c r="EW34" s="21">
        <f>EXP(-LN(2)/25)*EW33+(1-EXP(-LN(2)/25))/(LN(2)/25)*Calculateur!ER34*Calculateur!ET34*VLOOKUP('Données projet'!$B$15,Paramètres!$A$1:$I$89,3,0)*0.475*44/12</f>
        <v>13.055619836598314</v>
      </c>
      <c r="EX34" s="21">
        <f>EXP(-LN(2)/2)*EX33+(1-EXP(-LN(2)/2))/(LN(2)/2)*ER34*EU34*VLOOKUP('Données projet'!$B$15,Paramètres!$A$1:$I$89,3,0)*0.475*44/12</f>
        <v>18.130952253820727</v>
      </c>
      <c r="EY34" s="22">
        <f t="shared" si="21"/>
        <v>33.995731762067422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</v>
      </c>
      <c r="N35" s="13">
        <f>IF('Données projet'!$A$36&gt;35,N34+M35-V34,IF(A35&lt;'Données projet'!$A$36,$K$205^A35,IF(A35='Données projet'!$A$36,'Données projet'!$B$36,N34+M35-V34)))</f>
        <v>115</v>
      </c>
      <c r="O35" s="13">
        <f>N35*VLOOKUP('Données projet'!$B$9,Paramètres!$A$1:$I$89,3,0)*VLOOKUP('Données projet'!$B$9,Paramètres!$A$1:$I$89,5,0)</f>
        <v>104.05199999999999</v>
      </c>
      <c r="P35" s="13">
        <f t="shared" si="33"/>
        <v>27.925087771564417</v>
      </c>
      <c r="Q35" s="20">
        <f t="shared" ref="Q35:Q66" si="53">(O35+P35)*0.475*44/12</f>
        <v>229.86009453547467</v>
      </c>
      <c r="R35" s="59">
        <f t="shared" si="0"/>
        <v>523.19342786880793</v>
      </c>
      <c r="S35" s="59">
        <f ca="1">AVERAGE(OFFSET($R$3,0,0,'Données projet'!$E$9+1,1))-AVERAGE(OFFSET($H$3,0,0,'Données projet'!$E$9+1,1))</f>
        <v>318.40875902853116</v>
      </c>
      <c r="T35" s="59">
        <f t="shared" si="34"/>
        <v>234.87694492493506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2.3150185261814937</v>
      </c>
      <c r="AA35" s="21">
        <f>EXP(-LN(2)/25)*AA34+(1-EXP(-LN(2)/25))/(LN(2)/25)*Calculateur!V35*Calculateur!X35*VLOOKUP('Données projet'!$B$9,Paramètres!$A$1:$I$89,3,0)*0.475*44/12</f>
        <v>10.674196624418505</v>
      </c>
      <c r="AB35" s="21">
        <f>EXP(-LN(2)/2)*AB34+(1-EXP(-LN(2)/2))/(LN(2)/2)*V35*Y35*VLOOKUP('Données projet'!$B$9,Paramètres!$A$1:$I$89,3,0)*0.475*44/12</f>
        <v>10.776668387053288</v>
      </c>
      <c r="AC35" s="22">
        <f t="shared" si="3"/>
        <v>23.765883537653288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11.5</v>
      </c>
      <c r="AI35" s="13">
        <f>IF('Données projet'!$A$62&gt;35,AI34+AH35-AQ34,IF(A35&lt;'Données projet'!$A$62,$AF$205^A35,IF(A35='Données projet'!$A$62,'Données projet'!$B$62,AI34+AH35-AQ34)))</f>
        <v>163.00000000000006</v>
      </c>
      <c r="AJ35" s="13">
        <f>AI35*VLOOKUP('Données projet'!$B$10,Paramètres!$A$1:$I$89,3,0)*VLOOKUP('Données projet'!$B$10,Paramètres!$A$1:$I$89,5,0)</f>
        <v>142.39680000000007</v>
      </c>
      <c r="AK35" s="13">
        <f t="shared" si="35"/>
        <v>36.845535084476985</v>
      </c>
      <c r="AL35" s="20">
        <f t="shared" si="4"/>
        <v>312.18040027213084</v>
      </c>
      <c r="AM35" s="59">
        <f t="shared" si="5"/>
        <v>605.51373360546415</v>
      </c>
      <c r="AN35" s="59">
        <f ca="1">AVERAGE(OFFSET($AM$3,0,0,'Données projet'!$E$10+1,1))-AVERAGE(OFFSET($H$3,0,0,'Données projet'!$E$10+1,1))</f>
        <v>243.38048563215585</v>
      </c>
      <c r="AO35" s="59">
        <f t="shared" si="36"/>
        <v>372.1604147006675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7.0248838035852232</v>
      </c>
      <c r="AV35" s="21">
        <f>EXP(-LN(2)/25)*AV34+(1-EXP(-LN(2)/25))/(LN(2)/25)*Calculateur!AQ35*Calculateur!AS35*VLOOKUP('Données projet'!$B$10,Paramètres!$A$1:$I$89,3,0)*0.475*44/12</f>
        <v>18.317973574143341</v>
      </c>
      <c r="AW35" s="21">
        <f>EXP(-LN(2)/2)*AW34+(1-EXP(-LN(2)/2))/(LN(2)/2)*AQ35*AT35*VLOOKUP('Données projet'!$B$10,Paramètres!$A$1:$I$89,3,0)*0.475*44/12</f>
        <v>14.657469606581065</v>
      </c>
      <c r="AX35" s="21">
        <f t="shared" si="6"/>
        <v>40.000326984309631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</v>
      </c>
      <c r="BD35" s="12">
        <f>IF('Données projet'!$A$88&gt;35,BD34+BC35-BL34,IF(A35&lt;'Données projet'!$A$88,$BA$205^A35,IF(A35='Données projet'!$A$88,'Données projet'!$B$88,BD34+BC35-BL34)))</f>
        <v>166.2</v>
      </c>
      <c r="BE35" s="13">
        <f>BD35*VLOOKUP('Données projet'!$B$11,Paramètres!$A$1:$I$89,3,0)*VLOOKUP('Données projet'!$B$11,Paramètres!$A$1:$I$89,5,0)</f>
        <v>111.48696</v>
      </c>
      <c r="BF35" s="13">
        <f t="shared" si="37"/>
        <v>29.681049698142655</v>
      </c>
      <c r="BG35" s="20">
        <f t="shared" si="7"/>
        <v>245.86761689093177</v>
      </c>
      <c r="BH35" s="59">
        <f t="shared" si="8"/>
        <v>539.20095022426506</v>
      </c>
      <c r="BI35" s="59">
        <f ca="1">AVERAGE(OFFSET($BH$3,0,0,'Données projet'!$E$11+1,1))-AVERAGE(OFFSET($H$3,0,0,'Données projet'!$E$11+1,1))</f>
        <v>207.93042467236967</v>
      </c>
      <c r="BJ35" s="59">
        <f t="shared" si="38"/>
        <v>250.70954318710835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2.6443099544745516</v>
      </c>
      <c r="BQ35" s="21">
        <f>EXP(-LN(2)/25)*BQ34+(1-EXP(-LN(2)/25))/(LN(2)/25)*Calculateur!BL35*Calculateur!BN35*VLOOKUP('Données projet'!$B$11,Paramètres!$A$1:$I$89,3,0)*0.475*44/12</f>
        <v>16.367593408221957</v>
      </c>
      <c r="BR35" s="21">
        <f>EXP(-LN(2)/2)*BR34+(1-EXP(-LN(2)/2))/(LN(2)/2)*BL35*BO35*VLOOKUP('Données projet'!$B$11,Paramètres!$A$1:$I$89,3,0)*0.475*44/12</f>
        <v>10.134102675181992</v>
      </c>
      <c r="BS35" s="22">
        <f t="shared" si="9"/>
        <v>29.1460060378785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11.5</v>
      </c>
      <c r="BY35" s="12">
        <f>IF('Données projet'!$A$114&gt;35,BY34+BX35-CG34,IF(A35&lt;'Données projet'!$A$114,$BV$205^A35,IF(A35='Données projet'!$A$114,'Données projet'!$B$114,BY34+BX35-CG34)))</f>
        <v>178.00000000000006</v>
      </c>
      <c r="BZ35" s="13">
        <f>BY35*VLOOKUP('Données projet'!$B$12,Paramètres!$A$1:$I$89,3,0)*VLOOKUP('Données projet'!$B$12,Paramètres!$A$1:$I$89,5,0)</f>
        <v>138.84000000000006</v>
      </c>
      <c r="CA35" s="13">
        <f t="shared" si="39"/>
        <v>36.031137240112955</v>
      </c>
      <c r="CB35" s="20">
        <f t="shared" si="10"/>
        <v>304.56723069319679</v>
      </c>
      <c r="CC35" s="59">
        <f t="shared" si="11"/>
        <v>597.90056402653011</v>
      </c>
      <c r="CD35" s="59">
        <f ca="1">AVERAGE(OFFSET($CC$3,0,0,'Données projet'!$E$12+1,1))-AVERAGE(OFFSET($H$3,0,0,'Données projet'!$E$12+1,1))</f>
        <v>266.30229009596883</v>
      </c>
      <c r="CE35" s="59">
        <f t="shared" si="40"/>
        <v>270.19195828386046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1.3898664181200473</v>
      </c>
      <c r="CL35" s="21">
        <f>EXP(-LN(2)/25)*CL34+(1-EXP(-LN(2)/25))/(LN(2)/25)*Calculateur!CG35*Calculateur!CI35*VLOOKUP('Données projet'!$B$12,Paramètres!$A$1:$I$89,3,0)*0.475*44/12</f>
        <v>7.9191860588191201</v>
      </c>
      <c r="CM35" s="21">
        <f>EXP(-LN(2)/2)*CM34+(1-EXP(-LN(2)/2))/(LN(2)/2)*CG35*CJ35*VLOOKUP('Données projet'!$B$12,Paramètres!$A$1:$I$89,3,0)*0.475*44/12</f>
        <v>6.5355897983509159</v>
      </c>
      <c r="CN35" s="22">
        <f t="shared" si="12"/>
        <v>15.844642275290083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12.1</v>
      </c>
      <c r="CT35" s="12">
        <f>IF('Données projet'!$A$140&gt;35,CT34+CS35-DB34,IF(A35&lt;'Données projet'!$A$140,$CQ$205^A35,IF(A35='Données projet'!$A$140,'Données projet'!$B$140,CT34+CS35-DB34)))</f>
        <v>166.2</v>
      </c>
      <c r="CU35" s="17">
        <f>CT35*VLOOKUP('Données projet'!$B$13,Paramètres!$A$1:$I$89,3,0)*VLOOKUP('Données projet'!$B$13,Paramètres!$A$1:$I$89,5,0)</f>
        <v>132.22872000000001</v>
      </c>
      <c r="CV35" s="13">
        <f t="shared" si="41"/>
        <v>34.510840487492601</v>
      </c>
      <c r="CW35" s="20">
        <f t="shared" si="13"/>
        <v>290.40473451571626</v>
      </c>
      <c r="CX35" s="59">
        <f t="shared" si="14"/>
        <v>583.73806784904957</v>
      </c>
      <c r="CY35" s="59">
        <f ca="1">AVERAGE(OFFSET($CX$3,0,0,'Données projet'!$E$13+1,1))-AVERAGE(OFFSET($H$3,0,0,'Données projet'!$E$13+1,1))</f>
        <v>260.20517190557814</v>
      </c>
      <c r="CZ35" s="59">
        <f t="shared" si="42"/>
        <v>307.22009971147133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3.1362745971674917</v>
      </c>
      <c r="DG35" s="21">
        <f>EXP(-LN(2)/25)*DG34+(1-EXP(-LN(2)/25))/(LN(2)/25)*Calculateur!DB35*Calculateur!DD35*VLOOKUP('Données projet'!$B$13,Paramètres!$A$1:$I$89,3,0)*0.475*44/12</f>
        <v>19.412727065565573</v>
      </c>
      <c r="DH35" s="21">
        <f>EXP(-LN(2)/2)*DH34+(1-EXP(-LN(2)/2))/(LN(2)/2)*DB35*DE35*VLOOKUP('Données projet'!$B$13,Paramètres!$A$1:$I$89,3,0)*0.475*44/12</f>
        <v>12.019517126378643</v>
      </c>
      <c r="DI35" s="22">
        <f t="shared" si="15"/>
        <v>34.568518789111707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</v>
      </c>
      <c r="DO35" s="12">
        <f>IF('Données projet'!$A$166&gt;35,DO34+DN35-DW34,IF(A35&lt;'Données projet'!$A$166,$DL$205^A35,IF(A35='Données projet'!$A$166,'Données projet'!$B$166,DO34+DN35-DW34)))</f>
        <v>115</v>
      </c>
      <c r="DP35" s="17">
        <f>DO35*VLOOKUP('Données projet'!$B$14,Paramètres!$A$1:$I$89,3,0)*VLOOKUP('Données projet'!$B$14,Paramètres!$A$1:$I$89,5,0)</f>
        <v>111.22799999999999</v>
      </c>
      <c r="DQ35" s="13">
        <f t="shared" si="43"/>
        <v>29.620123744783829</v>
      </c>
      <c r="DR35" s="20">
        <f t="shared" si="16"/>
        <v>245.3104821888318</v>
      </c>
      <c r="DS35" s="59">
        <f t="shared" si="17"/>
        <v>538.64381552216514</v>
      </c>
      <c r="DT35" s="59">
        <f ca="1">AVERAGE(OFFSET($DS$3,0,0,'Données projet'!$E$14+1,1))-AVERAGE(OFFSET($H$3,0,0,'Données projet'!$E$14+1,1))</f>
        <v>347.8889410585312</v>
      </c>
      <c r="DU35" s="59">
        <f t="shared" si="44"/>
        <v>254.78167322479203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2.4746749762629761</v>
      </c>
      <c r="EB35" s="21">
        <f>EXP(-LN(2)/25)*EB34+(1-EXP(-LN(2)/25))/(LN(2)/25)*Calculateur!DW35*Calculateur!DY35*VLOOKUP('Données projet'!$B$14,Paramètres!$A$1:$I$89,3,0)*0.475*44/12</f>
        <v>11.410348115757712</v>
      </c>
      <c r="EC35" s="21">
        <f>EXP(-LN(2)/2)*EC34+(1-EXP(-LN(2)/2))/(LN(2)/2)*DW35*DZ35*VLOOKUP('Données projet'!$B$14,Paramètres!$A$1:$I$89,3,0)*0.475*44/12</f>
        <v>11.519886896505241</v>
      </c>
      <c r="ED35" s="22">
        <f t="shared" si="18"/>
        <v>25.40490998852593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</v>
      </c>
      <c r="EJ35" s="12">
        <f>IF('Données projet'!$A$192&gt;35,EJ34+EI35-ER34,IF(A35&lt;'Données projet'!$A$192,$EG$205^A35,IF(A35='Données projet'!$A$192,'Données projet'!$B$192,EJ34+EI35-ER34)))</f>
        <v>115</v>
      </c>
      <c r="EK35" s="17">
        <f>EJ35*VLOOKUP('Données projet'!$B$15,Paramètres!$A$1:$I$89,3,0)*VLOOKUP('Données projet'!$B$15,Paramètres!$A$1:$I$89,5,0)</f>
        <v>123.786</v>
      </c>
      <c r="EL35" s="13">
        <f t="shared" si="45"/>
        <v>32.556418931566412</v>
      </c>
      <c r="EM35" s="20">
        <f t="shared" si="19"/>
        <v>272.29637963914485</v>
      </c>
      <c r="EN35" s="59">
        <f t="shared" si="20"/>
        <v>565.62971297247816</v>
      </c>
      <c r="EO35" s="59">
        <f ca="1">AVERAGE(OFFSET($EN$3,0,0,'Données projet'!$E$15+1,1))-AVERAGE(OFFSET($H$3,0,0,'Données projet'!$E$15+1,1))</f>
        <v>399.38728019348088</v>
      </c>
      <c r="EP35" s="59">
        <f t="shared" si="46"/>
        <v>289.54922160039791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2.7540737639055703</v>
      </c>
      <c r="EW35" s="21">
        <f>EXP(-LN(2)/25)*EW34+(1-EXP(-LN(2)/25))/(LN(2)/25)*Calculateur!ER35*Calculateur!ET35*VLOOKUP('Données projet'!$B$15,Paramètres!$A$1:$I$89,3,0)*0.475*44/12</f>
        <v>12.698613225601326</v>
      </c>
      <c r="EX35" s="21">
        <f>EXP(-LN(2)/2)*EX34+(1-EXP(-LN(2)/2))/(LN(2)/2)*ER35*EU35*VLOOKUP('Données projet'!$B$15,Paramètres!$A$1:$I$89,3,0)*0.475*44/12</f>
        <v>12.820519288046155</v>
      </c>
      <c r="EY35" s="22">
        <f t="shared" si="21"/>
        <v>28.273206277553051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</v>
      </c>
      <c r="N36" s="13">
        <f>IF('Données projet'!$A$36&gt;35,N35+M36-V35,IF(A36&lt;'Données projet'!$A$36,$K$205^A36,IF(A36='Données projet'!$A$36,'Données projet'!$B$36,N35+M36-V35)))</f>
        <v>126</v>
      </c>
      <c r="O36" s="13">
        <f>N36*VLOOKUP('Données projet'!$B$9,Paramètres!$A$1:$I$89,3,0)*VLOOKUP('Données projet'!$B$9,Paramètres!$A$1:$I$89,5,0)</f>
        <v>114.0048</v>
      </c>
      <c r="P36" s="13">
        <f t="shared" si="33"/>
        <v>30.272573949217303</v>
      </c>
      <c r="Q36" s="20">
        <f t="shared" si="53"/>
        <v>251.28309296155342</v>
      </c>
      <c r="R36" s="59">
        <f t="shared" si="0"/>
        <v>544.61642629488676</v>
      </c>
      <c r="S36" s="59">
        <f ca="1">AVERAGE(OFFSET($R$3,0,0,'Données projet'!$E$9+1,1))-AVERAGE(OFFSET($H$3,0,0,'Données projet'!$E$9+1,1))</f>
        <v>318.40875902853116</v>
      </c>
      <c r="T36" s="59">
        <f t="shared" si="34"/>
        <v>234.87694492493506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2.2696224249049499</v>
      </c>
      <c r="AA36" s="21">
        <f>EXP(-LN(2)/25)*AA35+(1-EXP(-LN(2)/25))/(LN(2)/25)*Calculateur!V36*Calculateur!X36*VLOOKUP('Données projet'!$B$9,Paramètres!$A$1:$I$89,3,0)*0.475*44/12</f>
        <v>10.382310156392176</v>
      </c>
      <c r="AB36" s="21">
        <f>EXP(-LN(2)/2)*AB35+(1-EXP(-LN(2)/2))/(LN(2)/2)*V36*Y36*VLOOKUP('Données projet'!$B$9,Paramètres!$A$1:$I$89,3,0)*0.475*44/12</f>
        <v>7.6202552950840738</v>
      </c>
      <c r="AC36" s="22">
        <f t="shared" si="3"/>
        <v>20.272187876381199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11.5</v>
      </c>
      <c r="AI36" s="13">
        <f>IF('Données projet'!$A$62&gt;35,AI35+AH36-AQ35,IF(A36&lt;'Données projet'!$A$62,$AF$205^A36,IF(A36='Données projet'!$A$62,'Données projet'!$B$62,AI35+AH36-AQ35)))</f>
        <v>174.50000000000006</v>
      </c>
      <c r="AJ36" s="13">
        <f>AI36*VLOOKUP('Données projet'!$B$10,Paramètres!$A$1:$I$89,3,0)*VLOOKUP('Données projet'!$B$10,Paramètres!$A$1:$I$89,5,0)</f>
        <v>152.44320000000008</v>
      </c>
      <c r="AK36" s="13">
        <f t="shared" si="35"/>
        <v>39.133288418096313</v>
      </c>
      <c r="AL36" s="20">
        <f t="shared" si="4"/>
        <v>333.66238399485127</v>
      </c>
      <c r="AM36" s="59">
        <f t="shared" si="5"/>
        <v>626.99571732818458</v>
      </c>
      <c r="AN36" s="59">
        <f ca="1">AVERAGE(OFFSET($AM$3,0,0,'Données projet'!$E$10+1,1))-AVERAGE(OFFSET($H$3,0,0,'Données projet'!$E$10+1,1))</f>
        <v>243.38048563215585</v>
      </c>
      <c r="AO36" s="59">
        <f t="shared" si="36"/>
        <v>372.1604147006675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6.8871301169529531</v>
      </c>
      <c r="AV36" s="21">
        <f>EXP(-LN(2)/25)*AV35+(1-EXP(-LN(2)/25))/(LN(2)/25)*Calculateur!AQ36*Calculateur!AS36*VLOOKUP('Données projet'!$B$10,Paramètres!$A$1:$I$89,3,0)*0.475*44/12</f>
        <v>17.817067623458026</v>
      </c>
      <c r="AW36" s="21">
        <f>EXP(-LN(2)/2)*AW35+(1-EXP(-LN(2)/2))/(LN(2)/2)*AQ36*AT36*VLOOKUP('Données projet'!$B$10,Paramètres!$A$1:$I$89,3,0)*0.475*44/12</f>
        <v>10.364396153849189</v>
      </c>
      <c r="AX36" s="21">
        <f t="shared" si="6"/>
        <v>35.068593894260168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</v>
      </c>
      <c r="BD36" s="12">
        <f>IF('Données projet'!$A$88&gt;35,BD35+BC36-BL35,IF(A36&lt;'Données projet'!$A$88,$BA$205^A36,IF(A36='Données projet'!$A$88,'Données projet'!$B$88,BD35+BC36-BL35)))</f>
        <v>178.29999999999998</v>
      </c>
      <c r="BE36" s="13">
        <f>BD36*VLOOKUP('Données projet'!$B$11,Paramètres!$A$1:$I$89,3,0)*VLOOKUP('Données projet'!$B$11,Paramètres!$A$1:$I$89,5,0)</f>
        <v>119.60364</v>
      </c>
      <c r="BF36" s="13">
        <f t="shared" si="37"/>
        <v>31.58253704018756</v>
      </c>
      <c r="BG36" s="20">
        <f t="shared" si="7"/>
        <v>263.31592501165994</v>
      </c>
      <c r="BH36" s="59">
        <f t="shared" si="8"/>
        <v>556.64925834499331</v>
      </c>
      <c r="BI36" s="59">
        <f ca="1">AVERAGE(OFFSET($BH$3,0,0,'Données projet'!$E$11+1,1))-AVERAGE(OFFSET($H$3,0,0,'Données projet'!$E$11+1,1))</f>
        <v>207.93042467236967</v>
      </c>
      <c r="BJ36" s="59">
        <f t="shared" si="38"/>
        <v>250.70954318710835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2.5924566491371204</v>
      </c>
      <c r="BQ36" s="21">
        <f>EXP(-LN(2)/25)*BQ35+(1-EXP(-LN(2)/25))/(LN(2)/25)*Calculateur!BL36*Calculateur!BN36*VLOOKUP('Données projet'!$B$11,Paramètres!$A$1:$I$89,3,0)*0.475*44/12</f>
        <v>15.920020705739798</v>
      </c>
      <c r="BR36" s="21">
        <f>EXP(-LN(2)/2)*BR35+(1-EXP(-LN(2)/2))/(LN(2)/2)*BL36*BO36*VLOOKUP('Données projet'!$B$11,Paramètres!$A$1:$I$89,3,0)*0.475*44/12</f>
        <v>7.1658927228619191</v>
      </c>
      <c r="BS36" s="22">
        <f t="shared" si="9"/>
        <v>25.678370077738837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11.5</v>
      </c>
      <c r="BY36" s="12">
        <f>IF('Données projet'!$A$114&gt;35,BY35+BX36-CG35,IF(A36&lt;'Données projet'!$A$114,$BV$205^A36,IF(A36='Données projet'!$A$114,'Données projet'!$B$114,BY35+BX36-CG35)))</f>
        <v>189.50000000000006</v>
      </c>
      <c r="BZ36" s="13">
        <f>BY36*VLOOKUP('Données projet'!$B$12,Paramètres!$A$1:$I$89,3,0)*VLOOKUP('Données projet'!$B$12,Paramètres!$A$1:$I$89,5,0)</f>
        <v>147.81000000000006</v>
      </c>
      <c r="CA36" s="13">
        <f t="shared" si="39"/>
        <v>38.080475053580983</v>
      </c>
      <c r="CB36" s="20">
        <f t="shared" si="10"/>
        <v>323.75924405165364</v>
      </c>
      <c r="CC36" s="59">
        <f t="shared" si="11"/>
        <v>617.09257738498695</v>
      </c>
      <c r="CD36" s="59">
        <f ca="1">AVERAGE(OFFSET($CC$3,0,0,'Données projet'!$E$12+1,1))-AVERAGE(OFFSET($H$3,0,0,'Données projet'!$E$12+1,1))</f>
        <v>266.30229009596883</v>
      </c>
      <c r="CE36" s="59">
        <f t="shared" si="40"/>
        <v>270.19195828386046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1.3626119853955214</v>
      </c>
      <c r="CL36" s="21">
        <f>EXP(-LN(2)/25)*CL35+(1-EXP(-LN(2)/25))/(LN(2)/25)*Calculateur!CG36*Calculateur!CI36*VLOOKUP('Données projet'!$B$12,Paramètres!$A$1:$I$89,3,0)*0.475*44/12</f>
        <v>7.7026354995888155</v>
      </c>
      <c r="CM36" s="21">
        <f>EXP(-LN(2)/2)*CM35+(1-EXP(-LN(2)/2))/(LN(2)/2)*CG36*CJ36*VLOOKUP('Données projet'!$B$12,Paramètres!$A$1:$I$89,3,0)*0.475*44/12</f>
        <v>4.6213598654675536</v>
      </c>
      <c r="CN36" s="22">
        <f t="shared" si="12"/>
        <v>13.68660735045189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12.1</v>
      </c>
      <c r="CT36" s="12">
        <f>IF('Données projet'!$A$140&gt;35,CT35+CS36-DB35,IF(A36&lt;'Données projet'!$A$140,$CQ$205^A36,IF(A36='Données projet'!$A$140,'Données projet'!$B$140,CT35+CS36-DB35)))</f>
        <v>178.29999999999998</v>
      </c>
      <c r="CU36" s="17">
        <f>CT36*VLOOKUP('Données projet'!$B$13,Paramètres!$A$1:$I$89,3,0)*VLOOKUP('Données projet'!$B$13,Paramètres!$A$1:$I$89,5,0)</f>
        <v>141.85548</v>
      </c>
      <c r="CV36" s="13">
        <f t="shared" si="41"/>
        <v>36.721743640099248</v>
      </c>
      <c r="CW36" s="20">
        <f t="shared" si="13"/>
        <v>311.02199783983951</v>
      </c>
      <c r="CX36" s="59">
        <f t="shared" si="14"/>
        <v>604.35533117317277</v>
      </c>
      <c r="CY36" s="59">
        <f ca="1">AVERAGE(OFFSET($CX$3,0,0,'Données projet'!$E$13+1,1))-AVERAGE(OFFSET($H$3,0,0,'Données projet'!$E$13+1,1))</f>
        <v>260.20517190557814</v>
      </c>
      <c r="CZ36" s="59">
        <f t="shared" si="42"/>
        <v>307.22009971147133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3.0747741652556546</v>
      </c>
      <c r="DG36" s="21">
        <f>EXP(-LN(2)/25)*DG35+(1-EXP(-LN(2)/25))/(LN(2)/25)*Calculateur!DB36*Calculateur!DD36*VLOOKUP('Données projet'!$B$13,Paramètres!$A$1:$I$89,3,0)*0.475*44/12</f>
        <v>18.881885023086735</v>
      </c>
      <c r="DH36" s="21">
        <f>EXP(-LN(2)/2)*DH35+(1-EXP(-LN(2)/2))/(LN(2)/2)*DB36*DE36*VLOOKUP('Données projet'!$B$13,Paramètres!$A$1:$I$89,3,0)*0.475*44/12</f>
        <v>8.4990820666501836</v>
      </c>
      <c r="DI36" s="22">
        <f t="shared" si="15"/>
        <v>30.455741254992574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</v>
      </c>
      <c r="DO36" s="12">
        <f>IF('Données projet'!$A$166&gt;35,DO35+DN36-DW35,IF(A36&lt;'Données projet'!$A$166,$DL$205^A36,IF(A36='Données projet'!$A$166,'Données projet'!$B$166,DO35+DN36-DW35)))</f>
        <v>126</v>
      </c>
      <c r="DP36" s="17">
        <f>DO36*VLOOKUP('Données projet'!$B$14,Paramètres!$A$1:$I$89,3,0)*VLOOKUP('Données projet'!$B$14,Paramètres!$A$1:$I$89,5,0)</f>
        <v>121.86720000000001</v>
      </c>
      <c r="DQ36" s="13">
        <f t="shared" si="43"/>
        <v>32.110100916567376</v>
      </c>
      <c r="DR36" s="20">
        <f t="shared" si="16"/>
        <v>268.17713242968824</v>
      </c>
      <c r="DS36" s="59">
        <f t="shared" si="17"/>
        <v>561.51046576302156</v>
      </c>
      <c r="DT36" s="59">
        <f ca="1">AVERAGE(OFFSET($DS$3,0,0,'Données projet'!$E$14+1,1))-AVERAGE(OFFSET($H$3,0,0,'Données projet'!$E$14+1,1))</f>
        <v>347.8889410585312</v>
      </c>
      <c r="DU36" s="59">
        <f t="shared" si="44"/>
        <v>254.78167322479203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2.4261481093811534</v>
      </c>
      <c r="EB36" s="21">
        <f>EXP(-LN(2)/25)*EB35+(1-EXP(-LN(2)/25))/(LN(2)/25)*Calculateur!DW36*Calculateur!DY36*VLOOKUP('Données projet'!$B$14,Paramètres!$A$1:$I$89,3,0)*0.475*44/12</f>
        <v>11.098331546488188</v>
      </c>
      <c r="EC36" s="21">
        <f>EXP(-LN(2)/2)*EC35+(1-EXP(-LN(2)/2))/(LN(2)/2)*DW36*DZ36*VLOOKUP('Données projet'!$B$14,Paramètres!$A$1:$I$89,3,0)*0.475*44/12</f>
        <v>8.1457901430209088</v>
      </c>
      <c r="ED36" s="22">
        <f t="shared" si="18"/>
        <v>21.670269798890253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</v>
      </c>
      <c r="EJ36" s="12">
        <f>IF('Données projet'!$A$192&gt;35,EJ35+EI36-ER35,IF(A36&lt;'Données projet'!$A$192,$EG$205^A36,IF(A36='Données projet'!$A$192,'Données projet'!$B$192,EJ35+EI36-ER35)))</f>
        <v>126</v>
      </c>
      <c r="EK36" s="17">
        <f>EJ36*VLOOKUP('Données projet'!$B$15,Paramètres!$A$1:$I$89,3,0)*VLOOKUP('Données projet'!$B$15,Paramètres!$A$1:$I$89,5,0)</f>
        <v>135.62639999999999</v>
      </c>
      <c r="EL36" s="13">
        <f t="shared" si="45"/>
        <v>35.293231938598481</v>
      </c>
      <c r="EM36" s="20">
        <f t="shared" si="19"/>
        <v>297.6850256263923</v>
      </c>
      <c r="EN36" s="59">
        <f t="shared" si="20"/>
        <v>591.01835895972567</v>
      </c>
      <c r="EO36" s="59">
        <f ca="1">AVERAGE(OFFSET($EN$3,0,0,'Données projet'!$E$15+1,1))-AVERAGE(OFFSET($H$3,0,0,'Données projet'!$E$15+1,1))</f>
        <v>399.38728019348088</v>
      </c>
      <c r="EP36" s="59">
        <f t="shared" si="46"/>
        <v>289.54922160039791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2.7000680572145099</v>
      </c>
      <c r="EW36" s="21">
        <f>EXP(-LN(2)/25)*EW35+(1-EXP(-LN(2)/25))/(LN(2)/25)*Calculateur!ER36*Calculateur!ET36*VLOOKUP('Données projet'!$B$15,Paramètres!$A$1:$I$89,3,0)*0.475*44/12</f>
        <v>12.351368979156211</v>
      </c>
      <c r="EX36" s="21">
        <f>EXP(-LN(2)/2)*EX35+(1-EXP(-LN(2)/2))/(LN(2)/2)*ER36*EU36*VLOOKUP('Données projet'!$B$15,Paramètres!$A$1:$I$89,3,0)*0.475*44/12</f>
        <v>9.0654761269103652</v>
      </c>
      <c r="EY36" s="22">
        <f t="shared" si="21"/>
        <v>24.116913163281087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</v>
      </c>
      <c r="N37" s="13">
        <f>IF('Données projet'!$A$36&gt;35,N36+M37-V36,IF(A37&lt;'Données projet'!$A$36,$K$205^A37,IF(A37='Données projet'!$A$36,'Données projet'!$B$36,N36+M37-V36)))</f>
        <v>137</v>
      </c>
      <c r="O37" s="13">
        <f>N37*VLOOKUP('Données projet'!$B$9,Paramètres!$A$1:$I$89,3,0)*VLOOKUP('Données projet'!$B$9,Paramètres!$A$1:$I$89,5,0)</f>
        <v>123.9576</v>
      </c>
      <c r="P37" s="13">
        <f t="shared" si="33"/>
        <v>32.59629414926458</v>
      </c>
      <c r="Q37" s="20">
        <f t="shared" si="53"/>
        <v>272.6646989766358</v>
      </c>
      <c r="R37" s="59">
        <f t="shared" si="0"/>
        <v>565.99803230996918</v>
      </c>
      <c r="S37" s="59">
        <f ca="1">AVERAGE(OFFSET($R$3,0,0,'Données projet'!$E$9+1,1))-AVERAGE(OFFSET($H$3,0,0,'Données projet'!$E$9+1,1))</f>
        <v>318.40875902853116</v>
      </c>
      <c r="T37" s="59">
        <f t="shared" si="34"/>
        <v>234.87694492493506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2.2251165134855517</v>
      </c>
      <c r="AA37" s="21">
        <f>EXP(-LN(2)/25)*AA36+(1-EXP(-LN(2)/25))/(LN(2)/25)*Calculateur!V37*Calculateur!X37*VLOOKUP('Données projet'!$B$9,Paramètres!$A$1:$I$89,3,0)*0.475*44/12</f>
        <v>10.098405339183669</v>
      </c>
      <c r="AB37" s="21">
        <f>EXP(-LN(2)/2)*AB36+(1-EXP(-LN(2)/2))/(LN(2)/2)*V37*Y37*VLOOKUP('Données projet'!$B$9,Paramètres!$A$1:$I$89,3,0)*0.475*44/12</f>
        <v>5.3883341935266449</v>
      </c>
      <c r="AC37" s="22">
        <f t="shared" si="3"/>
        <v>17.711856046195866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11.5</v>
      </c>
      <c r="AI37" s="13">
        <f>IF('Données projet'!$A$62&gt;35,AI36+AH37-AQ36,IF(A37&lt;'Données projet'!$A$62,$AF$205^A37,IF(A37='Données projet'!$A$62,'Données projet'!$B$62,AI36+AH37-AQ36)))</f>
        <v>186.00000000000006</v>
      </c>
      <c r="AJ37" s="13">
        <f>AI37*VLOOKUP('Données projet'!$B$10,Paramètres!$A$1:$I$89,3,0)*VLOOKUP('Données projet'!$B$10,Paramètres!$A$1:$I$89,5,0)</f>
        <v>162.48960000000005</v>
      </c>
      <c r="AK37" s="13">
        <f t="shared" si="35"/>
        <v>41.403546033820696</v>
      </c>
      <c r="AL37" s="20">
        <f t="shared" si="4"/>
        <v>355.11389600890448</v>
      </c>
      <c r="AM37" s="59">
        <f t="shared" si="5"/>
        <v>648.44722934223773</v>
      </c>
      <c r="AN37" s="59">
        <f ca="1">AVERAGE(OFFSET($AM$3,0,0,'Données projet'!$E$10+1,1))-AVERAGE(OFFSET($H$3,0,0,'Données projet'!$E$10+1,1))</f>
        <v>243.38048563215585</v>
      </c>
      <c r="AO37" s="59">
        <f t="shared" si="36"/>
        <v>372.1604147006675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6.7520776960940889</v>
      </c>
      <c r="AV37" s="21">
        <f>EXP(-LN(2)/25)*AV36+(1-EXP(-LN(2)/25))/(LN(2)/25)*Calculateur!AQ37*Calculateur!AS37*VLOOKUP('Données projet'!$B$10,Paramètres!$A$1:$I$89,3,0)*0.475*44/12</f>
        <v>17.329858972335703</v>
      </c>
      <c r="AW37" s="21">
        <f>EXP(-LN(2)/2)*AW36+(1-EXP(-LN(2)/2))/(LN(2)/2)*AQ37*AT37*VLOOKUP('Données projet'!$B$10,Paramètres!$A$1:$I$89,3,0)*0.475*44/12</f>
        <v>7.3287348032905335</v>
      </c>
      <c r="AX37" s="21">
        <f t="shared" si="6"/>
        <v>31.410671471720324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</v>
      </c>
      <c r="BD37" s="12">
        <f>IF('Données projet'!$A$88&gt;35,BD36+BC37-BL36,IF(A37&lt;'Données projet'!$A$88,$BA$205^A37,IF(A37='Données projet'!$A$88,'Données projet'!$B$88,BD36+BC37-BL36)))</f>
        <v>190.39999999999998</v>
      </c>
      <c r="BE37" s="13">
        <f>BD37*VLOOKUP('Données projet'!$B$11,Paramètres!$A$1:$I$89,3,0)*VLOOKUP('Données projet'!$B$11,Paramètres!$A$1:$I$89,5,0)</f>
        <v>127.72031999999999</v>
      </c>
      <c r="BF37" s="13">
        <f t="shared" si="37"/>
        <v>33.469051060164404</v>
      </c>
      <c r="BG37" s="20">
        <f t="shared" si="7"/>
        <v>280.73815459645294</v>
      </c>
      <c r="BH37" s="59">
        <f t="shared" si="8"/>
        <v>574.07148792978626</v>
      </c>
      <c r="BI37" s="59">
        <f ca="1">AVERAGE(OFFSET($BH$3,0,0,'Données projet'!$E$11+1,1))-AVERAGE(OFFSET($H$3,0,0,'Données projet'!$E$11+1,1))</f>
        <v>207.93042467236967</v>
      </c>
      <c r="BJ37" s="59">
        <f t="shared" si="38"/>
        <v>250.70954318710835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2.5416201554899627</v>
      </c>
      <c r="BQ37" s="21">
        <f>EXP(-LN(2)/25)*BQ36+(1-EXP(-LN(2)/25))/(LN(2)/25)*Calculateur!BL37*Calculateur!BN37*VLOOKUP('Données projet'!$B$11,Paramètres!$A$1:$I$89,3,0)*0.475*44/12</f>
        <v>15.48468690234384</v>
      </c>
      <c r="BR37" s="21">
        <f>EXP(-LN(2)/2)*BR36+(1-EXP(-LN(2)/2))/(LN(2)/2)*BL37*BO37*VLOOKUP('Données projet'!$B$11,Paramètres!$A$1:$I$89,3,0)*0.475*44/12</f>
        <v>5.0670513375909962</v>
      </c>
      <c r="BS37" s="22">
        <f t="shared" si="9"/>
        <v>23.093358395424801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11.5</v>
      </c>
      <c r="BY37" s="12">
        <f>IF('Données projet'!$A$114&gt;35,BY36+BX37-CG36,IF(A37&lt;'Données projet'!$A$114,$BV$205^A37,IF(A37='Données projet'!$A$114,'Données projet'!$B$114,BY36+BX37-CG36)))</f>
        <v>201.00000000000006</v>
      </c>
      <c r="BZ37" s="13">
        <f>BY37*VLOOKUP('Données projet'!$B$12,Paramètres!$A$1:$I$89,3,0)*VLOOKUP('Données projet'!$B$12,Paramètres!$A$1:$I$89,5,0)</f>
        <v>156.78000000000006</v>
      </c>
      <c r="CA37" s="13">
        <f t="shared" si="39"/>
        <v>40.115378305457973</v>
      </c>
      <c r="CB37" s="20">
        <f t="shared" si="10"/>
        <v>342.92611721533939</v>
      </c>
      <c r="CC37" s="59">
        <f t="shared" si="11"/>
        <v>636.2594505486727</v>
      </c>
      <c r="CD37" s="59">
        <f ca="1">AVERAGE(OFFSET($CC$3,0,0,'Données projet'!$E$12+1,1))-AVERAGE(OFFSET($H$3,0,0,'Données projet'!$E$12+1,1))</f>
        <v>266.30229009596883</v>
      </c>
      <c r="CE37" s="59">
        <f t="shared" si="40"/>
        <v>270.19195828386046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1.335891995473161</v>
      </c>
      <c r="CL37" s="21">
        <f>EXP(-LN(2)/25)*CL36+(1-EXP(-LN(2)/25))/(LN(2)/25)*Calculateur!CG37*Calculateur!CI37*VLOOKUP('Données projet'!$B$12,Paramètres!$A$1:$I$89,3,0)*0.475*44/12</f>
        <v>7.4920065267885629</v>
      </c>
      <c r="CM37" s="21">
        <f>EXP(-LN(2)/2)*CM36+(1-EXP(-LN(2)/2))/(LN(2)/2)*CG37*CJ37*VLOOKUP('Données projet'!$B$12,Paramètres!$A$1:$I$89,3,0)*0.475*44/12</f>
        <v>3.2677948991754584</v>
      </c>
      <c r="CN37" s="22">
        <f t="shared" si="12"/>
        <v>12.095693421437181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12.1</v>
      </c>
      <c r="CT37" s="12">
        <f>IF('Données projet'!$A$140&gt;35,CT36+CS37-DB36,IF(A37&lt;'Données projet'!$A$140,$CQ$205^A37,IF(A37='Données projet'!$A$140,'Données projet'!$B$140,CT36+CS37-DB36)))</f>
        <v>190.39999999999998</v>
      </c>
      <c r="CU37" s="17">
        <f>CT37*VLOOKUP('Données projet'!$B$13,Paramètres!$A$1:$I$89,3,0)*VLOOKUP('Données projet'!$B$13,Paramètres!$A$1:$I$89,5,0)</f>
        <v>151.48223999999999</v>
      </c>
      <c r="CV37" s="13">
        <f t="shared" si="41"/>
        <v>38.915236966075291</v>
      </c>
      <c r="CW37" s="20">
        <f t="shared" si="13"/>
        <v>331.60893904924779</v>
      </c>
      <c r="CX37" s="59">
        <f t="shared" si="14"/>
        <v>624.94227238258111</v>
      </c>
      <c r="CY37" s="59">
        <f ca="1">AVERAGE(OFFSET($CX$3,0,0,'Données projet'!$E$13+1,1))-AVERAGE(OFFSET($H$3,0,0,'Données projet'!$E$13+1,1))</f>
        <v>260.20517190557814</v>
      </c>
      <c r="CZ37" s="59">
        <f t="shared" si="42"/>
        <v>307.22009971147133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3.0144797193020492</v>
      </c>
      <c r="DG37" s="21">
        <f>EXP(-LN(2)/25)*DG36+(1-EXP(-LN(2)/25))/(LN(2)/25)*Calculateur!DB37*Calculateur!DD37*VLOOKUP('Données projet'!$B$13,Paramètres!$A$1:$I$89,3,0)*0.475*44/12</f>
        <v>18.36555888417525</v>
      </c>
      <c r="DH37" s="21">
        <f>EXP(-LN(2)/2)*DH36+(1-EXP(-LN(2)/2))/(LN(2)/2)*DB37*DE37*VLOOKUP('Données projet'!$B$13,Paramètres!$A$1:$I$89,3,0)*0.475*44/12</f>
        <v>6.0097585631893216</v>
      </c>
      <c r="DI37" s="22">
        <f t="shared" si="15"/>
        <v>27.389797166666622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</v>
      </c>
      <c r="DO37" s="12">
        <f>IF('Données projet'!$A$166&gt;35,DO36+DN37-DW36,IF(A37&lt;'Données projet'!$A$166,$DL$205^A37,IF(A37='Données projet'!$A$166,'Données projet'!$B$166,DO36+DN37-DW36)))</f>
        <v>137</v>
      </c>
      <c r="DP37" s="17">
        <f>DO37*VLOOKUP('Données projet'!$B$14,Paramètres!$A$1:$I$89,3,0)*VLOOKUP('Données projet'!$B$14,Paramètres!$A$1:$I$89,5,0)</f>
        <v>132.50640000000001</v>
      </c>
      <c r="DQ37" s="13">
        <f t="shared" si="43"/>
        <v>34.574869530248939</v>
      </c>
      <c r="DR37" s="20">
        <f t="shared" si="16"/>
        <v>290.99987776518356</v>
      </c>
      <c r="DS37" s="59">
        <f t="shared" si="17"/>
        <v>584.33321109851681</v>
      </c>
      <c r="DT37" s="59">
        <f ca="1">AVERAGE(OFFSET($DS$3,0,0,'Données projet'!$E$14+1,1))-AVERAGE(OFFSET($H$3,0,0,'Données projet'!$E$14+1,1))</f>
        <v>347.8889410585312</v>
      </c>
      <c r="DU37" s="59">
        <f t="shared" si="44"/>
        <v>254.78167322479203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2.3785728247604174</v>
      </c>
      <c r="EB37" s="21">
        <f>EXP(-LN(2)/25)*EB36+(1-EXP(-LN(2)/25))/(LN(2)/25)*Calculateur!DW37*Calculateur!DY37*VLOOKUP('Données projet'!$B$14,Paramètres!$A$1:$I$89,3,0)*0.475*44/12</f>
        <v>10.794847086713578</v>
      </c>
      <c r="EC37" s="21">
        <f>EXP(-LN(2)/2)*EC36+(1-EXP(-LN(2)/2))/(LN(2)/2)*DW37*DZ37*VLOOKUP('Données projet'!$B$14,Paramètres!$A$1:$I$89,3,0)*0.475*44/12</f>
        <v>5.7599434482526215</v>
      </c>
      <c r="ED37" s="22">
        <f t="shared" si="18"/>
        <v>18.933363359726616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11</v>
      </c>
      <c r="EJ37" s="12">
        <f>IF('Données projet'!$A$192&gt;35,EJ36+EI37-ER36,IF(A37&lt;'Données projet'!$A$192,$EG$205^A37,IF(A37='Données projet'!$A$192,'Données projet'!$B$192,EJ36+EI37-ER36)))</f>
        <v>137</v>
      </c>
      <c r="EK37" s="17">
        <f>EJ37*VLOOKUP('Données projet'!$B$15,Paramètres!$A$1:$I$89,3,0)*VLOOKUP('Données projet'!$B$15,Paramètres!$A$1:$I$89,5,0)</f>
        <v>147.46679999999998</v>
      </c>
      <c r="EL37" s="13">
        <f t="shared" si="45"/>
        <v>38.002337418636273</v>
      </c>
      <c r="EM37" s="20">
        <f t="shared" si="19"/>
        <v>323.02541433745813</v>
      </c>
      <c r="EN37" s="59">
        <f t="shared" si="20"/>
        <v>616.35874767079144</v>
      </c>
      <c r="EO37" s="59">
        <f ca="1">AVERAGE(OFFSET($EN$3,0,0,'Données projet'!$E$15+1,1))-AVERAGE(OFFSET($H$3,0,0,'Données projet'!$E$15+1,1))</f>
        <v>399.38728019348088</v>
      </c>
      <c r="EP37" s="59">
        <f t="shared" si="46"/>
        <v>289.54922160039791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2.6471213694914324</v>
      </c>
      <c r="EW37" s="21">
        <f>EXP(-LN(2)/25)*EW36+(1-EXP(-LN(2)/25))/(LN(2)/25)*Calculateur!ER37*Calculateur!ET37*VLOOKUP('Données projet'!$B$15,Paramètres!$A$1:$I$89,3,0)*0.475*44/12</f>
        <v>12.01362014489092</v>
      </c>
      <c r="EX37" s="21">
        <f>EXP(-LN(2)/2)*EX36+(1-EXP(-LN(2)/2))/(LN(2)/2)*ER37*EU37*VLOOKUP('Données projet'!$B$15,Paramètres!$A$1:$I$89,3,0)*0.475*44/12</f>
        <v>6.4102596440230784</v>
      </c>
      <c r="EY37" s="22">
        <f t="shared" si="21"/>
        <v>21.07100115840543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</v>
      </c>
      <c r="N38" s="13">
        <f>IF('Données projet'!$A$36&gt;35,N37+M38-V37,IF(A38&lt;'Données projet'!$A$36,$K$205^A38,IF(A38='Données projet'!$A$36,'Données projet'!$B$36,N37+M38-V37)))</f>
        <v>148</v>
      </c>
      <c r="O38" s="13">
        <f>N38*VLOOKUP('Données projet'!$B$9,Paramètres!$A$1:$I$89,3,0)*VLOOKUP('Données projet'!$B$9,Paramètres!$A$1:$I$89,5,0)</f>
        <v>133.91039999999998</v>
      </c>
      <c r="P38" s="13">
        <f t="shared" si="33"/>
        <v>34.898373535125089</v>
      </c>
      <c r="Q38" s="20">
        <f t="shared" si="53"/>
        <v>294.00861390700948</v>
      </c>
      <c r="R38" s="59">
        <f t="shared" si="0"/>
        <v>587.34194724034273</v>
      </c>
      <c r="S38" s="59">
        <f ca="1">AVERAGE(OFFSET($R$3,0,0,'Données projet'!$E$9+1,1))-AVERAGE(OFFSET($H$3,0,0,'Données projet'!$E$9+1,1))</f>
        <v>318.40875902853116</v>
      </c>
      <c r="T38" s="59">
        <f t="shared" si="34"/>
        <v>234.87694492493506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2.1814833358431622</v>
      </c>
      <c r="AA38" s="21">
        <f>EXP(-LN(2)/25)*AA37+(1-EXP(-LN(2)/25))/(LN(2)/25)*Calculateur!V38*Calculateur!X38*VLOOKUP('Données projet'!$B$9,Paramètres!$A$1:$I$89,3,0)*0.475*44/12</f>
        <v>9.8222639141316357</v>
      </c>
      <c r="AB38" s="21">
        <f>EXP(-LN(2)/2)*AB37+(1-EXP(-LN(2)/2))/(LN(2)/2)*V38*Y38*VLOOKUP('Données projet'!$B$9,Paramètres!$A$1:$I$89,3,0)*0.475*44/12</f>
        <v>3.8101276475420374</v>
      </c>
      <c r="AC38" s="22">
        <f t="shared" si="3"/>
        <v>15.813874897516834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11.5</v>
      </c>
      <c r="AI38" s="13">
        <f>IF('Données projet'!$A$62&gt;35,AI37+AH38-AQ37,IF(A38&lt;'Données projet'!$A$62,$AF$205^A38,IF(A38='Données projet'!$A$62,'Données projet'!$B$62,AI37+AH38-AQ37)))</f>
        <v>197.50000000000006</v>
      </c>
      <c r="AJ38" s="13">
        <f>AI38*VLOOKUP('Données projet'!$B$10,Paramètres!$A$1:$I$89,3,0)*VLOOKUP('Données projet'!$B$10,Paramètres!$A$1:$I$89,5,0)</f>
        <v>172.53600000000006</v>
      </c>
      <c r="AK38" s="13">
        <f t="shared" si="35"/>
        <v>43.657512815796977</v>
      </c>
      <c r="AL38" s="20">
        <f t="shared" si="4"/>
        <v>376.53703482084643</v>
      </c>
      <c r="AM38" s="59">
        <f t="shared" si="5"/>
        <v>669.87036815417969</v>
      </c>
      <c r="AN38" s="59">
        <f ca="1">AVERAGE(OFFSET($AM$3,0,0,'Données projet'!$E$10+1,1))-AVERAGE(OFFSET($H$3,0,0,'Données projet'!$E$10+1,1))</f>
        <v>243.38048563215585</v>
      </c>
      <c r="AO38" s="59">
        <f t="shared" si="36"/>
        <v>372.1604147006675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6.6196735708344239</v>
      </c>
      <c r="AV38" s="21">
        <f>EXP(-LN(2)/25)*AV37+(1-EXP(-LN(2)/25))/(LN(2)/25)*Calculateur!AQ38*Calculateur!AS38*VLOOKUP('Données projet'!$B$10,Paramètres!$A$1:$I$89,3,0)*0.475*44/12</f>
        <v>16.855973067399507</v>
      </c>
      <c r="AW38" s="21">
        <f>EXP(-LN(2)/2)*AW37+(1-EXP(-LN(2)/2))/(LN(2)/2)*AQ38*AT38*VLOOKUP('Données projet'!$B$10,Paramètres!$A$1:$I$89,3,0)*0.475*44/12</f>
        <v>5.1821980769245952</v>
      </c>
      <c r="AX38" s="21">
        <f t="shared" si="6"/>
        <v>28.657844715158529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</v>
      </c>
      <c r="BD38" s="12">
        <f>IF('Données projet'!$A$88&gt;35,BD37+BC38-BL37,IF(A38&lt;'Données projet'!$A$88,$BA$205^A38,IF(A38='Données projet'!$A$88,'Données projet'!$B$88,BD37+BC38-BL37)))</f>
        <v>202.49999999999997</v>
      </c>
      <c r="BE38" s="13">
        <f>BD38*VLOOKUP('Données projet'!$B$11,Paramètres!$A$1:$I$89,3,0)*VLOOKUP('Données projet'!$B$11,Paramètres!$A$1:$I$89,5,0)</f>
        <v>135.83699999999999</v>
      </c>
      <c r="BF38" s="13">
        <f t="shared" si="37"/>
        <v>35.34165163283356</v>
      </c>
      <c r="BG38" s="20">
        <f t="shared" si="7"/>
        <v>298.13615159385171</v>
      </c>
      <c r="BH38" s="59">
        <f t="shared" si="8"/>
        <v>591.46948492718502</v>
      </c>
      <c r="BI38" s="59">
        <f ca="1">AVERAGE(OFFSET($BH$3,0,0,'Données projet'!$E$11+1,1))-AVERAGE(OFFSET($H$3,0,0,'Données projet'!$E$11+1,1))</f>
        <v>207.93042467236967</v>
      </c>
      <c r="BJ38" s="59">
        <f t="shared" si="38"/>
        <v>250.70954318710835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2.4917805344760264</v>
      </c>
      <c r="BQ38" s="21">
        <f>EXP(-LN(2)/25)*BQ37+(1-EXP(-LN(2)/25))/(LN(2)/25)*Calculateur!BL38*Calculateur!BN38*VLOOKUP('Données projet'!$B$11,Paramètres!$A$1:$I$89,3,0)*0.475*44/12</f>
        <v>15.061257324694955</v>
      </c>
      <c r="BR38" s="21">
        <f>EXP(-LN(2)/2)*BR37+(1-EXP(-LN(2)/2))/(LN(2)/2)*BL38*BO38*VLOOKUP('Données projet'!$B$11,Paramètres!$A$1:$I$89,3,0)*0.475*44/12</f>
        <v>3.5829463614309596</v>
      </c>
      <c r="BS38" s="22">
        <f t="shared" si="9"/>
        <v>21.135984220601941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11.5</v>
      </c>
      <c r="BY38" s="12">
        <f>IF('Données projet'!$A$114&gt;35,BY37+BX38-CG37,IF(A38&lt;'Données projet'!$A$114,$BV$205^A38,IF(A38='Données projet'!$A$114,'Données projet'!$B$114,BY37+BX38-CG37)))</f>
        <v>212.50000000000006</v>
      </c>
      <c r="BZ38" s="13">
        <f>BY38*VLOOKUP('Données projet'!$B$12,Paramètres!$A$1:$I$89,3,0)*VLOOKUP('Données projet'!$B$12,Paramètres!$A$1:$I$89,5,0)</f>
        <v>165.75000000000006</v>
      </c>
      <c r="CA38" s="13">
        <f t="shared" si="39"/>
        <v>42.136766952193284</v>
      </c>
      <c r="CB38" s="20">
        <f t="shared" si="10"/>
        <v>362.06945244173676</v>
      </c>
      <c r="CC38" s="59">
        <f t="shared" si="11"/>
        <v>655.40278577507002</v>
      </c>
      <c r="CD38" s="59">
        <f ca="1">AVERAGE(OFFSET($CC$3,0,0,'Données projet'!$E$12+1,1))-AVERAGE(OFFSET($H$3,0,0,'Données projet'!$E$12+1,1))</f>
        <v>266.30229009596883</v>
      </c>
      <c r="CE38" s="59">
        <f t="shared" si="40"/>
        <v>270.19195828386046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1.3096959682555933</v>
      </c>
      <c r="CL38" s="21">
        <f>EXP(-LN(2)/25)*CL37+(1-EXP(-LN(2)/25))/(LN(2)/25)*Calculateur!CG38*Calculateur!CI38*VLOOKUP('Données projet'!$B$12,Paramètres!$A$1:$I$89,3,0)*0.475*44/12</f>
        <v>7.2871372143260293</v>
      </c>
      <c r="CM38" s="21">
        <f>EXP(-LN(2)/2)*CM37+(1-EXP(-LN(2)/2))/(LN(2)/2)*CG38*CJ38*VLOOKUP('Données projet'!$B$12,Paramètres!$A$1:$I$89,3,0)*0.475*44/12</f>
        <v>2.3106799327337773</v>
      </c>
      <c r="CN38" s="22">
        <f t="shared" si="12"/>
        <v>10.9075131153154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12.1</v>
      </c>
      <c r="CT38" s="12">
        <f>IF('Données projet'!$A$140&gt;35,CT37+CS38-DB37,IF(A38&lt;'Données projet'!$A$140,$CQ$205^A38,IF(A38='Données projet'!$A$140,'Données projet'!$B$140,CT37+CS38-DB37)))</f>
        <v>202.49999999999997</v>
      </c>
      <c r="CU38" s="17">
        <f>CT38*VLOOKUP('Données projet'!$B$13,Paramètres!$A$1:$I$89,3,0)*VLOOKUP('Données projet'!$B$13,Paramètres!$A$1:$I$89,5,0)</f>
        <v>161.10899999999998</v>
      </c>
      <c r="CV38" s="13">
        <f t="shared" si="41"/>
        <v>41.092552806229541</v>
      </c>
      <c r="CW38" s="20">
        <f t="shared" si="13"/>
        <v>352.16770447084974</v>
      </c>
      <c r="CX38" s="59">
        <f t="shared" si="14"/>
        <v>645.50103780418306</v>
      </c>
      <c r="CY38" s="59">
        <f ca="1">AVERAGE(OFFSET($CX$3,0,0,'Données projet'!$E$13+1,1))-AVERAGE(OFFSET($H$3,0,0,'Données projet'!$E$13+1,1))</f>
        <v>260.20517190557814</v>
      </c>
      <c r="CZ38" s="59">
        <f t="shared" si="42"/>
        <v>307.22009971147133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2.9553676106576132</v>
      </c>
      <c r="DG38" s="21">
        <f>EXP(-LN(2)/25)*DG37+(1-EXP(-LN(2)/25))/(LN(2)/25)*Calculateur!DB38*Calculateur!DD38*VLOOKUP('Données projet'!$B$13,Paramètres!$A$1:$I$89,3,0)*0.475*44/12</f>
        <v>17.863351710684711</v>
      </c>
      <c r="DH38" s="21">
        <f>EXP(-LN(2)/2)*DH37+(1-EXP(-LN(2)/2))/(LN(2)/2)*DB38*DE38*VLOOKUP('Données projet'!$B$13,Paramètres!$A$1:$I$89,3,0)*0.475*44/12</f>
        <v>4.2495410333250918</v>
      </c>
      <c r="DI38" s="22">
        <f t="shared" si="15"/>
        <v>25.068260354667416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</v>
      </c>
      <c r="DO38" s="12">
        <f>IF('Données projet'!$A$166&gt;35,DO37+DN38-DW37,IF(A38&lt;'Données projet'!$A$166,$DL$205^A38,IF(A38='Données projet'!$A$166,'Données projet'!$B$166,DO37+DN38-DW37)))</f>
        <v>148</v>
      </c>
      <c r="DP38" s="17">
        <f>DO38*VLOOKUP('Données projet'!$B$14,Paramètres!$A$1:$I$89,3,0)*VLOOKUP('Données projet'!$B$14,Paramètres!$A$1:$I$89,5,0)</f>
        <v>143.1456</v>
      </c>
      <c r="DQ38" s="13">
        <f t="shared" si="43"/>
        <v>37.01668374538415</v>
      </c>
      <c r="DR38" s="20">
        <f t="shared" si="16"/>
        <v>313.78264418987732</v>
      </c>
      <c r="DS38" s="59">
        <f t="shared" si="17"/>
        <v>607.11597752321063</v>
      </c>
      <c r="DT38" s="59">
        <f ca="1">AVERAGE(OFFSET($DS$3,0,0,'Données projet'!$E$14+1,1))-AVERAGE(OFFSET($H$3,0,0,'Données projet'!$E$14+1,1))</f>
        <v>347.8889410585312</v>
      </c>
      <c r="DU38" s="59">
        <f t="shared" si="44"/>
        <v>254.78167322479203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2.3319304624530357</v>
      </c>
      <c r="EB38" s="21">
        <f>EXP(-LN(2)/25)*EB37+(1-EXP(-LN(2)/25))/(LN(2)/25)*Calculateur!DW38*Calculateur!DY38*VLOOKUP('Données projet'!$B$14,Paramètres!$A$1:$I$89,3,0)*0.475*44/12</f>
        <v>10.499661425451059</v>
      </c>
      <c r="EC38" s="21">
        <f>EXP(-LN(2)/2)*EC37+(1-EXP(-LN(2)/2))/(LN(2)/2)*DW38*DZ38*VLOOKUP('Données projet'!$B$14,Paramètres!$A$1:$I$89,3,0)*0.475*44/12</f>
        <v>4.0728950715104544</v>
      </c>
      <c r="ED38" s="22">
        <f t="shared" si="18"/>
        <v>16.904486959414548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11</v>
      </c>
      <c r="EJ38" s="12">
        <f>IF('Données projet'!$A$192&gt;35,EJ37+EI38-ER37,IF(A38&lt;'Données projet'!$A$192,$EG$205^A38,IF(A38='Données projet'!$A$192,'Données projet'!$B$192,EJ37+EI38-ER37)))</f>
        <v>148</v>
      </c>
      <c r="EK38" s="17">
        <f>EJ38*VLOOKUP('Données projet'!$B$15,Paramètres!$A$1:$I$89,3,0)*VLOOKUP('Données projet'!$B$15,Paramètres!$A$1:$I$89,5,0)</f>
        <v>159.30719999999999</v>
      </c>
      <c r="EL38" s="13">
        <f t="shared" si="45"/>
        <v>40.686212990054052</v>
      </c>
      <c r="EM38" s="20">
        <f t="shared" si="19"/>
        <v>348.32186095767747</v>
      </c>
      <c r="EN38" s="59">
        <f t="shared" si="20"/>
        <v>641.65519429101073</v>
      </c>
      <c r="EO38" s="59">
        <f ca="1">AVERAGE(OFFSET($EN$3,0,0,'Données projet'!$E$15+1,1))-AVERAGE(OFFSET($H$3,0,0,'Données projet'!$E$15+1,1))</f>
        <v>399.38728019348088</v>
      </c>
      <c r="EP38" s="59">
        <f t="shared" si="46"/>
        <v>289.54922160039791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2.5952129340203136</v>
      </c>
      <c r="EW38" s="21">
        <f>EXP(-LN(2)/25)*EW37+(1-EXP(-LN(2)/25))/(LN(2)/25)*Calculateur!ER38*Calculateur!ET38*VLOOKUP('Données projet'!$B$15,Paramètres!$A$1:$I$89,3,0)*0.475*44/12</f>
        <v>11.685107070260052</v>
      </c>
      <c r="EX38" s="21">
        <f>EXP(-LN(2)/2)*EX37+(1-EXP(-LN(2)/2))/(LN(2)/2)*ER38*EU38*VLOOKUP('Données projet'!$B$15,Paramètres!$A$1:$I$89,3,0)*0.475*44/12</f>
        <v>4.5327380634551835</v>
      </c>
      <c r="EY38" s="22">
        <f t="shared" si="21"/>
        <v>18.81305806773555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</v>
      </c>
      <c r="N39" s="13">
        <f>IF('Données projet'!$A$36&gt;35,N38+M39-V38,IF(A39&lt;'Données projet'!$A$36,$K$205^A39,IF(A39='Données projet'!$A$36,'Données projet'!$B$36,N38+M39-V38)))</f>
        <v>159</v>
      </c>
      <c r="O39" s="13">
        <f>N39*VLOOKUP('Données projet'!$B$9,Paramètres!$A$1:$I$89,3,0)*VLOOKUP('Données projet'!$B$9,Paramètres!$A$1:$I$89,5,0)</f>
        <v>143.86320000000001</v>
      </c>
      <c r="P39" s="13">
        <f t="shared" si="33"/>
        <v>37.180603445028773</v>
      </c>
      <c r="Q39" s="20">
        <f t="shared" si="53"/>
        <v>315.31795766675845</v>
      </c>
      <c r="R39" s="59">
        <f t="shared" si="0"/>
        <v>608.65129100009176</v>
      </c>
      <c r="S39" s="59">
        <f ca="1">AVERAGE(OFFSET($R$3,0,0,'Données projet'!$E$9+1,1))-AVERAGE(OFFSET($H$3,0,0,'Données projet'!$E$9+1,1))</f>
        <v>318.40875902853116</v>
      </c>
      <c r="T39" s="59">
        <f t="shared" si="34"/>
        <v>234.87694492493506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2.1387057782007295</v>
      </c>
      <c r="AA39" s="21">
        <f>EXP(-LN(2)/25)*AA38+(1-EXP(-LN(2)/25))/(LN(2)/25)*Calculateur!V39*Calculateur!X39*VLOOKUP('Données projet'!$B$9,Paramètres!$A$1:$I$89,3,0)*0.475*44/12</f>
        <v>9.5536735908692965</v>
      </c>
      <c r="AB39" s="21">
        <f>EXP(-LN(2)/2)*AB38+(1-EXP(-LN(2)/2))/(LN(2)/2)*V39*Y39*VLOOKUP('Données projet'!$B$9,Paramètres!$A$1:$I$89,3,0)*0.475*44/12</f>
        <v>2.6941670967633229</v>
      </c>
      <c r="AC39" s="22">
        <f t="shared" si="3"/>
        <v>14.386546465833348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11.5</v>
      </c>
      <c r="AI39" s="13">
        <f>IF('Données projet'!$A$62&gt;35,AI38+AH39-AQ38,IF(A39&lt;'Données projet'!$A$62,$AF$205^A39,IF(A39='Données projet'!$A$62,'Données projet'!$B$62,AI38+AH39-AQ38)))</f>
        <v>209.00000000000006</v>
      </c>
      <c r="AJ39" s="13">
        <f>AI39*VLOOKUP('Données projet'!$B$10,Paramètres!$A$1:$I$89,3,0)*VLOOKUP('Données projet'!$B$10,Paramètres!$A$1:$I$89,5,0)</f>
        <v>182.58240000000009</v>
      </c>
      <c r="AK39" s="13">
        <f t="shared" si="35"/>
        <v>45.896245406460288</v>
      </c>
      <c r="AL39" s="20">
        <f t="shared" si="4"/>
        <v>397.93364074958509</v>
      </c>
      <c r="AM39" s="59">
        <f t="shared" si="5"/>
        <v>691.26697408291841</v>
      </c>
      <c r="AN39" s="59">
        <f ca="1">AVERAGE(OFFSET($AM$3,0,0,'Données projet'!$E$10+1,1))-AVERAGE(OFFSET($H$3,0,0,'Données projet'!$E$10+1,1))</f>
        <v>243.38048563215585</v>
      </c>
      <c r="AO39" s="59">
        <f t="shared" si="36"/>
        <v>372.1604147006675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6.4898658097125592</v>
      </c>
      <c r="AV39" s="21">
        <f>EXP(-LN(2)/25)*AV38+(1-EXP(-LN(2)/25))/(LN(2)/25)*Calculateur!AQ39*Calculateur!AS39*VLOOKUP('Données projet'!$B$10,Paramètres!$A$1:$I$89,3,0)*0.475*44/12</f>
        <v>16.39504559745437</v>
      </c>
      <c r="AW39" s="21">
        <f>EXP(-LN(2)/2)*AW38+(1-EXP(-LN(2)/2))/(LN(2)/2)*AQ39*AT39*VLOOKUP('Données projet'!$B$10,Paramètres!$A$1:$I$89,3,0)*0.475*44/12</f>
        <v>3.6643674016452672</v>
      </c>
      <c r="AX39" s="21">
        <f t="shared" si="6"/>
        <v>26.549278808812197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12.1</v>
      </c>
      <c r="BD39" s="12">
        <f>IF('Données projet'!$A$88&gt;35,BD38+BC39-BL38,IF(A39&lt;'Données projet'!$A$88,$BA$205^A39,IF(A39='Données projet'!$A$88,'Données projet'!$B$88,BD38+BC39-BL38)))</f>
        <v>214.59999999999997</v>
      </c>
      <c r="BE39" s="13">
        <f>BD39*VLOOKUP('Données projet'!$B$11,Paramètres!$A$1:$I$89,3,0)*VLOOKUP('Données projet'!$B$11,Paramètres!$A$1:$I$89,5,0)</f>
        <v>143.95367999999996</v>
      </c>
      <c r="BF39" s="13">
        <f t="shared" si="37"/>
        <v>37.20126481543732</v>
      </c>
      <c r="BG39" s="20">
        <f t="shared" si="7"/>
        <v>315.51152888688659</v>
      </c>
      <c r="BH39" s="59">
        <f t="shared" si="8"/>
        <v>608.84486222021997</v>
      </c>
      <c r="BI39" s="59">
        <f ca="1">AVERAGE(OFFSET($BH$3,0,0,'Données projet'!$E$11+1,1))-AVERAGE(OFFSET($H$3,0,0,'Données projet'!$E$11+1,1))</f>
        <v>207.93042467236967</v>
      </c>
      <c r="BJ39" s="59">
        <f t="shared" si="38"/>
        <v>250.70954318710835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2.4429182380310062</v>
      </c>
      <c r="BQ39" s="21">
        <f>EXP(-LN(2)/25)*BQ38+(1-EXP(-LN(2)/25))/(LN(2)/25)*Calculateur!BL39*Calculateur!BN39*VLOOKUP('Données projet'!$B$11,Paramètres!$A$1:$I$89,3,0)*0.475*44/12</f>
        <v>14.649406451114071</v>
      </c>
      <c r="BR39" s="21">
        <f>EXP(-LN(2)/2)*BR38+(1-EXP(-LN(2)/2))/(LN(2)/2)*BL39*BO39*VLOOKUP('Données projet'!$B$11,Paramètres!$A$1:$I$89,3,0)*0.475*44/12</f>
        <v>2.5335256687954981</v>
      </c>
      <c r="BS39" s="22">
        <f t="shared" si="9"/>
        <v>19.625850357940575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11.5</v>
      </c>
      <c r="BY39" s="12">
        <f>IF('Données projet'!$A$114&gt;35,BY38+BX39-CG38,IF(A39&lt;'Données projet'!$A$114,$BV$205^A39,IF(A39='Données projet'!$A$114,'Données projet'!$B$114,BY38+BX39-CG38)))</f>
        <v>224.00000000000006</v>
      </c>
      <c r="BZ39" s="13">
        <f>BY39*VLOOKUP('Données projet'!$B$12,Paramètres!$A$1:$I$89,3,0)*VLOOKUP('Données projet'!$B$12,Paramètres!$A$1:$I$89,5,0)</f>
        <v>174.72000000000006</v>
      </c>
      <c r="CA39" s="13">
        <f t="shared" si="39"/>
        <v>44.145455754865246</v>
      </c>
      <c r="CB39" s="20">
        <f t="shared" si="10"/>
        <v>381.19066877305704</v>
      </c>
      <c r="CC39" s="59">
        <f t="shared" si="11"/>
        <v>674.5240021063903</v>
      </c>
      <c r="CD39" s="59">
        <f ca="1">AVERAGE(OFFSET($CC$3,0,0,'Données projet'!$E$12+1,1))-AVERAGE(OFFSET($H$3,0,0,'Données projet'!$E$12+1,1))</f>
        <v>266.30229009596883</v>
      </c>
      <c r="CE39" s="59">
        <f t="shared" si="40"/>
        <v>270.19195828386046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1.2840136291537634</v>
      </c>
      <c r="CL39" s="21">
        <f>EXP(-LN(2)/25)*CL38+(1-EXP(-LN(2)/25))/(LN(2)/25)*Calculateur!CG39*Calculateur!CI39*VLOOKUP('Données projet'!$B$12,Paramètres!$A$1:$I$89,3,0)*0.475*44/12</f>
        <v>7.0878700639863927</v>
      </c>
      <c r="CM39" s="21">
        <f>EXP(-LN(2)/2)*CM38+(1-EXP(-LN(2)/2))/(LN(2)/2)*CG39*CJ39*VLOOKUP('Données projet'!$B$12,Paramètres!$A$1:$I$89,3,0)*0.475*44/12</f>
        <v>1.6338974495877294</v>
      </c>
      <c r="CN39" s="22">
        <f t="shared" si="12"/>
        <v>10.005781142727885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12.1</v>
      </c>
      <c r="CT39" s="12">
        <f>IF('Données projet'!$A$140&gt;35,CT38+CS39-DB38,IF(A39&lt;'Données projet'!$A$140,$CQ$205^A39,IF(A39='Données projet'!$A$140,'Données projet'!$B$140,CT38+CS39-DB38)))</f>
        <v>214.59999999999997</v>
      </c>
      <c r="CU39" s="17">
        <f>CT39*VLOOKUP('Données projet'!$B$13,Paramètres!$A$1:$I$89,3,0)*VLOOKUP('Données projet'!$B$13,Paramètres!$A$1:$I$89,5,0)</f>
        <v>170.73575999999997</v>
      </c>
      <c r="CV39" s="13">
        <f t="shared" si="41"/>
        <v>43.254767908658785</v>
      </c>
      <c r="CW39" s="20">
        <f t="shared" si="13"/>
        <v>372.70016944091395</v>
      </c>
      <c r="CX39" s="59">
        <f t="shared" si="14"/>
        <v>666.03350277424727</v>
      </c>
      <c r="CY39" s="59">
        <f ca="1">AVERAGE(OFFSET($CX$3,0,0,'Données projet'!$E$13+1,1))-AVERAGE(OFFSET($H$3,0,0,'Données projet'!$E$13+1,1))</f>
        <v>260.20517190557814</v>
      </c>
      <c r="CZ39" s="59">
        <f t="shared" si="42"/>
        <v>307.22009971147133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2.8974146544088684</v>
      </c>
      <c r="DG39" s="21">
        <f>EXP(-LN(2)/25)*DG38+(1-EXP(-LN(2)/25))/(LN(2)/25)*Calculateur!DB39*Calculateur!DD39*VLOOKUP('Données projet'!$B$13,Paramètres!$A$1:$I$89,3,0)*0.475*44/12</f>
        <v>17.374877418763198</v>
      </c>
      <c r="DH39" s="21">
        <f>EXP(-LN(2)/2)*DH38+(1-EXP(-LN(2)/2))/(LN(2)/2)*DB39*DE39*VLOOKUP('Données projet'!$B$13,Paramètres!$A$1:$I$89,3,0)*0.475*44/12</f>
        <v>3.0048792815946608</v>
      </c>
      <c r="DI39" s="22">
        <f t="shared" si="15"/>
        <v>23.277171354766729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</v>
      </c>
      <c r="DO39" s="12">
        <f>IF('Données projet'!$A$166&gt;35,DO38+DN39-DW38,IF(A39&lt;'Données projet'!$A$166,$DL$205^A39,IF(A39='Données projet'!$A$166,'Données projet'!$B$166,DO38+DN39-DW38)))</f>
        <v>159</v>
      </c>
      <c r="DP39" s="17">
        <f>DO39*VLOOKUP('Données projet'!$B$14,Paramètres!$A$1:$I$89,3,0)*VLOOKUP('Données projet'!$B$14,Paramètres!$A$1:$I$89,5,0)</f>
        <v>153.78479999999999</v>
      </c>
      <c r="DQ39" s="13">
        <f t="shared" si="43"/>
        <v>39.437443633352295</v>
      </c>
      <c r="DR39" s="20">
        <f t="shared" si="16"/>
        <v>336.52874099475525</v>
      </c>
      <c r="DS39" s="59">
        <f t="shared" si="17"/>
        <v>629.86207432808851</v>
      </c>
      <c r="DT39" s="59">
        <f ca="1">AVERAGE(OFFSET($DS$3,0,0,'Données projet'!$E$14+1,1))-AVERAGE(OFFSET($H$3,0,0,'Données projet'!$E$14+1,1))</f>
        <v>347.8889410585312</v>
      </c>
      <c r="DU39" s="59">
        <f t="shared" si="44"/>
        <v>254.78167322479203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2.2862027284214697</v>
      </c>
      <c r="EB39" s="21">
        <f>EXP(-LN(2)/25)*EB38+(1-EXP(-LN(2)/25))/(LN(2)/25)*Calculateur!DW39*Calculateur!DY39*VLOOKUP('Données projet'!$B$14,Paramètres!$A$1:$I$89,3,0)*0.475*44/12</f>
        <v>10.212547631618902</v>
      </c>
      <c r="EC39" s="21">
        <f>EXP(-LN(2)/2)*EC38+(1-EXP(-LN(2)/2))/(LN(2)/2)*DW39*DZ39*VLOOKUP('Données projet'!$B$14,Paramètres!$A$1:$I$89,3,0)*0.475*44/12</f>
        <v>2.8799717241263108</v>
      </c>
      <c r="ED39" s="22">
        <f t="shared" si="18"/>
        <v>15.378722084166682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</v>
      </c>
      <c r="EJ39" s="12">
        <f>IF('Données projet'!$A$192&gt;35,EJ38+EI39-ER38,IF(A39&lt;'Données projet'!$A$192,$EG$205^A39,IF(A39='Données projet'!$A$192,'Données projet'!$B$192,EJ38+EI39-ER38)))</f>
        <v>159</v>
      </c>
      <c r="EK39" s="17">
        <f>EJ39*VLOOKUP('Données projet'!$B$15,Paramètres!$A$1:$I$89,3,0)*VLOOKUP('Données projet'!$B$15,Paramètres!$A$1:$I$89,5,0)</f>
        <v>171.14759999999998</v>
      </c>
      <c r="EL39" s="13">
        <f t="shared" si="45"/>
        <v>43.346947081663025</v>
      </c>
      <c r="EM39" s="20">
        <f t="shared" si="19"/>
        <v>373.57800283389633</v>
      </c>
      <c r="EN39" s="59">
        <f t="shared" si="20"/>
        <v>666.91133616722959</v>
      </c>
      <c r="EO39" s="59">
        <f ca="1">AVERAGE(OFFSET($EN$3,0,0,'Données projet'!$E$15+1,1))-AVERAGE(OFFSET($H$3,0,0,'Données projet'!$E$15+1,1))</f>
        <v>399.38728019348088</v>
      </c>
      <c r="EP39" s="59">
        <f t="shared" si="46"/>
        <v>289.54922160039791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2.5443223913077642</v>
      </c>
      <c r="EW39" s="21">
        <f>EXP(-LN(2)/25)*EW38+(1-EXP(-LN(2)/25))/(LN(2)/25)*Calculateur!ER39*Calculateur!ET39*VLOOKUP('Données projet'!$B$15,Paramètres!$A$1:$I$89,3,0)*0.475*44/12</f>
        <v>11.365577202930718</v>
      </c>
      <c r="EX39" s="21">
        <f>EXP(-LN(2)/2)*EX38+(1-EXP(-LN(2)/2))/(LN(2)/2)*ER39*EU39*VLOOKUP('Données projet'!$B$15,Paramètres!$A$1:$I$89,3,0)*0.475*44/12</f>
        <v>3.2051298220115396</v>
      </c>
      <c r="EY39" s="22">
        <f t="shared" si="21"/>
        <v>17.115029416250021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153.816</v>
      </c>
      <c r="P40" s="13">
        <f t="shared" si="33"/>
        <v>39.444513325737063</v>
      </c>
      <c r="Q40" s="20">
        <f t="shared" si="53"/>
        <v>336.59539404232538</v>
      </c>
      <c r="R40" s="59">
        <f t="shared" si="0"/>
        <v>629.9287273756587</v>
      </c>
      <c r="S40" s="59">
        <f ca="1">AVERAGE(OFFSET($R$3,0,0,'Données projet'!$E$9+1,1))-AVERAGE(OFFSET($H$3,0,0,'Données projet'!$E$9+1,1))</f>
        <v>318.40875902853116</v>
      </c>
      <c r="T40" s="59">
        <f t="shared" si="34"/>
        <v>234.87694492493506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2.096767062371931</v>
      </c>
      <c r="AA40" s="21">
        <f>EXP(-LN(2)/25)*AA39+(1-EXP(-LN(2)/25))/(LN(2)/25)*Calculateur!V40*Calculateur!X40*VLOOKUP('Données projet'!$B$9,Paramètres!$A$1:$I$89,3,0)*0.475*44/12</f>
        <v>9.2924278841211159</v>
      </c>
      <c r="AB40" s="21">
        <f>EXP(-LN(2)/2)*AB39+(1-EXP(-LN(2)/2))/(LN(2)/2)*V40*Y40*VLOOKUP('Données projet'!$B$9,Paramètres!$A$1:$I$89,3,0)*0.475*44/12</f>
        <v>1.9050638237710191</v>
      </c>
      <c r="AC40" s="22">
        <f t="shared" si="3"/>
        <v>13.294258770264067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11.5</v>
      </c>
      <c r="AI40" s="13">
        <f>IF('Données projet'!$A$62&gt;35,AI39+AH40-AQ39,IF(A40&lt;'Données projet'!$A$62,$AF$205^A40,IF(A40='Données projet'!$A$62,'Données projet'!$B$62,AI39+AH40-AQ39)))</f>
        <v>220.50000000000006</v>
      </c>
      <c r="AJ40" s="13">
        <f>AI40*VLOOKUP('Données projet'!$B$10,Paramètres!$A$1:$I$89,3,0)*VLOOKUP('Données projet'!$B$10,Paramètres!$A$1:$I$89,5,0)</f>
        <v>192.62880000000007</v>
      </c>
      <c r="AK40" s="13">
        <f t="shared" si="35"/>
        <v>48.120677599655217</v>
      </c>
      <c r="AL40" s="20">
        <f t="shared" si="4"/>
        <v>419.30534015273292</v>
      </c>
      <c r="AM40" s="59">
        <f t="shared" si="5"/>
        <v>712.63867348606618</v>
      </c>
      <c r="AN40" s="59">
        <f ca="1">AVERAGE(OFFSET($AM$3,0,0,'Données projet'!$E$10+1,1))-AVERAGE(OFFSET($H$3,0,0,'Données projet'!$E$10+1,1))</f>
        <v>243.38048563215585</v>
      </c>
      <c r="AO40" s="59">
        <f t="shared" si="36"/>
        <v>372.1604147006675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6.3626034996113781</v>
      </c>
      <c r="AV40" s="21">
        <f>EXP(-LN(2)/25)*AV39+(1-EXP(-LN(2)/25))/(LN(2)/25)*Calculateur!AQ40*Calculateur!AS40*VLOOKUP('Données projet'!$B$10,Paramètres!$A$1:$I$89,3,0)*0.475*44/12</f>
        <v>15.946722213414004</v>
      </c>
      <c r="AW40" s="21">
        <f>EXP(-LN(2)/2)*AW39+(1-EXP(-LN(2)/2))/(LN(2)/2)*AQ40*AT40*VLOOKUP('Données projet'!$B$10,Paramètres!$A$1:$I$89,3,0)*0.475*44/12</f>
        <v>2.5910990384622981</v>
      </c>
      <c r="AX40" s="21">
        <f t="shared" si="6"/>
        <v>24.900424751487677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12.1</v>
      </c>
      <c r="BD40" s="12">
        <f>IF('Données projet'!$A$88&gt;35,BD39+BC40-BL39,IF(A40&lt;'Données projet'!$A$88,$BA$205^A40,IF(A40='Données projet'!$A$88,'Données projet'!$B$88,BD39+BC40-BL39)))</f>
        <v>226.69999999999996</v>
      </c>
      <c r="BE40" s="13">
        <f>BD40*VLOOKUP('Données projet'!$B$11,Paramètres!$A$1:$I$89,3,0)*VLOOKUP('Données projet'!$B$11,Paramètres!$A$1:$I$89,5,0)</f>
        <v>152.07035999999997</v>
      </c>
      <c r="BF40" s="13">
        <f t="shared" si="37"/>
        <v>39.048706337399189</v>
      </c>
      <c r="BG40" s="20">
        <f t="shared" si="7"/>
        <v>332.86570720430353</v>
      </c>
      <c r="BH40" s="59">
        <f t="shared" si="8"/>
        <v>626.19904053763685</v>
      </c>
      <c r="BI40" s="59">
        <f ca="1">AVERAGE(OFFSET($BH$3,0,0,'Données projet'!$E$11+1,1))-AVERAGE(OFFSET($H$3,0,0,'Données projet'!$E$11+1,1))</f>
        <v>207.93042467236967</v>
      </c>
      <c r="BJ40" s="59">
        <f t="shared" si="38"/>
        <v>250.70954318710835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2.3950141014162147</v>
      </c>
      <c r="BQ40" s="21">
        <f>EXP(-LN(2)/25)*BQ39+(1-EXP(-LN(2)/25))/(LN(2)/25)*Calculateur!BL40*Calculateur!BN40*VLOOKUP('Données projet'!$B$11,Paramètres!$A$1:$I$89,3,0)*0.475*44/12</f>
        <v>14.248817661329554</v>
      </c>
      <c r="BR40" s="21">
        <f>EXP(-LN(2)/2)*BR39+(1-EXP(-LN(2)/2))/(LN(2)/2)*BL40*BO40*VLOOKUP('Données projet'!$B$11,Paramètres!$A$1:$I$89,3,0)*0.475*44/12</f>
        <v>1.7914731807154798</v>
      </c>
      <c r="BS40" s="22">
        <f t="shared" si="9"/>
        <v>18.435304943461247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11.5</v>
      </c>
      <c r="BY40" s="12">
        <f>IF('Données projet'!$A$114&gt;35,BY39+BX40-CG39,IF(A40&lt;'Données projet'!$A$114,$BV$205^A40,IF(A40='Données projet'!$A$114,'Données projet'!$B$114,BY39+BX40-CG39)))</f>
        <v>235.50000000000006</v>
      </c>
      <c r="BZ40" s="13">
        <f>BY40*VLOOKUP('Données projet'!$B$12,Paramètres!$A$1:$I$89,3,0)*VLOOKUP('Données projet'!$B$12,Paramètres!$A$1:$I$89,5,0)</f>
        <v>183.69000000000005</v>
      </c>
      <c r="CA40" s="13">
        <f t="shared" si="39"/>
        <v>46.14217109072662</v>
      </c>
      <c r="CB40" s="20">
        <f t="shared" si="10"/>
        <v>400.29103131634889</v>
      </c>
      <c r="CC40" s="59">
        <f t="shared" si="11"/>
        <v>693.62436464968221</v>
      </c>
      <c r="CD40" s="59">
        <f ca="1">AVERAGE(OFFSET($CC$3,0,0,'Données projet'!$E$12+1,1))-AVERAGE(OFFSET($H$3,0,0,'Données projet'!$E$12+1,1))</f>
        <v>266.30229009596883</v>
      </c>
      <c r="CE40" s="59">
        <f t="shared" si="40"/>
        <v>270.19195828386046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1.2588349050570402</v>
      </c>
      <c r="CL40" s="21">
        <f>EXP(-LN(2)/25)*CL39+(1-EXP(-LN(2)/25))/(LN(2)/25)*Calculateur!CG40*Calculateur!CI40*VLOOKUP('Données projet'!$B$12,Paramètres!$A$1:$I$89,3,0)*0.475*44/12</f>
        <v>6.8940518843517973</v>
      </c>
      <c r="CM40" s="21">
        <f>EXP(-LN(2)/2)*CM39+(1-EXP(-LN(2)/2))/(LN(2)/2)*CG40*CJ40*VLOOKUP('Données projet'!$B$12,Paramètres!$A$1:$I$89,3,0)*0.475*44/12</f>
        <v>1.1553399663668886</v>
      </c>
      <c r="CN40" s="22">
        <f t="shared" si="12"/>
        <v>9.3082267557757259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12.1</v>
      </c>
      <c r="CT40" s="12">
        <f>IF('Données projet'!$A$140&gt;35,CT39+CS40-DB39,IF(A40&lt;'Données projet'!$A$140,$CQ$205^A40,IF(A40='Données projet'!$A$140,'Données projet'!$B$140,CT39+CS40-DB39)))</f>
        <v>226.69999999999996</v>
      </c>
      <c r="CU40" s="17">
        <f>CT40*VLOOKUP('Données projet'!$B$13,Paramètres!$A$1:$I$89,3,0)*VLOOKUP('Données projet'!$B$13,Paramètres!$A$1:$I$89,5,0)</f>
        <v>180.36251999999996</v>
      </c>
      <c r="CV40" s="13">
        <f t="shared" si="41"/>
        <v>45.402830740762262</v>
      </c>
      <c r="CW40" s="20">
        <f t="shared" si="13"/>
        <v>393.20798587349418</v>
      </c>
      <c r="CX40" s="59">
        <f t="shared" si="14"/>
        <v>686.54131920682744</v>
      </c>
      <c r="CY40" s="59">
        <f ca="1">AVERAGE(OFFSET($CX$3,0,0,'Données projet'!$E$13+1,1))-AVERAGE(OFFSET($H$3,0,0,'Données projet'!$E$13+1,1))</f>
        <v>260.20517190557814</v>
      </c>
      <c r="CZ40" s="59">
        <f t="shared" si="42"/>
        <v>307.22009971147133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2.8405981202843482</v>
      </c>
      <c r="DG40" s="21">
        <f>EXP(-LN(2)/25)*DG39+(1-EXP(-LN(2)/25))/(LN(2)/25)*Calculateur!DB40*Calculateur!DD40*VLOOKUP('Données projet'!$B$13,Paramètres!$A$1:$I$89,3,0)*0.475*44/12</f>
        <v>16.899760482042026</v>
      </c>
      <c r="DH40" s="21">
        <f>EXP(-LN(2)/2)*DH39+(1-EXP(-LN(2)/2))/(LN(2)/2)*DB40*DE40*VLOOKUP('Données projet'!$B$13,Paramètres!$A$1:$I$89,3,0)*0.475*44/12</f>
        <v>2.1247705166625459</v>
      </c>
      <c r="DI40" s="22">
        <f t="shared" si="15"/>
        <v>21.865129118988921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</v>
      </c>
      <c r="DO40" s="12">
        <f>IF('Données projet'!$A$166&gt;35,DO39+DN40-DW39,IF(A40&lt;'Données projet'!$A$166,$DL$205^A40,IF(A40='Données projet'!$A$166,'Données projet'!$B$166,DO39+DN40-DW39)))</f>
        <v>170</v>
      </c>
      <c r="DP40" s="17">
        <f>DO40*VLOOKUP('Données projet'!$B$14,Paramètres!$A$1:$I$89,3,0)*VLOOKUP('Données projet'!$B$14,Paramètres!$A$1:$I$89,5,0)</f>
        <v>164.42400000000001</v>
      </c>
      <c r="DQ40" s="13">
        <f t="shared" si="43"/>
        <v>41.838771477410226</v>
      </c>
      <c r="DR40" s="20">
        <f t="shared" si="16"/>
        <v>359.24099365648948</v>
      </c>
      <c r="DS40" s="59">
        <f t="shared" si="17"/>
        <v>652.57432698982279</v>
      </c>
      <c r="DT40" s="59">
        <f ca="1">AVERAGE(OFFSET($DS$3,0,0,'Données projet'!$E$14+1,1))-AVERAGE(OFFSET($H$3,0,0,'Données projet'!$E$14+1,1))</f>
        <v>347.8889410585312</v>
      </c>
      <c r="DU40" s="59">
        <f t="shared" si="44"/>
        <v>254.78167322479203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2.2413716873630989</v>
      </c>
      <c r="EB40" s="21">
        <f>EXP(-LN(2)/25)*EB39+(1-EXP(-LN(2)/25))/(LN(2)/25)*Calculateur!DW40*Calculateur!DY40*VLOOKUP('Données projet'!$B$14,Paramètres!$A$1:$I$89,3,0)*0.475*44/12</f>
        <v>9.9332849795777438</v>
      </c>
      <c r="EC40" s="21">
        <f>EXP(-LN(2)/2)*EC39+(1-EXP(-LN(2)/2))/(LN(2)/2)*DW40*DZ40*VLOOKUP('Données projet'!$B$14,Paramètres!$A$1:$I$89,3,0)*0.475*44/12</f>
        <v>2.0364475357552272</v>
      </c>
      <c r="ED40" s="22">
        <f t="shared" si="18"/>
        <v>14.21110420269607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11</v>
      </c>
      <c r="EJ40" s="12">
        <f>IF('Données projet'!$A$192&gt;35,EJ39+EI40-ER39,IF(A40&lt;'Données projet'!$A$192,$EG$205^A40,IF(A40='Données projet'!$A$192,'Données projet'!$B$192,EJ39+EI40-ER39)))</f>
        <v>170</v>
      </c>
      <c r="EK40" s="17">
        <f>EJ40*VLOOKUP('Données projet'!$B$15,Paramètres!$A$1:$I$89,3,0)*VLOOKUP('Données projet'!$B$15,Paramètres!$A$1:$I$89,5,0)</f>
        <v>182.988</v>
      </c>
      <c r="EL40" s="13">
        <f t="shared" si="45"/>
        <v>45.986322796524831</v>
      </c>
      <c r="EM40" s="20">
        <f t="shared" si="19"/>
        <v>398.79694553728069</v>
      </c>
      <c r="EN40" s="59">
        <f t="shared" si="20"/>
        <v>692.13027887061401</v>
      </c>
      <c r="EO40" s="59">
        <f ca="1">AVERAGE(OFFSET($EN$3,0,0,'Données projet'!$E$15+1,1))-AVERAGE(OFFSET($H$3,0,0,'Données projet'!$E$15+1,1))</f>
        <v>399.38728019348088</v>
      </c>
      <c r="EP40" s="59">
        <f t="shared" si="46"/>
        <v>289.54922160039791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2.4944297810976419</v>
      </c>
      <c r="EW40" s="21">
        <f>EXP(-LN(2)/25)*EW39+(1-EXP(-LN(2)/25))/(LN(2)/25)*Calculateur!ER40*Calculateur!ET40*VLOOKUP('Données projet'!$B$15,Paramètres!$A$1:$I$89,3,0)*0.475*44/12</f>
        <v>11.054784896626849</v>
      </c>
      <c r="EX40" s="21">
        <f>EXP(-LN(2)/2)*EX39+(1-EXP(-LN(2)/2))/(LN(2)/2)*ER40*EU40*VLOOKUP('Données projet'!$B$15,Paramètres!$A$1:$I$89,3,0)*0.475*44/12</f>
        <v>2.2663690317275917</v>
      </c>
      <c r="EY40" s="22">
        <f t="shared" si="21"/>
        <v>15.815583709452083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</v>
      </c>
      <c r="N41" s="13">
        <f>IF('Données projet'!$A$36&gt;35,N40+M41-V40,IF(A41&lt;'Données projet'!$A$36,$K$205^A41,IF(A41='Données projet'!$A$36,'Données projet'!$B$36,N40+M41-V40)))</f>
        <v>181</v>
      </c>
      <c r="O41" s="13">
        <f>N41*VLOOKUP('Données projet'!$B$9,Paramètres!$A$1:$I$89,3,0)*VLOOKUP('Données projet'!$B$9,Paramètres!$A$1:$I$89,5,0)</f>
        <v>163.7688</v>
      </c>
      <c r="P41" s="13">
        <f t="shared" si="33"/>
        <v>41.691423503509803</v>
      </c>
      <c r="Q41" s="20">
        <f t="shared" si="53"/>
        <v>357.84322260194625</v>
      </c>
      <c r="R41" s="59">
        <f t="shared" si="0"/>
        <v>651.17655593527957</v>
      </c>
      <c r="S41" s="59">
        <f ca="1">AVERAGE(OFFSET($R$3,0,0,'Données projet'!$E$9+1,1))-AVERAGE(OFFSET($H$3,0,0,'Données projet'!$E$9+1,1))</f>
        <v>318.40875902853116</v>
      </c>
      <c r="T41" s="59">
        <f t="shared" si="34"/>
        <v>234.87694492493506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2.0556507391804444</v>
      </c>
      <c r="AA41" s="21">
        <f>EXP(-LN(2)/25)*AA40+(1-EXP(-LN(2)/25))/(LN(2)/25)*Calculateur!V41*Calculateur!X41*VLOOKUP('Données projet'!$B$9,Paramètres!$A$1:$I$89,3,0)*0.475*44/12</f>
        <v>9.0383259549622803</v>
      </c>
      <c r="AB41" s="21">
        <f>EXP(-LN(2)/2)*AB40+(1-EXP(-LN(2)/2))/(LN(2)/2)*V41*Y41*VLOOKUP('Données projet'!$B$9,Paramètres!$A$1:$I$89,3,0)*0.475*44/12</f>
        <v>1.3470835483816617</v>
      </c>
      <c r="AC41" s="22">
        <f t="shared" si="3"/>
        <v>12.441060242524387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11.5</v>
      </c>
      <c r="AI41" s="13">
        <f>IF('Données projet'!$A$62&gt;35,AI40+AH41-AQ40,IF(A41&lt;'Données projet'!$A$62,$AF$205^A41,IF(A41='Données projet'!$A$62,'Données projet'!$B$62,AI40+AH41-AQ40)))</f>
        <v>232.00000000000006</v>
      </c>
      <c r="AJ41" s="13">
        <f>AI41*VLOOKUP('Données projet'!$B$10,Paramètres!$A$1:$I$89,3,0)*VLOOKUP('Données projet'!$B$10,Paramètres!$A$1:$I$89,5,0)</f>
        <v>202.67520000000007</v>
      </c>
      <c r="AK41" s="13">
        <f t="shared" si="35"/>
        <v>50.331640285313689</v>
      </c>
      <c r="AL41" s="20">
        <f t="shared" si="4"/>
        <v>440.65358016358806</v>
      </c>
      <c r="AM41" s="59">
        <f t="shared" si="5"/>
        <v>733.98691349692137</v>
      </c>
      <c r="AN41" s="59">
        <f ca="1">AVERAGE(OFFSET($AM$3,0,0,'Données projet'!$E$10+1,1))-AVERAGE(OFFSET($H$3,0,0,'Données projet'!$E$10+1,1))</f>
        <v>243.38048563215585</v>
      </c>
      <c r="AO41" s="59">
        <f t="shared" si="36"/>
        <v>372.1604147006675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6.2378367257889362</v>
      </c>
      <c r="AV41" s="21">
        <f>EXP(-LN(2)/25)*AV40+(1-EXP(-LN(2)/25))/(LN(2)/25)*Calculateur!AQ41*Calculateur!AS41*VLOOKUP('Données projet'!$B$10,Paramètres!$A$1:$I$89,3,0)*0.475*44/12</f>
        <v>15.510658255886524</v>
      </c>
      <c r="AW41" s="21">
        <f>EXP(-LN(2)/2)*AW40+(1-EXP(-LN(2)/2))/(LN(2)/2)*AQ41*AT41*VLOOKUP('Données projet'!$B$10,Paramètres!$A$1:$I$89,3,0)*0.475*44/12</f>
        <v>1.832183700822634</v>
      </c>
      <c r="AX41" s="21">
        <f t="shared" si="6"/>
        <v>23.580678682498093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12.1</v>
      </c>
      <c r="BD41" s="12">
        <f>IF('Données projet'!$A$88&gt;35,BD40+BC41-BL40,IF(A41&lt;'Données projet'!$A$88,$BA$205^A41,IF(A41='Données projet'!$A$88,'Données projet'!$B$88,BD40+BC41-BL40)))</f>
        <v>238.79999999999995</v>
      </c>
      <c r="BE41" s="13">
        <f>BD41*VLOOKUP('Données projet'!$B$11,Paramètres!$A$1:$I$89,3,0)*VLOOKUP('Données projet'!$B$11,Paramètres!$A$1:$I$89,5,0)</f>
        <v>160.18703999999997</v>
      </c>
      <c r="BF41" s="13">
        <f t="shared" si="37"/>
        <v>40.884699931781583</v>
      </c>
      <c r="BG41" s="20">
        <f t="shared" si="7"/>
        <v>350.1999470478529</v>
      </c>
      <c r="BH41" s="59">
        <f t="shared" si="8"/>
        <v>643.53328038118616</v>
      </c>
      <c r="BI41" s="59">
        <f ca="1">AVERAGE(OFFSET($BH$3,0,0,'Données projet'!$E$11+1,1))-AVERAGE(OFFSET($H$3,0,0,'Données projet'!$E$11+1,1))</f>
        <v>207.93042467236967</v>
      </c>
      <c r="BJ41" s="59">
        <f t="shared" si="38"/>
        <v>250.70954318710835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2.3480493357018011</v>
      </c>
      <c r="BQ41" s="21">
        <f>EXP(-LN(2)/25)*BQ40+(1-EXP(-LN(2)/25))/(LN(2)/25)*Calculateur!BL41*Calculateur!BN41*VLOOKUP('Données projet'!$B$11,Paramètres!$A$1:$I$89,3,0)*0.475*44/12</f>
        <v>13.859182993067742</v>
      </c>
      <c r="BR41" s="21">
        <f>EXP(-LN(2)/2)*BR40+(1-EXP(-LN(2)/2))/(LN(2)/2)*BL41*BO41*VLOOKUP('Données projet'!$B$11,Paramètres!$A$1:$I$89,3,0)*0.475*44/12</f>
        <v>1.2667628343977491</v>
      </c>
      <c r="BS41" s="22">
        <f t="shared" si="9"/>
        <v>17.473995163167292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11.5</v>
      </c>
      <c r="BY41" s="12">
        <f>IF('Données projet'!$A$114&gt;35,BY40+BX41-CG40,IF(A41&lt;'Données projet'!$A$114,$BV$205^A41,IF(A41='Données projet'!$A$114,'Données projet'!$B$114,BY40+BX41-CG40)))</f>
        <v>247.00000000000006</v>
      </c>
      <c r="BZ41" s="13">
        <f>BY41*VLOOKUP('Données projet'!$B$12,Paramètres!$A$1:$I$89,3,0)*VLOOKUP('Données projet'!$B$12,Paramètres!$A$1:$I$89,5,0)</f>
        <v>192.66000000000005</v>
      </c>
      <c r="CA41" s="13">
        <f t="shared" si="39"/>
        <v>48.127564387788738</v>
      </c>
      <c r="CB41" s="20">
        <f t="shared" si="10"/>
        <v>419.3716746420655</v>
      </c>
      <c r="CC41" s="59">
        <f t="shared" si="11"/>
        <v>712.70500797539876</v>
      </c>
      <c r="CD41" s="59">
        <f ca="1">AVERAGE(OFFSET($CC$3,0,0,'Données projet'!$E$12+1,1))-AVERAGE(OFFSET($H$3,0,0,'Données projet'!$E$12+1,1))</f>
        <v>266.30229009596883</v>
      </c>
      <c r="CE41" s="59">
        <f t="shared" si="40"/>
        <v>270.19195828386046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1.2341499203823485</v>
      </c>
      <c r="CL41" s="21">
        <f>EXP(-LN(2)/25)*CL40+(1-EXP(-LN(2)/25))/(LN(2)/25)*Calculateur!CG41*Calculateur!CI41*VLOOKUP('Données projet'!$B$12,Paramètres!$A$1:$I$89,3,0)*0.475*44/12</f>
        <v>6.7055336730317654</v>
      </c>
      <c r="CM41" s="21">
        <f>EXP(-LN(2)/2)*CM40+(1-EXP(-LN(2)/2))/(LN(2)/2)*CG41*CJ41*VLOOKUP('Données projet'!$B$12,Paramètres!$A$1:$I$89,3,0)*0.475*44/12</f>
        <v>0.81694872479386471</v>
      </c>
      <c r="CN41" s="22">
        <f t="shared" si="12"/>
        <v>8.7566323182079788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12.1</v>
      </c>
      <c r="CT41" s="12">
        <f>IF('Données projet'!$A$140&gt;35,CT40+CS41-DB40,IF(A41&lt;'Données projet'!$A$140,$CQ$205^A41,IF(A41='Données projet'!$A$140,'Données projet'!$B$140,CT40+CS41-DB40)))</f>
        <v>238.79999999999995</v>
      </c>
      <c r="CU41" s="17">
        <f>CT41*VLOOKUP('Données projet'!$B$13,Paramètres!$A$1:$I$89,3,0)*VLOOKUP('Données projet'!$B$13,Paramètres!$A$1:$I$89,5,0)</f>
        <v>189.98927999999998</v>
      </c>
      <c r="CV41" s="13">
        <f t="shared" si="41"/>
        <v>47.537582803650189</v>
      </c>
      <c r="CW41" s="20">
        <f t="shared" si="13"/>
        <v>413.69261938302407</v>
      </c>
      <c r="CX41" s="59">
        <f t="shared" si="14"/>
        <v>707.02595271635732</v>
      </c>
      <c r="CY41" s="59">
        <f ca="1">AVERAGE(OFFSET($CX$3,0,0,'Données projet'!$E$13+1,1))-AVERAGE(OFFSET($H$3,0,0,'Données projet'!$E$13+1,1))</f>
        <v>260.20517190557814</v>
      </c>
      <c r="CZ41" s="59">
        <f t="shared" si="42"/>
        <v>307.22009971147133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2.7848957237393459</v>
      </c>
      <c r="DG41" s="21">
        <f>EXP(-LN(2)/25)*DG40+(1-EXP(-LN(2)/25))/(LN(2)/25)*Calculateur!DB41*Calculateur!DD41*VLOOKUP('Données projet'!$B$13,Paramètres!$A$1:$I$89,3,0)*0.475*44/12</f>
        <v>16.437635642940808</v>
      </c>
      <c r="DH41" s="21">
        <f>EXP(-LN(2)/2)*DH40+(1-EXP(-LN(2)/2))/(LN(2)/2)*DB41*DE41*VLOOKUP('Données projet'!$B$13,Paramètres!$A$1:$I$89,3,0)*0.475*44/12</f>
        <v>1.5024396407973304</v>
      </c>
      <c r="DI41" s="22">
        <f t="shared" si="15"/>
        <v>20.724971007477485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</v>
      </c>
      <c r="DO41" s="12">
        <f>IF('Données projet'!$A$166&gt;35,DO40+DN41-DW40,IF(A41&lt;'Données projet'!$A$166,$DL$205^A41,IF(A41='Données projet'!$A$166,'Données projet'!$B$166,DO40+DN41-DW40)))</f>
        <v>181</v>
      </c>
      <c r="DP41" s="17">
        <f>DO41*VLOOKUP('Données projet'!$B$14,Paramètres!$A$1:$I$89,3,0)*VLOOKUP('Données projet'!$B$14,Paramètres!$A$1:$I$89,5,0)</f>
        <v>175.06319999999999</v>
      </c>
      <c r="DQ41" s="13">
        <f t="shared" si="43"/>
        <v>44.22206774682472</v>
      </c>
      <c r="DR41" s="20">
        <f t="shared" si="16"/>
        <v>381.9218413257197</v>
      </c>
      <c r="DS41" s="59">
        <f t="shared" si="17"/>
        <v>675.25517465905295</v>
      </c>
      <c r="DT41" s="59">
        <f ca="1">AVERAGE(OFFSET($DS$3,0,0,'Données projet'!$E$14+1,1))-AVERAGE(OFFSET($H$3,0,0,'Données projet'!$E$14+1,1))</f>
        <v>347.8889410585312</v>
      </c>
      <c r="DU41" s="59">
        <f t="shared" si="44"/>
        <v>254.78167322479203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2.1974197556756478</v>
      </c>
      <c r="EB41" s="21">
        <f>EXP(-LN(2)/25)*EB40+(1-EXP(-LN(2)/25))/(LN(2)/25)*Calculateur!DW41*Calculateur!DY41*VLOOKUP('Données projet'!$B$14,Paramètres!$A$1:$I$89,3,0)*0.475*44/12</f>
        <v>9.6616587794424369</v>
      </c>
      <c r="EC41" s="21">
        <f>EXP(-LN(2)/2)*EC40+(1-EXP(-LN(2)/2))/(LN(2)/2)*DW41*DZ41*VLOOKUP('Données projet'!$B$14,Paramètres!$A$1:$I$89,3,0)*0.475*44/12</f>
        <v>1.4399858620631554</v>
      </c>
      <c r="ED41" s="22">
        <f t="shared" si="18"/>
        <v>13.29906439718124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</v>
      </c>
      <c r="EJ41" s="12">
        <f>IF('Données projet'!$A$192&gt;35,EJ40+EI41-ER40,IF(A41&lt;'Données projet'!$A$192,$EG$205^A41,IF(A41='Données projet'!$A$192,'Données projet'!$B$192,EJ40+EI41-ER40)))</f>
        <v>181</v>
      </c>
      <c r="EK41" s="17">
        <f>EJ41*VLOOKUP('Données projet'!$B$15,Paramètres!$A$1:$I$89,3,0)*VLOOKUP('Données projet'!$B$15,Paramètres!$A$1:$I$89,5,0)</f>
        <v>194.82839999999999</v>
      </c>
      <c r="EL41" s="13">
        <f t="shared" si="45"/>
        <v>48.605879434898533</v>
      </c>
      <c r="EM41" s="20">
        <f t="shared" si="19"/>
        <v>423.98137001578152</v>
      </c>
      <c r="EN41" s="59">
        <f t="shared" si="20"/>
        <v>717.31470334911478</v>
      </c>
      <c r="EO41" s="59">
        <f ca="1">AVERAGE(OFFSET($EN$3,0,0,'Données projet'!$E$15+1,1))-AVERAGE(OFFSET($H$3,0,0,'Données projet'!$E$15+1,1))</f>
        <v>399.38728019348088</v>
      </c>
      <c r="EP41" s="59">
        <f t="shared" si="46"/>
        <v>289.54922160039791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2.4455155345422526</v>
      </c>
      <c r="EW41" s="21">
        <f>EXP(-LN(2)/25)*EW40+(1-EXP(-LN(2)/25))/(LN(2)/25)*Calculateur!ER41*Calculateur!ET41*VLOOKUP('Données projet'!$B$15,Paramètres!$A$1:$I$89,3,0)*0.475*44/12</f>
        <v>10.752491222282716</v>
      </c>
      <c r="EX41" s="21">
        <f>EXP(-LN(2)/2)*EX40+(1-EXP(-LN(2)/2))/(LN(2)/2)*ER41*EU41*VLOOKUP('Données projet'!$B$15,Paramètres!$A$1:$I$89,3,0)*0.475*44/12</f>
        <v>1.6025649110057698</v>
      </c>
      <c r="EY41" s="22">
        <f t="shared" si="21"/>
        <v>14.800571667830738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</v>
      </c>
      <c r="N42" s="13">
        <f>IF('Données projet'!$A$36&gt;35,N41+M42-V41,IF(A42&lt;'Données projet'!$A$36,$K$205^A42,IF(A42='Données projet'!$A$36,'Données projet'!$B$36,N41+M42-V41)))</f>
        <v>192</v>
      </c>
      <c r="O42" s="13">
        <f>N42*VLOOKUP('Données projet'!$B$9,Paramètres!$A$1:$I$89,3,0)*VLOOKUP('Données projet'!$B$9,Paramètres!$A$1:$I$89,5,0)</f>
        <v>173.7216</v>
      </c>
      <c r="P42" s="13">
        <f t="shared" si="33"/>
        <v>43.922484755075111</v>
      </c>
      <c r="Q42" s="20">
        <f t="shared" si="53"/>
        <v>379.06344761508916</v>
      </c>
      <c r="R42" s="59">
        <f t="shared" si="0"/>
        <v>672.39678094842247</v>
      </c>
      <c r="S42" s="59">
        <f ca="1">AVERAGE(OFFSET($R$3,0,0,'Données projet'!$E$9+1,1))-AVERAGE(OFFSET($H$3,0,0,'Données projet'!$E$9+1,1))</f>
        <v>318.40875902853116</v>
      </c>
      <c r="T42" s="59">
        <f t="shared" si="34"/>
        <v>234.87694492493506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2.015340682008262</v>
      </c>
      <c r="AA42" s="21">
        <f>EXP(-LN(2)/25)*AA41+(1-EXP(-LN(2)/25))/(LN(2)/25)*Calculateur!V42*Calculateur!X42*VLOOKUP('Données projet'!$B$9,Paramètres!$A$1:$I$89,3,0)*0.475*44/12</f>
        <v>8.7911724564189324</v>
      </c>
      <c r="AB42" s="21">
        <f>EXP(-LN(2)/2)*AB41+(1-EXP(-LN(2)/2))/(LN(2)/2)*V42*Y42*VLOOKUP('Données projet'!$B$9,Paramètres!$A$1:$I$89,3,0)*0.475*44/12</f>
        <v>0.95253191188550967</v>
      </c>
      <c r="AC42" s="22">
        <f t="shared" si="3"/>
        <v>11.759045050312704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11.5</v>
      </c>
      <c r="AI42" s="13">
        <f>IF('Données projet'!$A$62&gt;35,AI41+AH42-AQ41,IF(A42&lt;'Données projet'!$A$62,$AF$205^A42,IF(A42='Données projet'!$A$62,'Données projet'!$B$62,AI41+AH42-AQ41)))</f>
        <v>243.50000000000006</v>
      </c>
      <c r="AJ42" s="13">
        <f>AI42*VLOOKUP('Données projet'!$B$10,Paramètres!$A$1:$I$89,3,0)*VLOOKUP('Données projet'!$B$10,Paramètres!$A$1:$I$89,5,0)</f>
        <v>212.72160000000008</v>
      </c>
      <c r="AK42" s="13">
        <f t="shared" si="35"/>
        <v>52.529877327267741</v>
      </c>
      <c r="AL42" s="20">
        <f t="shared" si="4"/>
        <v>461.9796563449915</v>
      </c>
      <c r="AM42" s="59">
        <f t="shared" si="5"/>
        <v>755.31298967832481</v>
      </c>
      <c r="AN42" s="59">
        <f ca="1">AVERAGE(OFFSET($AM$3,0,0,'Données projet'!$E$10+1,1))-AVERAGE(OFFSET($H$3,0,0,'Données projet'!$E$10+1,1))</f>
        <v>243.38048563215585</v>
      </c>
      <c r="AO42" s="59">
        <f t="shared" si="36"/>
        <v>372.1604147006675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6.1155165523009343</v>
      </c>
      <c r="AV42" s="21">
        <f>EXP(-LN(2)/25)*AV41+(1-EXP(-LN(2)/25))/(LN(2)/25)*Calculateur!AQ42*Calculateur!AS42*VLOOKUP('Données projet'!$B$10,Paramètres!$A$1:$I$89,3,0)*0.475*44/12</f>
        <v>15.086518490209238</v>
      </c>
      <c r="AW42" s="21">
        <f>EXP(-LN(2)/2)*AW41+(1-EXP(-LN(2)/2))/(LN(2)/2)*AQ42*AT42*VLOOKUP('Données projet'!$B$10,Paramètres!$A$1:$I$89,3,0)*0.475*44/12</f>
        <v>1.2955495192311492</v>
      </c>
      <c r="AX42" s="21">
        <f t="shared" si="6"/>
        <v>22.49758456174132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12.1</v>
      </c>
      <c r="BD42" s="12">
        <f>IF('Données projet'!$A$88&gt;35,BD41+BC42-BL41,IF(A42&lt;'Données projet'!$A$88,$BA$205^A42,IF(A42='Données projet'!$A$88,'Données projet'!$B$88,BD41+BC42-BL41)))</f>
        <v>250.89999999999995</v>
      </c>
      <c r="BE42" s="13">
        <f>BD42*VLOOKUP('Données projet'!$B$11,Paramètres!$A$1:$I$89,3,0)*VLOOKUP('Données projet'!$B$11,Paramètres!$A$1:$I$89,5,0)</f>
        <v>168.30371999999997</v>
      </c>
      <c r="BF42" s="13">
        <f t="shared" si="37"/>
        <v>42.709891845639163</v>
      </c>
      <c r="BG42" s="20">
        <f t="shared" si="7"/>
        <v>367.51537396448816</v>
      </c>
      <c r="BH42" s="59">
        <f t="shared" si="8"/>
        <v>660.84870729782142</v>
      </c>
      <c r="BI42" s="59">
        <f ca="1">AVERAGE(OFFSET($BH$3,0,0,'Données projet'!$E$11+1,1))-AVERAGE(OFFSET($H$3,0,0,'Données projet'!$E$11+1,1))</f>
        <v>207.93042467236967</v>
      </c>
      <c r="BJ42" s="59">
        <f t="shared" si="38"/>
        <v>250.70954318710835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2.3020055203973686</v>
      </c>
      <c r="BQ42" s="21">
        <f>EXP(-LN(2)/25)*BQ41+(1-EXP(-LN(2)/25))/(LN(2)/25)*Calculateur!BL42*Calculateur!BN42*VLOOKUP('Données projet'!$B$11,Paramètres!$A$1:$I$89,3,0)*0.475*44/12</f>
        <v>13.480202905299548</v>
      </c>
      <c r="BR42" s="21">
        <f>EXP(-LN(2)/2)*BR41+(1-EXP(-LN(2)/2))/(LN(2)/2)*BL42*BO42*VLOOKUP('Données projet'!$B$11,Paramètres!$A$1:$I$89,3,0)*0.475*44/12</f>
        <v>0.89573659035773989</v>
      </c>
      <c r="BS42" s="22">
        <f t="shared" si="9"/>
        <v>16.677945016054657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11.5</v>
      </c>
      <c r="BY42" s="12">
        <f>IF('Données projet'!$A$114&gt;35,BY41+BX42-CG41,IF(A42&lt;'Données projet'!$A$114,$BV$205^A42,IF(A42='Données projet'!$A$114,'Données projet'!$B$114,BY41+BX42-CG41)))</f>
        <v>258.50000000000006</v>
      </c>
      <c r="BZ42" s="13">
        <f>BY42*VLOOKUP('Données projet'!$B$12,Paramètres!$A$1:$I$89,3,0)*VLOOKUP('Données projet'!$B$12,Paramètres!$A$1:$I$89,5,0)</f>
        <v>201.63000000000005</v>
      </c>
      <c r="CA42" s="13">
        <f t="shared" si="39"/>
        <v>50.102222986612546</v>
      </c>
      <c r="CB42" s="20">
        <f t="shared" si="10"/>
        <v>438.43362170168365</v>
      </c>
      <c r="CC42" s="59">
        <f t="shared" si="11"/>
        <v>731.76695503501696</v>
      </c>
      <c r="CD42" s="59">
        <f ca="1">AVERAGE(OFFSET($CC$3,0,0,'Données projet'!$E$12+1,1))-AVERAGE(OFFSET($H$3,0,0,'Données projet'!$E$12+1,1))</f>
        <v>266.30229009596883</v>
      </c>
      <c r="CE42" s="59">
        <f t="shared" si="40"/>
        <v>270.19195828386046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1.2099489932007734</v>
      </c>
      <c r="CL42" s="21">
        <f>EXP(-LN(2)/25)*CL41+(1-EXP(-LN(2)/25))/(LN(2)/25)*Calculateur!CG42*Calculateur!CI42*VLOOKUP('Données projet'!$B$12,Paramètres!$A$1:$I$89,3,0)*0.475*44/12</f>
        <v>6.5221705021140215</v>
      </c>
      <c r="CM42" s="21">
        <f>EXP(-LN(2)/2)*CM41+(1-EXP(-LN(2)/2))/(LN(2)/2)*CG42*CJ42*VLOOKUP('Données projet'!$B$12,Paramètres!$A$1:$I$89,3,0)*0.475*44/12</f>
        <v>0.57766998318344431</v>
      </c>
      <c r="CN42" s="22">
        <f t="shared" si="12"/>
        <v>8.3097894784982387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12.1</v>
      </c>
      <c r="CT42" s="12">
        <f>IF('Données projet'!$A$140&gt;35,CT41+CS42-DB41,IF(A42&lt;'Données projet'!$A$140,$CQ$205^A42,IF(A42='Données projet'!$A$140,'Données projet'!$B$140,CT41+CS42-DB41)))</f>
        <v>250.89999999999995</v>
      </c>
      <c r="CU42" s="17">
        <f>CT42*VLOOKUP('Données projet'!$B$13,Paramètres!$A$1:$I$89,3,0)*VLOOKUP('Données projet'!$B$13,Paramètres!$A$1:$I$89,5,0)</f>
        <v>199.61603999999997</v>
      </c>
      <c r="CV42" s="13">
        <f t="shared" si="41"/>
        <v>49.659775503665841</v>
      </c>
      <c r="CW42" s="20">
        <f t="shared" si="13"/>
        <v>434.15537866888457</v>
      </c>
      <c r="CX42" s="59">
        <f t="shared" si="14"/>
        <v>727.48871200221788</v>
      </c>
      <c r="CY42" s="59">
        <f ca="1">AVERAGE(OFFSET($CX$3,0,0,'Données projet'!$E$13+1,1))-AVERAGE(OFFSET($H$3,0,0,'Données projet'!$E$13+1,1))</f>
        <v>260.20517190557814</v>
      </c>
      <c r="CZ42" s="59">
        <f t="shared" si="42"/>
        <v>307.22009971147133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2.7302856172154844</v>
      </c>
      <c r="DG42" s="21">
        <f>EXP(-LN(2)/25)*DG41+(1-EXP(-LN(2)/25))/(LN(2)/25)*Calculateur!DB42*Calculateur!DD42*VLOOKUP('Données projet'!$B$13,Paramètres!$A$1:$I$89,3,0)*0.475*44/12</f>
        <v>15.988147631866902</v>
      </c>
      <c r="DH42" s="21">
        <f>EXP(-LN(2)/2)*DH41+(1-EXP(-LN(2)/2))/(LN(2)/2)*DB42*DE42*VLOOKUP('Données projet'!$B$13,Paramètres!$A$1:$I$89,3,0)*0.475*44/12</f>
        <v>1.062385258331273</v>
      </c>
      <c r="DI42" s="22">
        <f t="shared" si="15"/>
        <v>19.78081850741366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</v>
      </c>
      <c r="DO42" s="12">
        <f>IF('Données projet'!$A$166&gt;35,DO41+DN42-DW41,IF(A42&lt;'Données projet'!$A$166,$DL$205^A42,IF(A42='Données projet'!$A$166,'Données projet'!$B$166,DO41+DN42-DW41)))</f>
        <v>192</v>
      </c>
      <c r="DP42" s="17">
        <f>DO42*VLOOKUP('Données projet'!$B$14,Paramètres!$A$1:$I$89,3,0)*VLOOKUP('Données projet'!$B$14,Paramètres!$A$1:$I$89,5,0)</f>
        <v>185.70239999999998</v>
      </c>
      <c r="DQ42" s="13">
        <f t="shared" si="43"/>
        <v>46.588553069776829</v>
      </c>
      <c r="DR42" s="20">
        <f t="shared" si="16"/>
        <v>404.57340992986127</v>
      </c>
      <c r="DS42" s="59">
        <f t="shared" si="17"/>
        <v>697.90674326319458</v>
      </c>
      <c r="DT42" s="59">
        <f ca="1">AVERAGE(OFFSET($DS$3,0,0,'Données projet'!$E$14+1,1))-AVERAGE(OFFSET($H$3,0,0,'Données projet'!$E$14+1,1))</f>
        <v>347.8889410585312</v>
      </c>
      <c r="DU42" s="59">
        <f t="shared" si="44"/>
        <v>254.78167322479203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2.1543296945605563</v>
      </c>
      <c r="EB42" s="21">
        <f>EXP(-LN(2)/25)*EB41+(1-EXP(-LN(2)/25))/(LN(2)/25)*Calculateur!DW42*Calculateur!DY42*VLOOKUP('Données projet'!$B$14,Paramètres!$A$1:$I$89,3,0)*0.475*44/12</f>
        <v>9.39746021203403</v>
      </c>
      <c r="EC42" s="21">
        <f>EXP(-LN(2)/2)*EC41+(1-EXP(-LN(2)/2))/(LN(2)/2)*DW42*DZ42*VLOOKUP('Données projet'!$B$14,Paramètres!$A$1:$I$89,3,0)*0.475*44/12</f>
        <v>1.0182237678776136</v>
      </c>
      <c r="ED42" s="22">
        <f t="shared" si="18"/>
        <v>12.570013674472198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</v>
      </c>
      <c r="EJ42" s="12">
        <f>IF('Données projet'!$A$192&gt;35,EJ41+EI42-ER41,IF(A42&lt;'Données projet'!$A$192,$EG$205^A42,IF(A42='Données projet'!$A$192,'Données projet'!$B$192,EJ41+EI42-ER41)))</f>
        <v>192</v>
      </c>
      <c r="EK42" s="17">
        <f>EJ42*VLOOKUP('Données projet'!$B$15,Paramètres!$A$1:$I$89,3,0)*VLOOKUP('Données projet'!$B$15,Paramètres!$A$1:$I$89,5,0)</f>
        <v>206.6688</v>
      </c>
      <c r="EL42" s="13">
        <f t="shared" si="45"/>
        <v>51.206958627992755</v>
      </c>
      <c r="EM42" s="20">
        <f t="shared" si="19"/>
        <v>449.13361294375403</v>
      </c>
      <c r="EN42" s="59">
        <f t="shared" si="20"/>
        <v>742.46694627708735</v>
      </c>
      <c r="EO42" s="59">
        <f ca="1">AVERAGE(OFFSET($EN$3,0,0,'Données projet'!$E$15+1,1))-AVERAGE(OFFSET($H$3,0,0,'Données projet'!$E$15+1,1))</f>
        <v>399.38728019348088</v>
      </c>
      <c r="EP42" s="59">
        <f t="shared" si="46"/>
        <v>289.54922160039791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2.3975604665270702</v>
      </c>
      <c r="EW42" s="21">
        <f>EXP(-LN(2)/25)*EW41+(1-EXP(-LN(2)/25))/(LN(2)/25)*Calculateur!ER42*Calculateur!ET42*VLOOKUP('Données projet'!$B$15,Paramètres!$A$1:$I$89,3,0)*0.475*44/12</f>
        <v>10.458463784360458</v>
      </c>
      <c r="EX42" s="21">
        <f>EXP(-LN(2)/2)*EX41+(1-EXP(-LN(2)/2))/(LN(2)/2)*ER42*EU42*VLOOKUP('Données projet'!$B$15,Paramètres!$A$1:$I$89,3,0)*0.475*44/12</f>
        <v>1.1331845158637959</v>
      </c>
      <c r="EY42" s="22">
        <f t="shared" si="21"/>
        <v>13.989208766751323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203</v>
      </c>
      <c r="L43" s="12">
        <f>VLOOKUP(A43,'Données projet'!$A$35:$I$55,9,0)</f>
        <v>11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203</v>
      </c>
      <c r="O43" s="13">
        <f>N43*VLOOKUP('Données projet'!$B$9,Paramètres!$A$1:$I$89,3,0)*VLOOKUP('Données projet'!$B$9,Paramètres!$A$1:$I$89,5,0)</f>
        <v>183.67439999999999</v>
      </c>
      <c r="P43" s="13">
        <f t="shared" si="33"/>
        <v>46.138708549418673</v>
      </c>
      <c r="Q43" s="20">
        <f t="shared" si="53"/>
        <v>400.25783072357081</v>
      </c>
      <c r="R43" s="59">
        <f t="shared" si="0"/>
        <v>693.59116405690406</v>
      </c>
      <c r="S43" s="59">
        <f ca="1">AVERAGE(OFFSET($R$3,0,0,'Données projet'!$E$9+1,1))-AVERAGE(OFFSET($H$3,0,0,'Données projet'!$E$9+1,1))</f>
        <v>318.40875902853116</v>
      </c>
      <c r="T43" s="59">
        <f t="shared" si="34"/>
        <v>234.87694492493506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1.975821080470519</v>
      </c>
      <c r="AA43" s="21">
        <f>EXP(-LN(2)/25)*AA42+(1-EXP(-LN(2)/25))/(LN(2)/25)*Calculateur!V43*Calculateur!X43*VLOOKUP('Données projet'!$B$9,Paramètres!$A$1:$I$89,3,0)*0.475*44/12</f>
        <v>8.5507773832904892</v>
      </c>
      <c r="AB43" s="21">
        <f>EXP(-LN(2)/2)*AB42+(1-EXP(-LN(2)/2))/(LN(2)/2)*V43*Y43*VLOOKUP('Données projet'!$B$9,Paramètres!$A$1:$I$89,3,0)*0.475*44/12</f>
        <v>0.67354177419083094</v>
      </c>
      <c r="AC43" s="22">
        <f t="shared" si="3"/>
        <v>11.200140237951839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255</v>
      </c>
      <c r="AG43" s="12">
        <f>VLOOKUP(A43,'Données projet'!$A$61:$I$81,9,0)</f>
        <v>11.5</v>
      </c>
      <c r="AH43" s="12">
        <f t="array" ref="AH43">INDEX(AG:AG,MIN(IF(ISNUMBER(AG43:AG239),ROW(AG43:AG239),"")))</f>
        <v>11.5</v>
      </c>
      <c r="AI43" s="13">
        <f>IF('Données projet'!$A$62&gt;35,AI42+AH43-AQ42,IF(A43&lt;'Données projet'!$A$62,$AF$205^A43,IF(A43='Données projet'!$A$62,'Données projet'!$B$62,AI42+AH43-AQ42)))</f>
        <v>255.00000000000006</v>
      </c>
      <c r="AJ43" s="13">
        <f>AI43*VLOOKUP('Données projet'!$B$10,Paramètres!$A$1:$I$89,3,0)*VLOOKUP('Données projet'!$B$10,Paramètres!$A$1:$I$89,5,0)</f>
        <v>222.76800000000006</v>
      </c>
      <c r="AK43" s="13">
        <f t="shared" si="35"/>
        <v>54.716058356609508</v>
      </c>
      <c r="AL43" s="20">
        <f t="shared" si="4"/>
        <v>483.28473497109502</v>
      </c>
      <c r="AM43" s="59">
        <f t="shared" si="5"/>
        <v>776.61806830442833</v>
      </c>
      <c r="AN43" s="59">
        <f ca="1">AVERAGE(OFFSET($AM$3,0,0,'Données projet'!$E$10+1,1))-AVERAGE(OFFSET($H$3,0,0,'Données projet'!$E$10+1,1))</f>
        <v>243.38048563215585</v>
      </c>
      <c r="AO43" s="59">
        <f t="shared" si="36"/>
        <v>372.1604147006675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81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5.995595002807093</v>
      </c>
      <c r="AV43" s="21">
        <f>EXP(-LN(2)/25)*AV42+(1-EXP(-LN(2)/25))/(LN(2)/25)*Calculateur!AQ43*Calculateur!AS43*VLOOKUP('Données projet'!$B$10,Paramètres!$A$1:$I$89,3,0)*0.475*44/12</f>
        <v>14.673976848728939</v>
      </c>
      <c r="AW43" s="21">
        <f>EXP(-LN(2)/2)*AW42+(1-EXP(-LN(2)/2))/(LN(2)/2)*AQ43*AT43*VLOOKUP('Données projet'!$B$10,Paramètres!$A$1:$I$89,3,0)*0.475*44/12</f>
        <v>0.91609185041131713</v>
      </c>
      <c r="AX43" s="21">
        <f t="shared" si="6"/>
        <v>21.58566370194735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12.1</v>
      </c>
      <c r="BC43" s="12">
        <f t="array" ref="BC43">INDEX(BB:BB,MIN(IF(ISNUMBER(BB43:BB239),ROW(BB43:BB239),"")))</f>
        <v>12.1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176.42039999999997</v>
      </c>
      <c r="BF43" s="13">
        <f t="shared" si="37"/>
        <v>44.5248624718784</v>
      </c>
      <c r="BG43" s="20">
        <f t="shared" si="7"/>
        <v>384.81299880518822</v>
      </c>
      <c r="BH43" s="59">
        <f t="shared" si="8"/>
        <v>678.14633213852153</v>
      </c>
      <c r="BI43" s="59">
        <f ca="1">AVERAGE(OFFSET($BH$3,0,0,'Données projet'!$E$11+1,1))-AVERAGE(OFFSET($H$3,0,0,'Données projet'!$E$11+1,1))</f>
        <v>207.93042467236967</v>
      </c>
      <c r="BJ43" s="59">
        <f t="shared" si="38"/>
        <v>250.70954318710835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2.2568645962271017</v>
      </c>
      <c r="BQ43" s="21">
        <f>EXP(-LN(2)/25)*BQ42+(1-EXP(-LN(2)/25))/(LN(2)/25)*Calculateur!BL43*Calculateur!BN43*VLOOKUP('Données projet'!$B$11,Paramètres!$A$1:$I$89,3,0)*0.475*44/12</f>
        <v>13.111586047961071</v>
      </c>
      <c r="BR43" s="21">
        <f>EXP(-LN(2)/2)*BR42+(1-EXP(-LN(2)/2))/(LN(2)/2)*BL43*BO43*VLOOKUP('Données projet'!$B$11,Paramètres!$A$1:$I$89,3,0)*0.475*44/12</f>
        <v>0.63338141719887453</v>
      </c>
      <c r="BS43" s="22">
        <f t="shared" si="9"/>
        <v>16.001832061387049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270</v>
      </c>
      <c r="BW43" s="12">
        <f>VLOOKUP(A43,'Données projet'!$A$113:$I$133,9,0)</f>
        <v>11.5</v>
      </c>
      <c r="BX43" s="12">
        <f t="array" ref="BX43">INDEX(BW:BW,MIN(IF(ISNUMBER(BW43:BW239),ROW(BW43:BW239),"")))</f>
        <v>11.5</v>
      </c>
      <c r="BY43" s="12">
        <f>IF('Données projet'!$A$114&gt;35,BY42+BX43-CG42,IF(A43&lt;'Données projet'!$A$114,$BV$205^A43,IF(A43='Données projet'!$A$114,'Données projet'!$B$114,BY42+BX43-CG42)))</f>
        <v>270.00000000000006</v>
      </c>
      <c r="BZ43" s="13">
        <f>BY43*VLOOKUP('Données projet'!$B$12,Paramètres!$A$1:$I$89,3,0)*VLOOKUP('Données projet'!$B$12,Paramètres!$A$1:$I$89,5,0)</f>
        <v>210.60000000000005</v>
      </c>
      <c r="CA43" s="13">
        <f t="shared" si="39"/>
        <v>52.066679014660011</v>
      </c>
      <c r="CB43" s="20">
        <f t="shared" si="10"/>
        <v>457.47779928386626</v>
      </c>
      <c r="CC43" s="59">
        <f t="shared" si="11"/>
        <v>750.81113261719952</v>
      </c>
      <c r="CD43" s="59">
        <f ca="1">AVERAGE(OFFSET($CC$3,0,0,'Données projet'!$E$12+1,1))-AVERAGE(OFFSET($H$3,0,0,'Données projet'!$E$12+1,1))</f>
        <v>266.30229009596883</v>
      </c>
      <c r="CE43" s="59">
        <f t="shared" si="40"/>
        <v>270.19195828386046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61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1.186222631440121</v>
      </c>
      <c r="CL43" s="21">
        <f>EXP(-LN(2)/25)*CL42+(1-EXP(-LN(2)/25))/(LN(2)/25)*Calculateur!CG43*Calculateur!CI43*VLOOKUP('Données projet'!$B$12,Paramètres!$A$1:$I$89,3,0)*0.475*44/12</f>
        <v>6.3438214067476739</v>
      </c>
      <c r="CM43" s="21">
        <f>EXP(-LN(2)/2)*CM42+(1-EXP(-LN(2)/2))/(LN(2)/2)*CG43*CJ43*VLOOKUP('Données projet'!$B$12,Paramètres!$A$1:$I$89,3,0)*0.475*44/12</f>
        <v>0.40847436239693236</v>
      </c>
      <c r="CN43" s="22">
        <f t="shared" si="12"/>
        <v>7.9385184005847265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263</v>
      </c>
      <c r="CR43" s="12">
        <f>VLOOKUP(A43,'Données projet'!$A$139:$I$159,9,0)</f>
        <v>12.1</v>
      </c>
      <c r="CS43" s="12">
        <f t="array" ref="CS43">INDEX(CR:CR,MIN(IF(ISNUMBER(CR43:CR239),ROW(CR43:CR239),"")))</f>
        <v>12.1</v>
      </c>
      <c r="CT43" s="12">
        <f>IF('Données projet'!$A$140&gt;35,CT42+CS43-DB42,IF(A43&lt;'Données projet'!$A$140,$CQ$205^A43,IF(A43='Données projet'!$A$140,'Données projet'!$B$140,CT42+CS43-DB42)))</f>
        <v>262.99999999999994</v>
      </c>
      <c r="CU43" s="17">
        <f>CT43*VLOOKUP('Données projet'!$B$13,Paramètres!$A$1:$I$89,3,0)*VLOOKUP('Données projet'!$B$13,Paramètres!$A$1:$I$89,5,0)</f>
        <v>209.24279999999996</v>
      </c>
      <c r="CV43" s="13">
        <f t="shared" si="41"/>
        <v>51.770083677016814</v>
      </c>
      <c r="CW43" s="20">
        <f t="shared" si="13"/>
        <v>454.59743907080411</v>
      </c>
      <c r="CX43" s="59">
        <f t="shared" si="14"/>
        <v>747.93077240413743</v>
      </c>
      <c r="CY43" s="59">
        <f ca="1">AVERAGE(OFFSET($CX$3,0,0,'Données projet'!$E$13+1,1))-AVERAGE(OFFSET($H$3,0,0,'Données projet'!$E$13+1,1))</f>
        <v>260.20517190557814</v>
      </c>
      <c r="CZ43" s="59">
        <f t="shared" si="42"/>
        <v>307.22009971147133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70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2.6767463815716797</v>
      </c>
      <c r="DG43" s="21">
        <f>EXP(-LN(2)/25)*DG42+(1-EXP(-LN(2)/25))/(LN(2)/25)*Calculateur!DB43*Calculateur!DD43*VLOOKUP('Données projet'!$B$13,Paramètres!$A$1:$I$89,3,0)*0.475*44/12</f>
        <v>15.550950894093358</v>
      </c>
      <c r="DH43" s="21">
        <f>EXP(-LN(2)/2)*DH42+(1-EXP(-LN(2)/2))/(LN(2)/2)*DB43*DE43*VLOOKUP('Données projet'!$B$13,Paramètres!$A$1:$I$89,3,0)*0.475*44/12</f>
        <v>0.75121982039866519</v>
      </c>
      <c r="DI43" s="22">
        <f t="shared" si="15"/>
        <v>18.9789170960637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203</v>
      </c>
      <c r="DM43" s="12">
        <f>VLOOKUP(A43,'Données projet'!$A$165:$I$185,9,0)</f>
        <v>11</v>
      </c>
      <c r="DN43" s="12">
        <f t="array" ref="DN43">INDEX(DM:DM,MIN(IF(ISNUMBER(DM43:DM239),ROW(DM43:DM239),"")))</f>
        <v>11</v>
      </c>
      <c r="DO43" s="12">
        <f>IF('Données projet'!$A$166&gt;35,DO42+DN43-DW42,IF(A43&lt;'Données projet'!$A$166,$DL$205^A43,IF(A43='Données projet'!$A$166,'Données projet'!$B$166,DO42+DN43-DW42)))</f>
        <v>203</v>
      </c>
      <c r="DP43" s="17">
        <f>DO43*VLOOKUP('Données projet'!$B$14,Paramètres!$A$1:$I$89,3,0)*VLOOKUP('Données projet'!$B$14,Paramètres!$A$1:$I$89,5,0)</f>
        <v>196.3416</v>
      </c>
      <c r="DQ43" s="13">
        <f t="shared" si="43"/>
        <v>48.939300310809159</v>
      </c>
      <c r="DR43" s="20">
        <f t="shared" si="16"/>
        <v>427.19756804132595</v>
      </c>
      <c r="DS43" s="59">
        <f t="shared" si="17"/>
        <v>720.53090137465927</v>
      </c>
      <c r="DT43" s="59">
        <f ca="1">AVERAGE(OFFSET($DS$3,0,0,'Données projet'!$E$14+1,1))-AVERAGE(OFFSET($H$3,0,0,'Données projet'!$E$14+1,1))</f>
        <v>347.8889410585312</v>
      </c>
      <c r="DU43" s="59">
        <f t="shared" si="44"/>
        <v>254.78167322479203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56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2.1120846032615899</v>
      </c>
      <c r="EB43" s="21">
        <f>EXP(-LN(2)/25)*EB42+(1-EXP(-LN(2)/25))/(LN(2)/25)*Calculateur!DW43*Calculateur!DY43*VLOOKUP('Données projet'!$B$14,Paramètres!$A$1:$I$89,3,0)*0.475*44/12</f>
        <v>9.1404861683450047</v>
      </c>
      <c r="EC43" s="21">
        <f>EXP(-LN(2)/2)*EC42+(1-EXP(-LN(2)/2))/(LN(2)/2)*DW43*DZ43*VLOOKUP('Données projet'!$B$14,Paramètres!$A$1:$I$89,3,0)*0.475*44/12</f>
        <v>0.71999293103157769</v>
      </c>
      <c r="ED43" s="22">
        <f t="shared" si="18"/>
        <v>11.972563702638173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203</v>
      </c>
      <c r="EH43" s="12">
        <f>VLOOKUP(A43,'Données projet'!$A$191:$I$211,9,0)</f>
        <v>11</v>
      </c>
      <c r="EI43" s="12">
        <f t="array" ref="EI43">INDEX(EH:EH,MIN(IF(ISNUMBER(EH43:EH239),ROW(EH43:EH239),"")))</f>
        <v>11</v>
      </c>
      <c r="EJ43" s="12">
        <f>IF('Données projet'!$A$192&gt;35,EJ42+EI43-ER42,IF(A43&lt;'Données projet'!$A$192,$EG$205^A43,IF(A43='Données projet'!$A$192,'Données projet'!$B$192,EJ42+EI43-ER42)))</f>
        <v>203</v>
      </c>
      <c r="EK43" s="17">
        <f>EJ43*VLOOKUP('Données projet'!$B$15,Paramètres!$A$1:$I$89,3,0)*VLOOKUP('Données projet'!$B$15,Paramètres!$A$1:$I$89,5,0)</f>
        <v>218.50919999999999</v>
      </c>
      <c r="EL43" s="13">
        <f t="shared" si="45"/>
        <v>53.790739595307251</v>
      </c>
      <c r="EM43" s="20">
        <f t="shared" si="19"/>
        <v>474.2557281284935</v>
      </c>
      <c r="EN43" s="59">
        <f t="shared" si="20"/>
        <v>767.58906146182676</v>
      </c>
      <c r="EO43" s="59">
        <f ca="1">AVERAGE(OFFSET($EN$3,0,0,'Données projet'!$E$15+1,1))-AVERAGE(OFFSET($H$3,0,0,'Données projet'!$E$15+1,1))</f>
        <v>399.38728019348088</v>
      </c>
      <c r="EP43" s="59">
        <f t="shared" si="46"/>
        <v>289.54922160039791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56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2.3505457681459623</v>
      </c>
      <c r="EW43" s="21">
        <f>EXP(-LN(2)/25)*EW42+(1-EXP(-LN(2)/25))/(LN(2)/25)*Calculateur!ER43*Calculateur!ET43*VLOOKUP('Données projet'!$B$15,Paramètres!$A$1:$I$89,3,0)*0.475*44/12</f>
        <v>10.172476542190413</v>
      </c>
      <c r="EX43" s="21">
        <f>EXP(-LN(2)/2)*EX42+(1-EXP(-LN(2)/2))/(LN(2)/2)*ER43*EU43*VLOOKUP('Données projet'!$B$15,Paramètres!$A$1:$I$89,3,0)*0.475*44/12</f>
        <v>0.8012824555028849</v>
      </c>
      <c r="EY43" s="22">
        <f t="shared" si="21"/>
        <v>13.324304765839262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11.2</v>
      </c>
      <c r="N44" s="13">
        <f>IF('Données projet'!$A$36&gt;35,N43+M44-V43,IF(A44&lt;'Données projet'!$A$36,$K$205^A44,IF(A44='Données projet'!$A$36,'Données projet'!$B$36,N43+M44-V43)))</f>
        <v>158.19999999999999</v>
      </c>
      <c r="O44" s="13">
        <f>N44*VLOOKUP('Données projet'!$B$9,Paramètres!$A$1:$I$89,3,0)*VLOOKUP('Données projet'!$B$9,Paramètres!$A$1:$I$89,5,0)</f>
        <v>143.13935999999998</v>
      </c>
      <c r="P44" s="13">
        <f t="shared" si="33"/>
        <v>37.015257937854066</v>
      </c>
      <c r="Q44" s="20">
        <f t="shared" si="53"/>
        <v>313.76929290842912</v>
      </c>
      <c r="R44" s="59">
        <f t="shared" si="0"/>
        <v>607.10262624176244</v>
      </c>
      <c r="S44" s="59">
        <f ca="1">AVERAGE(OFFSET($R$3,0,0,'Données projet'!$E$9+1,1))-AVERAGE(OFFSET($H$3,0,0,'Données projet'!$E$9+1,1))</f>
        <v>318.40875902853116</v>
      </c>
      <c r="T44" s="59">
        <f t="shared" si="34"/>
        <v>234.87694492493506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1.9370764342143543</v>
      </c>
      <c r="AA44" s="21">
        <f>EXP(-LN(2)/25)*AA43+(1-EXP(-LN(2)/25))/(LN(2)/25)*Calculateur!V44*Calculateur!X44*VLOOKUP('Données projet'!$B$9,Paramètres!$A$1:$I$89,3,0)*0.475*44/12</f>
        <v>8.3169559260785704</v>
      </c>
      <c r="AB44" s="21">
        <f>EXP(-LN(2)/2)*AB43+(1-EXP(-LN(2)/2))/(LN(2)/2)*V44*Y44*VLOOKUP('Données projet'!$B$9,Paramètres!$A$1:$I$89,3,0)*0.475*44/12</f>
        <v>0.47626595594275495</v>
      </c>
      <c r="AC44" s="22">
        <f t="shared" si="3"/>
        <v>10.730298316235681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9.4</v>
      </c>
      <c r="AI44" s="13">
        <f>IF('Données projet'!$A$62&gt;35,AI43+AH44-AQ43,IF(A44&lt;'Données projet'!$A$62,$AF$205^A44,IF(A44='Données projet'!$A$62,'Données projet'!$B$62,AI43+AH44-AQ43)))</f>
        <v>183.40000000000003</v>
      </c>
      <c r="AJ44" s="13">
        <f>AI44*VLOOKUP('Données projet'!$B$10,Paramètres!$A$1:$I$89,3,0)*VLOOKUP('Données projet'!$B$10,Paramètres!$A$1:$I$89,5,0)</f>
        <v>160.21824000000004</v>
      </c>
      <c r="AK44" s="13">
        <f t="shared" si="35"/>
        <v>40.891736142170217</v>
      </c>
      <c r="AL44" s="20">
        <f t="shared" si="4"/>
        <v>350.26654178094645</v>
      </c>
      <c r="AM44" s="59">
        <f t="shared" si="5"/>
        <v>643.59987511427971</v>
      </c>
      <c r="AN44" s="59">
        <f ca="1">AVERAGE(OFFSET($AM$3,0,0,'Données projet'!$E$10+1,1))-AVERAGE(OFFSET($H$3,0,0,'Données projet'!$E$10+1,1))</f>
        <v>243.38048563215585</v>
      </c>
      <c r="AO44" s="59">
        <f t="shared" si="36"/>
        <v>372.1604147006675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5.8780250417539035</v>
      </c>
      <c r="AV44" s="21">
        <f>EXP(-LN(2)/25)*AV43+(1-EXP(-LN(2)/25))/(LN(2)/25)*Calculateur!AQ44*Calculateur!AS44*VLOOKUP('Données projet'!$B$10,Paramètres!$A$1:$I$89,3,0)*0.475*44/12</f>
        <v>14.272716180129542</v>
      </c>
      <c r="AW44" s="21">
        <f>EXP(-LN(2)/2)*AW43+(1-EXP(-LN(2)/2))/(LN(2)/2)*AQ44*AT44*VLOOKUP('Données projet'!$B$10,Paramètres!$A$1:$I$89,3,0)*0.475*44/12</f>
        <v>0.64777475961557474</v>
      </c>
      <c r="AX44" s="21">
        <f t="shared" si="6"/>
        <v>20.798515981499023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9.1999999999999993</v>
      </c>
      <c r="BD44" s="12">
        <f>IF('Données projet'!$A$88&gt;35,BD43+BC44-BL43,IF(A44&lt;'Données projet'!$A$88,$BA$205^A44,IF(A44='Données projet'!$A$88,'Données projet'!$B$88,BD43+BC44-BL43)))</f>
        <v>202.19999999999993</v>
      </c>
      <c r="BE44" s="13">
        <f>BD44*VLOOKUP('Données projet'!$B$11,Paramètres!$A$1:$I$89,3,0)*VLOOKUP('Données projet'!$B$11,Paramètres!$A$1:$I$89,5,0)</f>
        <v>135.63575999999995</v>
      </c>
      <c r="BF44" s="13">
        <f t="shared" si="37"/>
        <v>35.295384110750781</v>
      </c>
      <c r="BG44" s="20">
        <f t="shared" si="7"/>
        <v>297.70507599289084</v>
      </c>
      <c r="BH44" s="59">
        <f t="shared" si="8"/>
        <v>591.03840932622415</v>
      </c>
      <c r="BI44" s="59">
        <f ca="1">AVERAGE(OFFSET($BH$3,0,0,'Données projet'!$E$11+1,1))-AVERAGE(OFFSET($H$3,0,0,'Données projet'!$E$11+1,1))</f>
        <v>207.93042467236967</v>
      </c>
      <c r="BJ44" s="59">
        <f t="shared" si="38"/>
        <v>250.70954318710835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2.2126088580465688</v>
      </c>
      <c r="BQ44" s="21">
        <f>EXP(-LN(2)/25)*BQ43+(1-EXP(-LN(2)/25))/(LN(2)/25)*Calculateur!BL44*Calculateur!BN44*VLOOKUP('Données projet'!$B$11,Paramètres!$A$1:$I$89,3,0)*0.475*44/12</f>
        <v>12.753049037971232</v>
      </c>
      <c r="BR44" s="21">
        <f>EXP(-LN(2)/2)*BR43+(1-EXP(-LN(2)/2))/(LN(2)/2)*BL44*BO44*VLOOKUP('Données projet'!$B$11,Paramètres!$A$1:$I$89,3,0)*0.475*44/12</f>
        <v>0.44786829517886995</v>
      </c>
      <c r="BS44" s="22">
        <f t="shared" si="9"/>
        <v>15.41352619119667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</v>
      </c>
      <c r="BY44" s="12">
        <f>IF('Données projet'!$A$114&gt;35,BY43+BX44-CG43,IF(A44&lt;'Données projet'!$A$114,$BV$205^A44,IF(A44='Données projet'!$A$114,'Données projet'!$B$114,BY43+BX44-CG43)))</f>
        <v>220.00000000000006</v>
      </c>
      <c r="BZ44" s="13">
        <f>BY44*VLOOKUP('Données projet'!$B$12,Paramètres!$A$1:$I$89,3,0)*VLOOKUP('Données projet'!$B$12,Paramètres!$A$1:$I$89,5,0)</f>
        <v>171.60000000000005</v>
      </c>
      <c r="CA44" s="13">
        <f t="shared" si="39"/>
        <v>43.44817475464852</v>
      </c>
      <c r="CB44" s="20">
        <f t="shared" si="10"/>
        <v>374.54223769767958</v>
      </c>
      <c r="CC44" s="59">
        <f t="shared" si="11"/>
        <v>667.8755710310129</v>
      </c>
      <c r="CD44" s="59">
        <f ca="1">AVERAGE(OFFSET($CC$3,0,0,'Données projet'!$E$12+1,1))-AVERAGE(OFFSET($H$3,0,0,'Données projet'!$E$12+1,1))</f>
        <v>266.30229009596883</v>
      </c>
      <c r="CE44" s="59">
        <f t="shared" si="40"/>
        <v>270.19195828386046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1.1629615291619433</v>
      </c>
      <c r="CL44" s="21">
        <f>EXP(-LN(2)/25)*CL43+(1-EXP(-LN(2)/25))/(LN(2)/25)*Calculateur!CG44*Calculateur!CI44*VLOOKUP('Données projet'!$B$12,Paramètres!$A$1:$I$89,3,0)*0.475*44/12</f>
        <v>6.1703492767730896</v>
      </c>
      <c r="CM44" s="21">
        <f>EXP(-LN(2)/2)*CM43+(1-EXP(-LN(2)/2))/(LN(2)/2)*CG44*CJ44*VLOOKUP('Données projet'!$B$12,Paramètres!$A$1:$I$89,3,0)*0.475*44/12</f>
        <v>0.28883499159172216</v>
      </c>
      <c r="CN44" s="22">
        <f t="shared" si="12"/>
        <v>7.6221457975267555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9.1999999999999993</v>
      </c>
      <c r="CT44" s="12">
        <f>IF('Données projet'!$A$140&gt;35,CT43+CS44-DB43,IF(A44&lt;'Données projet'!$A$140,$CQ$205^A44,IF(A44='Données projet'!$A$140,'Données projet'!$B$140,CT43+CS44-DB43)))</f>
        <v>202.19999999999993</v>
      </c>
      <c r="CU44" s="17">
        <f>CT44*VLOOKUP('Données projet'!$B$13,Paramètres!$A$1:$I$89,3,0)*VLOOKUP('Données projet'!$B$13,Paramètres!$A$1:$I$89,5,0)</f>
        <v>160.87031999999996</v>
      </c>
      <c r="CV44" s="13">
        <f t="shared" si="41"/>
        <v>41.038756492063129</v>
      </c>
      <c r="CW44" s="20">
        <f t="shared" si="13"/>
        <v>351.65830822367656</v>
      </c>
      <c r="CX44" s="59">
        <f t="shared" si="14"/>
        <v>644.99164155700987</v>
      </c>
      <c r="CY44" s="59">
        <f ca="1">AVERAGE(OFFSET($CX$3,0,0,'Données projet'!$E$13+1,1))-AVERAGE(OFFSET($H$3,0,0,'Données projet'!$E$13+1,1))</f>
        <v>260.20517190557814</v>
      </c>
      <c r="CZ44" s="59">
        <f t="shared" si="42"/>
        <v>307.22009971147133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2.6242570176831408</v>
      </c>
      <c r="DG44" s="21">
        <f>EXP(-LN(2)/25)*DG43+(1-EXP(-LN(2)/25))/(LN(2)/25)*Calculateur!DB44*Calculateur!DD44*VLOOKUP('Données projet'!$B$13,Paramètres!$A$1:$I$89,3,0)*0.475*44/12</f>
        <v>15.12570932410541</v>
      </c>
      <c r="DH44" s="21">
        <f>EXP(-LN(2)/2)*DH43+(1-EXP(-LN(2)/2))/(LN(2)/2)*DB44*DE44*VLOOKUP('Données projet'!$B$13,Paramètres!$A$1:$I$89,3,0)*0.475*44/12</f>
        <v>0.53119262916563648</v>
      </c>
      <c r="DI44" s="22">
        <f t="shared" si="15"/>
        <v>18.281158970954188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11.2</v>
      </c>
      <c r="DO44" s="12">
        <f>IF('Données projet'!$A$166&gt;35,DO43+DN44-DW43,IF(A44&lt;'Données projet'!$A$166,$DL$205^A44,IF(A44='Données projet'!$A$166,'Données projet'!$B$166,DO43+DN44-DW43)))</f>
        <v>158.19999999999999</v>
      </c>
      <c r="DP44" s="17">
        <f>DO44*VLOOKUP('Données projet'!$B$14,Paramètres!$A$1:$I$89,3,0)*VLOOKUP('Données projet'!$B$14,Paramètres!$A$1:$I$89,5,0)</f>
        <v>153.01103999999998</v>
      </c>
      <c r="DQ44" s="13">
        <f t="shared" si="43"/>
        <v>39.262061753688272</v>
      </c>
      <c r="DR44" s="20">
        <f t="shared" si="16"/>
        <v>334.87565222100699</v>
      </c>
      <c r="DS44" s="59">
        <f t="shared" si="17"/>
        <v>628.2089855543403</v>
      </c>
      <c r="DT44" s="59">
        <f ca="1">AVERAGE(OFFSET($DS$3,0,0,'Données projet'!$E$14+1,1))-AVERAGE(OFFSET($H$3,0,0,'Données projet'!$E$14+1,1))</f>
        <v>347.8889410585312</v>
      </c>
      <c r="DU44" s="59">
        <f t="shared" si="44"/>
        <v>254.78167322479203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2.0706679124360345</v>
      </c>
      <c r="EB44" s="21">
        <f>EXP(-LN(2)/25)*EB43+(1-EXP(-LN(2)/25))/(LN(2)/25)*Calculateur!DW44*Calculateur!DY44*VLOOKUP('Données projet'!$B$14,Paramètres!$A$1:$I$89,3,0)*0.475*44/12</f>
        <v>8.8905390933943345</v>
      </c>
      <c r="EC44" s="21">
        <f>EXP(-LN(2)/2)*EC43+(1-EXP(-LN(2)/2))/(LN(2)/2)*DW44*DZ44*VLOOKUP('Données projet'!$B$14,Paramètres!$A$1:$I$89,3,0)*0.475*44/12</f>
        <v>0.5091118839388068</v>
      </c>
      <c r="ED44" s="22">
        <f t="shared" si="18"/>
        <v>11.470318889769176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11.2</v>
      </c>
      <c r="EJ44" s="12">
        <f>IF('Données projet'!$A$192&gt;35,EJ43+EI44-ER43,IF(A44&lt;'Données projet'!$A$192,$EG$205^A44,IF(A44='Données projet'!$A$192,'Données projet'!$B$192,EJ43+EI44-ER43)))</f>
        <v>158.19999999999999</v>
      </c>
      <c r="EK44" s="17">
        <f>EJ44*VLOOKUP('Données projet'!$B$15,Paramètres!$A$1:$I$89,3,0)*VLOOKUP('Données projet'!$B$15,Paramètres!$A$1:$I$89,5,0)</f>
        <v>170.28647999999998</v>
      </c>
      <c r="EL44" s="13">
        <f t="shared" si="45"/>
        <v>43.154179286479454</v>
      </c>
      <c r="EM44" s="20">
        <f t="shared" si="19"/>
        <v>371.74248159061835</v>
      </c>
      <c r="EN44" s="59">
        <f t="shared" si="20"/>
        <v>665.07581492395161</v>
      </c>
      <c r="EO44" s="59">
        <f ca="1">AVERAGE(OFFSET($EN$3,0,0,'Données projet'!$E$15+1,1))-AVERAGE(OFFSET($H$3,0,0,'Données projet'!$E$15+1,1))</f>
        <v>399.38728019348088</v>
      </c>
      <c r="EP44" s="59">
        <f t="shared" si="46"/>
        <v>289.54922160039791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2.3044529993239733</v>
      </c>
      <c r="EW44" s="21">
        <f>EXP(-LN(2)/25)*EW43+(1-EXP(-LN(2)/25))/(LN(2)/25)*Calculateur!ER44*Calculateur!ET44*VLOOKUP('Données projet'!$B$15,Paramètres!$A$1:$I$89,3,0)*0.475*44/12</f>
        <v>9.8943096361969243</v>
      </c>
      <c r="EX44" s="21">
        <f>EXP(-LN(2)/2)*EX43+(1-EXP(-LN(2)/2))/(LN(2)/2)*ER44*EU44*VLOOKUP('Données projet'!$B$15,Paramètres!$A$1:$I$89,3,0)*0.475*44/12</f>
        <v>0.56659225793189794</v>
      </c>
      <c r="EY44" s="22">
        <f t="shared" si="21"/>
        <v>12.765354893452795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11.2</v>
      </c>
      <c r="N45" s="13">
        <f>IF('Données projet'!$A$36&gt;35,N44+M45-V44,IF(A45&lt;'Données projet'!$A$36,$K$205^A45,IF(A45='Données projet'!$A$36,'Données projet'!$B$36,N44+M45-V44)))</f>
        <v>169.39999999999998</v>
      </c>
      <c r="O45" s="13">
        <f>N45*VLOOKUP('Données projet'!$B$9,Paramètres!$A$1:$I$89,3,0)*VLOOKUP('Données projet'!$B$9,Paramètres!$A$1:$I$89,5,0)</f>
        <v>153.27311999999998</v>
      </c>
      <c r="P45" s="13">
        <f t="shared" si="33"/>
        <v>39.321476829336504</v>
      </c>
      <c r="Q45" s="20">
        <f t="shared" si="53"/>
        <v>335.43558947776097</v>
      </c>
      <c r="R45" s="59">
        <f t="shared" si="0"/>
        <v>628.76892281109428</v>
      </c>
      <c r="S45" s="59">
        <f ca="1">AVERAGE(OFFSET($R$3,0,0,'Données projet'!$E$9+1,1))-AVERAGE(OFFSET($H$3,0,0,'Données projet'!$E$9+1,1))</f>
        <v>318.40875902853116</v>
      </c>
      <c r="T45" s="59">
        <f t="shared" si="34"/>
        <v>234.87694492493506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1.8990915468393723</v>
      </c>
      <c r="AA45" s="21">
        <f>EXP(-LN(2)/25)*AA44+(1-EXP(-LN(2)/25))/(LN(2)/25)*Calculateur!V45*Calculateur!X45*VLOOKUP('Données projet'!$B$9,Paramètres!$A$1:$I$89,3,0)*0.475*44/12</f>
        <v>8.089528328910248</v>
      </c>
      <c r="AB45" s="21">
        <f>EXP(-LN(2)/2)*AB44+(1-EXP(-LN(2)/2))/(LN(2)/2)*V45*Y45*VLOOKUP('Données projet'!$B$9,Paramètres!$A$1:$I$89,3,0)*0.475*44/12</f>
        <v>0.33677088709541553</v>
      </c>
      <c r="AC45" s="22">
        <f t="shared" si="3"/>
        <v>10.325390762845036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9.4</v>
      </c>
      <c r="AI45" s="13">
        <f>IF('Données projet'!$A$62&gt;35,AI44+AH45-AQ44,IF(A45&lt;'Données projet'!$A$62,$AF$205^A45,IF(A45='Données projet'!$A$62,'Données projet'!$B$62,AI44+AH45-AQ44)))</f>
        <v>192.80000000000004</v>
      </c>
      <c r="AJ45" s="13">
        <f>AI45*VLOOKUP('Données projet'!$B$10,Paramètres!$A$1:$I$89,3,0)*VLOOKUP('Données projet'!$B$10,Paramètres!$A$1:$I$89,5,0)</f>
        <v>168.43008000000006</v>
      </c>
      <c r="AK45" s="13">
        <f t="shared" si="35"/>
        <v>42.73822409848502</v>
      </c>
      <c r="AL45" s="20">
        <f t="shared" si="4"/>
        <v>367.78479630486146</v>
      </c>
      <c r="AM45" s="59">
        <f t="shared" si="5"/>
        <v>661.11812963819477</v>
      </c>
      <c r="AN45" s="59">
        <f ca="1">AVERAGE(OFFSET($AM$3,0,0,'Données projet'!$E$10+1,1))-AVERAGE(OFFSET($H$3,0,0,'Données projet'!$E$10+1,1))</f>
        <v>243.38048563215585</v>
      </c>
      <c r="AO45" s="59">
        <f t="shared" si="36"/>
        <v>372.1604147006675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5.7627605559263717</v>
      </c>
      <c r="AV45" s="21">
        <f>EXP(-LN(2)/25)*AV44+(1-EXP(-LN(2)/25))/(LN(2)/25)*Calculateur!AQ45*Calculateur!AS45*VLOOKUP('Données projet'!$B$10,Paramètres!$A$1:$I$89,3,0)*0.475*44/12</f>
        <v>13.882428005614377</v>
      </c>
      <c r="AW45" s="21">
        <f>EXP(-LN(2)/2)*AW44+(1-EXP(-LN(2)/2))/(LN(2)/2)*AQ45*AT45*VLOOKUP('Données projet'!$B$10,Paramètres!$A$1:$I$89,3,0)*0.475*44/12</f>
        <v>0.45804592520565868</v>
      </c>
      <c r="AX45" s="21">
        <f t="shared" si="6"/>
        <v>20.103234486746409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9.1999999999999993</v>
      </c>
      <c r="BD45" s="12">
        <f>IF('Données projet'!$A$88&gt;35,BD44+BC45-BL44,IF(A45&lt;'Données projet'!$A$88,$BA$205^A45,IF(A45='Données projet'!$A$88,'Données projet'!$B$88,BD44+BC45-BL44)))</f>
        <v>211.39999999999992</v>
      </c>
      <c r="BE45" s="13">
        <f>BD45*VLOOKUP('Données projet'!$B$11,Paramètres!$A$1:$I$89,3,0)*VLOOKUP('Données projet'!$B$11,Paramètres!$A$1:$I$89,5,0)</f>
        <v>141.80711999999994</v>
      </c>
      <c r="BF45" s="13">
        <f t="shared" si="37"/>
        <v>36.710681789362752</v>
      </c>
      <c r="BG45" s="20">
        <f t="shared" si="7"/>
        <v>310.91850478314001</v>
      </c>
      <c r="BH45" s="59">
        <f t="shared" si="8"/>
        <v>604.25183811647332</v>
      </c>
      <c r="BI45" s="59">
        <f ca="1">AVERAGE(OFFSET($BH$3,0,0,'Données projet'!$E$11+1,1))-AVERAGE(OFFSET($H$3,0,0,'Données projet'!$E$11+1,1))</f>
        <v>207.93042467236967</v>
      </c>
      <c r="BJ45" s="59">
        <f t="shared" si="38"/>
        <v>250.70954318710835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2.1692209478984212</v>
      </c>
      <c r="BQ45" s="21">
        <f>EXP(-LN(2)/25)*BQ44+(1-EXP(-LN(2)/25))/(LN(2)/25)*Calculateur!BL45*Calculateur!BN45*VLOOKUP('Données projet'!$B$11,Paramètres!$A$1:$I$89,3,0)*0.475*44/12</f>
        <v>12.404316241374207</v>
      </c>
      <c r="BR45" s="21">
        <f>EXP(-LN(2)/2)*BR44+(1-EXP(-LN(2)/2))/(LN(2)/2)*BL45*BO45*VLOOKUP('Données projet'!$B$11,Paramètres!$A$1:$I$89,3,0)*0.475*44/12</f>
        <v>0.31669070859943727</v>
      </c>
      <c r="BS45" s="22">
        <f t="shared" si="9"/>
        <v>14.890227897872066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</v>
      </c>
      <c r="BY45" s="12">
        <f>IF('Données projet'!$A$114&gt;35,BY44+BX45-CG44,IF(A45&lt;'Données projet'!$A$114,$BV$205^A45,IF(A45='Données projet'!$A$114,'Données projet'!$B$114,BY44+BX45-CG44)))</f>
        <v>231.00000000000006</v>
      </c>
      <c r="BZ45" s="13">
        <f>BY45*VLOOKUP('Données projet'!$B$12,Paramètres!$A$1:$I$89,3,0)*VLOOKUP('Données projet'!$B$12,Paramètres!$A$1:$I$89,5,0)</f>
        <v>180.18000000000006</v>
      </c>
      <c r="CA45" s="13">
        <f t="shared" si="39"/>
        <v>45.362230520410691</v>
      </c>
      <c r="CB45" s="20">
        <f t="shared" si="10"/>
        <v>392.81938482304872</v>
      </c>
      <c r="CC45" s="59">
        <f t="shared" si="11"/>
        <v>686.15271815638198</v>
      </c>
      <c r="CD45" s="59">
        <f ca="1">AVERAGE(OFFSET($CC$3,0,0,'Données projet'!$E$12+1,1))-AVERAGE(OFFSET($H$3,0,0,'Données projet'!$E$12+1,1))</f>
        <v>266.30229009596883</v>
      </c>
      <c r="CE45" s="59">
        <f t="shared" si="40"/>
        <v>270.19195828386046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1.1401565629115693</v>
      </c>
      <c r="CL45" s="21">
        <f>EXP(-LN(2)/25)*CL44+(1-EXP(-LN(2)/25))/(LN(2)/25)*Calculateur!CG45*Calculateur!CI45*VLOOKUP('Données projet'!$B$12,Paramètres!$A$1:$I$89,3,0)*0.475*44/12</f>
        <v>6.0016207513151638</v>
      </c>
      <c r="CM45" s="21">
        <f>EXP(-LN(2)/2)*CM44+(1-EXP(-LN(2)/2))/(LN(2)/2)*CG45*CJ45*VLOOKUP('Données projet'!$B$12,Paramètres!$A$1:$I$89,3,0)*0.475*44/12</f>
        <v>0.20423718119846618</v>
      </c>
      <c r="CN45" s="22">
        <f t="shared" si="12"/>
        <v>7.3460144954251989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9.1999999999999993</v>
      </c>
      <c r="CT45" s="12">
        <f>IF('Données projet'!$A$140&gt;35,CT44+CS45-DB44,IF(A45&lt;'Données projet'!$A$140,$CQ$205^A45,IF(A45='Données projet'!$A$140,'Données projet'!$B$140,CT44+CS45-DB44)))</f>
        <v>211.39999999999992</v>
      </c>
      <c r="CU45" s="17">
        <f>CT45*VLOOKUP('Données projet'!$B$13,Paramètres!$A$1:$I$89,3,0)*VLOOKUP('Données projet'!$B$13,Paramètres!$A$1:$I$89,5,0)</f>
        <v>168.18983999999995</v>
      </c>
      <c r="CV45" s="13">
        <f t="shared" si="41"/>
        <v>42.684355718695357</v>
      </c>
      <c r="CW45" s="20">
        <f t="shared" si="13"/>
        <v>367.27255754339438</v>
      </c>
      <c r="CX45" s="59">
        <f t="shared" si="14"/>
        <v>660.6058908767277</v>
      </c>
      <c r="CY45" s="59">
        <f ca="1">AVERAGE(OFFSET($CX$3,0,0,'Données projet'!$E$13+1,1))-AVERAGE(OFFSET($H$3,0,0,'Données projet'!$E$13+1,1))</f>
        <v>260.20517190557814</v>
      </c>
      <c r="CZ45" s="59">
        <f t="shared" si="42"/>
        <v>307.22009971147133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2.572796938205105</v>
      </c>
      <c r="DG45" s="21">
        <f>EXP(-LN(2)/25)*DG44+(1-EXP(-LN(2)/25))/(LN(2)/25)*Calculateur!DB45*Calculateur!DD45*VLOOKUP('Données projet'!$B$13,Paramètres!$A$1:$I$89,3,0)*0.475*44/12</f>
        <v>14.712096007211263</v>
      </c>
      <c r="DH45" s="21">
        <f>EXP(-LN(2)/2)*DH44+(1-EXP(-LN(2)/2))/(LN(2)/2)*DB45*DE45*VLOOKUP('Données projet'!$B$13,Paramètres!$A$1:$I$89,3,0)*0.475*44/12</f>
        <v>0.3756099101993326</v>
      </c>
      <c r="DI45" s="22">
        <f t="shared" si="15"/>
        <v>17.6605028556157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11.2</v>
      </c>
      <c r="DO45" s="12">
        <f>IF('Données projet'!$A$166&gt;35,DO44+DN45-DW44,IF(A45&lt;'Données projet'!$A$166,$DL$205^A45,IF(A45='Données projet'!$A$166,'Données projet'!$B$166,DO44+DN45-DW44)))</f>
        <v>169.39999999999998</v>
      </c>
      <c r="DP45" s="17">
        <f>DO45*VLOOKUP('Données projet'!$B$14,Paramètres!$A$1:$I$89,3,0)*VLOOKUP('Données projet'!$B$14,Paramètres!$A$1:$I$89,5,0)</f>
        <v>163.84368000000001</v>
      </c>
      <c r="DQ45" s="13">
        <f t="shared" si="43"/>
        <v>41.708266739938274</v>
      </c>
      <c r="DR45" s="20">
        <f t="shared" si="16"/>
        <v>358.00297390539248</v>
      </c>
      <c r="DS45" s="59">
        <f t="shared" si="17"/>
        <v>651.33630723872579</v>
      </c>
      <c r="DT45" s="59">
        <f ca="1">AVERAGE(OFFSET($DS$3,0,0,'Données projet'!$E$14+1,1))-AVERAGE(OFFSET($H$3,0,0,'Données projet'!$E$14+1,1))</f>
        <v>347.8889410585312</v>
      </c>
      <c r="DU45" s="59">
        <f t="shared" si="44"/>
        <v>254.78167322479203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2.0300633776558814</v>
      </c>
      <c r="EB45" s="21">
        <f>EXP(-LN(2)/25)*EB44+(1-EXP(-LN(2)/25))/(LN(2)/25)*Calculateur!DW45*Calculateur!DY45*VLOOKUP('Données projet'!$B$14,Paramètres!$A$1:$I$89,3,0)*0.475*44/12</f>
        <v>8.6474268343523359</v>
      </c>
      <c r="EC45" s="21">
        <f>EXP(-LN(2)/2)*EC44+(1-EXP(-LN(2)/2))/(LN(2)/2)*DW45*DZ45*VLOOKUP('Données projet'!$B$14,Paramètres!$A$1:$I$89,3,0)*0.475*44/12</f>
        <v>0.35999646551578884</v>
      </c>
      <c r="ED45" s="22">
        <f t="shared" si="18"/>
        <v>11.037486677524006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11.2</v>
      </c>
      <c r="EJ45" s="12">
        <f>IF('Données projet'!$A$192&gt;35,EJ44+EI45-ER44,IF(A45&lt;'Données projet'!$A$192,$EG$205^A45,IF(A45='Données projet'!$A$192,'Données projet'!$B$192,EJ44+EI45-ER44)))</f>
        <v>169.39999999999998</v>
      </c>
      <c r="EK45" s="17">
        <f>EJ45*VLOOKUP('Données projet'!$B$15,Paramètres!$A$1:$I$89,3,0)*VLOOKUP('Données projet'!$B$15,Paramètres!$A$1:$I$89,5,0)</f>
        <v>182.34215999999998</v>
      </c>
      <c r="EL45" s="13">
        <f t="shared" si="45"/>
        <v>45.84288089390823</v>
      </c>
      <c r="EM45" s="20">
        <f t="shared" si="19"/>
        <v>397.42227955689009</v>
      </c>
      <c r="EN45" s="59">
        <f t="shared" si="20"/>
        <v>690.75561289022335</v>
      </c>
      <c r="EO45" s="59">
        <f ca="1">AVERAGE(OFFSET($EN$3,0,0,'Données projet'!$E$15+1,1))-AVERAGE(OFFSET($H$3,0,0,'Données projet'!$E$15+1,1))</f>
        <v>399.38728019348088</v>
      </c>
      <c r="EP45" s="59">
        <f t="shared" si="46"/>
        <v>289.54922160039791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2.2592640815847704</v>
      </c>
      <c r="EW45" s="21">
        <f>EXP(-LN(2)/25)*EW44+(1-EXP(-LN(2)/25))/(LN(2)/25)*Calculateur!ER45*Calculateur!ET45*VLOOKUP('Données projet'!$B$15,Paramètres!$A$1:$I$89,3,0)*0.475*44/12</f>
        <v>9.6237492188759894</v>
      </c>
      <c r="EX45" s="21">
        <f>EXP(-LN(2)/2)*EX44+(1-EXP(-LN(2)/2))/(LN(2)/2)*ER45*EU45*VLOOKUP('Données projet'!$B$15,Paramètres!$A$1:$I$89,3,0)*0.475*44/12</f>
        <v>0.40064122775144245</v>
      </c>
      <c r="EY45" s="22">
        <f t="shared" si="21"/>
        <v>12.283654528212203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11.2</v>
      </c>
      <c r="N46" s="13">
        <f>IF('Données projet'!$A$36&gt;35,N45+M46-V45,IF(A46&lt;'Données projet'!$A$36,$K$205^A46,IF(A46='Données projet'!$A$36,'Données projet'!$B$36,N45+M46-V45)))</f>
        <v>180.59999999999997</v>
      </c>
      <c r="O46" s="13">
        <f>N46*VLOOKUP('Données projet'!$B$9,Paramètres!$A$1:$I$89,3,0)*VLOOKUP('Données projet'!$B$9,Paramètres!$A$1:$I$89,5,0)</f>
        <v>163.40687999999997</v>
      </c>
      <c r="P46" s="13">
        <f t="shared" si="33"/>
        <v>41.610001881769797</v>
      </c>
      <c r="Q46" s="20">
        <f t="shared" si="53"/>
        <v>357.07106927741569</v>
      </c>
      <c r="R46" s="59">
        <f t="shared" si="0"/>
        <v>650.404402610749</v>
      </c>
      <c r="S46" s="59">
        <f ca="1">AVERAGE(OFFSET($R$3,0,0,'Données projet'!$E$9+1,1))-AVERAGE(OFFSET($H$3,0,0,'Données projet'!$E$9+1,1))</f>
        <v>318.40875902853116</v>
      </c>
      <c r="T46" s="59">
        <f t="shared" si="34"/>
        <v>234.87694492493506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1.86185151993732</v>
      </c>
      <c r="AA46" s="21">
        <f>EXP(-LN(2)/25)*AA45+(1-EXP(-LN(2)/25))/(LN(2)/25)*Calculateur!V46*Calculateur!X46*VLOOKUP('Données projet'!$B$9,Paramètres!$A$1:$I$89,3,0)*0.475*44/12</f>
        <v>7.8683197513463909</v>
      </c>
      <c r="AB46" s="21">
        <f>EXP(-LN(2)/2)*AB45+(1-EXP(-LN(2)/2))/(LN(2)/2)*V46*Y46*VLOOKUP('Données projet'!$B$9,Paramètres!$A$1:$I$89,3,0)*0.475*44/12</f>
        <v>0.2381329779713775</v>
      </c>
      <c r="AC46" s="22">
        <f t="shared" si="3"/>
        <v>9.9683042492550875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9.4</v>
      </c>
      <c r="AI46" s="13">
        <f>IF('Données projet'!$A$62&gt;35,AI45+AH46-AQ45,IF(A46&lt;'Données projet'!$A$62,$AF$205^A46,IF(A46='Données projet'!$A$62,'Données projet'!$B$62,AI45+AH46-AQ45)))</f>
        <v>202.20000000000005</v>
      </c>
      <c r="AJ46" s="13">
        <f>AI46*VLOOKUP('Données projet'!$B$10,Paramètres!$A$1:$I$89,3,0)*VLOOKUP('Données projet'!$B$10,Paramètres!$A$1:$I$89,5,0)</f>
        <v>176.64192000000008</v>
      </c>
      <c r="AK46" s="13">
        <f t="shared" si="35"/>
        <v>44.574258350008236</v>
      </c>
      <c r="AL46" s="20">
        <f t="shared" si="4"/>
        <v>385.28484395959777</v>
      </c>
      <c r="AM46" s="59">
        <f t="shared" si="5"/>
        <v>678.61817729293102</v>
      </c>
      <c r="AN46" s="59">
        <f ca="1">AVERAGE(OFFSET($AM$3,0,0,'Données projet'!$E$10+1,1))-AVERAGE(OFFSET($H$3,0,0,'Données projet'!$E$10+1,1))</f>
        <v>243.38048563215585</v>
      </c>
      <c r="AO46" s="59">
        <f t="shared" si="36"/>
        <v>372.1604147006675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5.6497563363615235</v>
      </c>
      <c r="AV46" s="21">
        <f>EXP(-LN(2)/25)*AV45+(1-EXP(-LN(2)/25))/(LN(2)/25)*Calculateur!AQ46*Calculateur!AS46*VLOOKUP('Données projet'!$B$10,Paramètres!$A$1:$I$89,3,0)*0.475*44/12</f>
        <v>13.502812281755693</v>
      </c>
      <c r="AW46" s="21">
        <f>EXP(-LN(2)/2)*AW45+(1-EXP(-LN(2)/2))/(LN(2)/2)*AQ46*AT46*VLOOKUP('Données projet'!$B$10,Paramètres!$A$1:$I$89,3,0)*0.475*44/12</f>
        <v>0.32388737980778742</v>
      </c>
      <c r="AX46" s="21">
        <f t="shared" si="6"/>
        <v>19.476455997925001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9.1999999999999993</v>
      </c>
      <c r="BD46" s="12">
        <f>IF('Données projet'!$A$88&gt;35,BD45+BC46-BL45,IF(A46&lt;'Données projet'!$A$88,$BA$205^A46,IF(A46='Données projet'!$A$88,'Données projet'!$B$88,BD45+BC46-BL45)))</f>
        <v>220.59999999999991</v>
      </c>
      <c r="BE46" s="13">
        <f>BD46*VLOOKUP('Données projet'!$B$11,Paramètres!$A$1:$I$89,3,0)*VLOOKUP('Données projet'!$B$11,Paramètres!$A$1:$I$89,5,0)</f>
        <v>147.97847999999993</v>
      </c>
      <c r="BF46" s="13">
        <f t="shared" si="37"/>
        <v>38.118825798346784</v>
      </c>
      <c r="BG46" s="20">
        <f t="shared" si="7"/>
        <v>324.1194742654539</v>
      </c>
      <c r="BH46" s="59">
        <f t="shared" si="8"/>
        <v>617.45280759878722</v>
      </c>
      <c r="BI46" s="59">
        <f ca="1">AVERAGE(OFFSET($BH$3,0,0,'Données projet'!$E$11+1,1))-AVERAGE(OFFSET($H$3,0,0,'Données projet'!$E$11+1,1))</f>
        <v>207.93042467236967</v>
      </c>
      <c r="BJ46" s="59">
        <f t="shared" si="38"/>
        <v>250.70954318710835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2.1266838482042667</v>
      </c>
      <c r="BQ46" s="21">
        <f>EXP(-LN(2)/25)*BQ45+(1-EXP(-LN(2)/25))/(LN(2)/25)*Calculateur!BL46*Calculateur!BN46*VLOOKUP('Données projet'!$B$11,Paramètres!$A$1:$I$89,3,0)*0.475*44/12</f>
        <v>12.06511956143919</v>
      </c>
      <c r="BR46" s="21">
        <f>EXP(-LN(2)/2)*BR45+(1-EXP(-LN(2)/2))/(LN(2)/2)*BL46*BO46*VLOOKUP('Données projet'!$B$11,Paramètres!$A$1:$I$89,3,0)*0.475*44/12</f>
        <v>0.22393414758943497</v>
      </c>
      <c r="BS46" s="22">
        <f t="shared" si="9"/>
        <v>14.415737557232891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</v>
      </c>
      <c r="BY46" s="12">
        <f>IF('Données projet'!$A$114&gt;35,BY45+BX46-CG45,IF(A46&lt;'Données projet'!$A$114,$BV$205^A46,IF(A46='Données projet'!$A$114,'Données projet'!$B$114,BY45+BX46-CG45)))</f>
        <v>242.00000000000006</v>
      </c>
      <c r="BZ46" s="13">
        <f>BY46*VLOOKUP('Données projet'!$B$12,Paramètres!$A$1:$I$89,3,0)*VLOOKUP('Données projet'!$B$12,Paramètres!$A$1:$I$89,5,0)</f>
        <v>188.76000000000005</v>
      </c>
      <c r="CA46" s="13">
        <f t="shared" si="39"/>
        <v>47.265702073783714</v>
      </c>
      <c r="CB46" s="20">
        <f t="shared" si="10"/>
        <v>411.07809777850667</v>
      </c>
      <c r="CC46" s="59">
        <f t="shared" si="11"/>
        <v>704.41143111183999</v>
      </c>
      <c r="CD46" s="59">
        <f ca="1">AVERAGE(OFFSET($CC$3,0,0,'Données projet'!$E$12+1,1))-AVERAGE(OFFSET($H$3,0,0,'Données projet'!$E$12+1,1))</f>
        <v>266.30229009596883</v>
      </c>
      <c r="CE46" s="59">
        <f t="shared" si="40"/>
        <v>270.19195828386046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1.1177987881397091</v>
      </c>
      <c r="CL46" s="21">
        <f>EXP(-LN(2)/25)*CL45+(1-EXP(-LN(2)/25))/(LN(2)/25)*Calculateur!CG46*Calculateur!CI46*VLOOKUP('Données projet'!$B$12,Paramètres!$A$1:$I$89,3,0)*0.475*44/12</f>
        <v>5.8375061162589326</v>
      </c>
      <c r="CM46" s="21">
        <f>EXP(-LN(2)/2)*CM45+(1-EXP(-LN(2)/2))/(LN(2)/2)*CG46*CJ46*VLOOKUP('Données projet'!$B$12,Paramètres!$A$1:$I$89,3,0)*0.475*44/12</f>
        <v>0.14441749579586108</v>
      </c>
      <c r="CN46" s="22">
        <f t="shared" si="12"/>
        <v>7.0997224001945023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9.1999999999999993</v>
      </c>
      <c r="CT46" s="12">
        <f>IF('Données projet'!$A$140&gt;35,CT45+CS46-DB45,IF(A46&lt;'Données projet'!$A$140,$CQ$205^A46,IF(A46='Données projet'!$A$140,'Données projet'!$B$140,CT45+CS46-DB45)))</f>
        <v>220.59999999999991</v>
      </c>
      <c r="CU46" s="17">
        <f>CT46*VLOOKUP('Données projet'!$B$13,Paramètres!$A$1:$I$89,3,0)*VLOOKUP('Données projet'!$B$13,Paramètres!$A$1:$I$89,5,0)</f>
        <v>175.50935999999993</v>
      </c>
      <c r="CV46" s="13">
        <f t="shared" si="41"/>
        <v>44.321637208794016</v>
      </c>
      <c r="CW46" s="20">
        <f t="shared" si="13"/>
        <v>382.87232013864946</v>
      </c>
      <c r="CX46" s="59">
        <f t="shared" si="14"/>
        <v>676.20565347198271</v>
      </c>
      <c r="CY46" s="59">
        <f ca="1">AVERAGE(OFFSET($CX$3,0,0,'Données projet'!$E$13+1,1))-AVERAGE(OFFSET($H$3,0,0,'Données projet'!$E$13+1,1))</f>
        <v>260.20517190557814</v>
      </c>
      <c r="CZ46" s="59">
        <f t="shared" si="42"/>
        <v>307.22009971147133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2.5223459594980846</v>
      </c>
      <c r="DG46" s="21">
        <f>EXP(-LN(2)/25)*DG45+(1-EXP(-LN(2)/25))/(LN(2)/25)*Calculateur!DB46*Calculateur!DD46*VLOOKUP('Données projet'!$B$13,Paramètres!$A$1:$I$89,3,0)*0.475*44/12</f>
        <v>14.309792968218567</v>
      </c>
      <c r="DH46" s="21">
        <f>EXP(-LN(2)/2)*DH45+(1-EXP(-LN(2)/2))/(LN(2)/2)*DB46*DE46*VLOOKUP('Données projet'!$B$13,Paramètres!$A$1:$I$89,3,0)*0.475*44/12</f>
        <v>0.26559631458281824</v>
      </c>
      <c r="DI46" s="22">
        <f t="shared" si="15"/>
        <v>17.097735242299471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11.2</v>
      </c>
      <c r="DO46" s="12">
        <f>IF('Données projet'!$A$166&gt;35,DO45+DN46-DW45,IF(A46&lt;'Données projet'!$A$166,$DL$205^A46,IF(A46='Données projet'!$A$166,'Données projet'!$B$166,DO45+DN46-DW45)))</f>
        <v>180.59999999999997</v>
      </c>
      <c r="DP46" s="17">
        <f>DO46*VLOOKUP('Données projet'!$B$14,Paramètres!$A$1:$I$89,3,0)*VLOOKUP('Données projet'!$B$14,Paramètres!$A$1:$I$89,5,0)</f>
        <v>174.67631999999998</v>
      </c>
      <c r="DQ46" s="13">
        <f t="shared" si="43"/>
        <v>44.13570388178811</v>
      </c>
      <c r="DR46" s="20">
        <f t="shared" si="16"/>
        <v>381.09760826078087</v>
      </c>
      <c r="DS46" s="59">
        <f t="shared" si="17"/>
        <v>674.43094159411419</v>
      </c>
      <c r="DT46" s="59">
        <f ca="1">AVERAGE(OFFSET($DS$3,0,0,'Données projet'!$E$14+1,1))-AVERAGE(OFFSET($H$3,0,0,'Données projet'!$E$14+1,1))</f>
        <v>347.8889410585312</v>
      </c>
      <c r="DU46" s="59">
        <f t="shared" si="44"/>
        <v>254.78167322479203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1.9902550730364463</v>
      </c>
      <c r="EB46" s="21">
        <f>EXP(-LN(2)/25)*EB45+(1-EXP(-LN(2)/25))/(LN(2)/25)*Calculateur!DW46*Calculateur!DY46*VLOOKUP('Données projet'!$B$14,Paramètres!$A$1:$I$89,3,0)*0.475*44/12</f>
        <v>8.4109624928185589</v>
      </c>
      <c r="EC46" s="21">
        <f>EXP(-LN(2)/2)*EC45+(1-EXP(-LN(2)/2))/(LN(2)/2)*DW46*DZ46*VLOOKUP('Données projet'!$B$14,Paramètres!$A$1:$I$89,3,0)*0.475*44/12</f>
        <v>0.2545559419694034</v>
      </c>
      <c r="ED46" s="22">
        <f t="shared" si="18"/>
        <v>10.655773507824408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11.2</v>
      </c>
      <c r="EJ46" s="12">
        <f>IF('Données projet'!$A$192&gt;35,EJ45+EI46-ER45,IF(A46&lt;'Données projet'!$A$192,$EG$205^A46,IF(A46='Données projet'!$A$192,'Données projet'!$B$192,EJ45+EI46-ER45)))</f>
        <v>180.59999999999997</v>
      </c>
      <c r="EK46" s="17">
        <f>EJ46*VLOOKUP('Données projet'!$B$15,Paramètres!$A$1:$I$89,3,0)*VLOOKUP('Données projet'!$B$15,Paramètres!$A$1:$I$89,5,0)</f>
        <v>194.39783999999995</v>
      </c>
      <c r="EL46" s="13">
        <f t="shared" si="45"/>
        <v>48.510954167370699</v>
      </c>
      <c r="EM46" s="20">
        <f t="shared" si="19"/>
        <v>423.06614984150383</v>
      </c>
      <c r="EN46" s="59">
        <f t="shared" si="20"/>
        <v>716.39948317483709</v>
      </c>
      <c r="EO46" s="59">
        <f ca="1">AVERAGE(OFFSET($EN$3,0,0,'Données projet'!$E$15+1,1))-AVERAGE(OFFSET($H$3,0,0,'Données projet'!$E$15+1,1))</f>
        <v>399.38728019348088</v>
      </c>
      <c r="EP46" s="59">
        <f t="shared" si="46"/>
        <v>289.54922160039791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2.214961290959915</v>
      </c>
      <c r="EW46" s="21">
        <f>EXP(-LN(2)/25)*EW45+(1-EXP(-LN(2)/25))/(LN(2)/25)*Calculateur!ER46*Calculateur!ET46*VLOOKUP('Données projet'!$B$15,Paramètres!$A$1:$I$89,3,0)*0.475*44/12</f>
        <v>9.3605872903948502</v>
      </c>
      <c r="EX46" s="21">
        <f>EXP(-LN(2)/2)*EX45+(1-EXP(-LN(2)/2))/(LN(2)/2)*ER46*EU46*VLOOKUP('Données projet'!$B$15,Paramètres!$A$1:$I$89,3,0)*0.475*44/12</f>
        <v>0.28329612896594897</v>
      </c>
      <c r="EY46" s="22">
        <f t="shared" si="21"/>
        <v>11.858844710320714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11.2</v>
      </c>
      <c r="N47" s="13">
        <f>IF('Données projet'!$A$36&gt;35,N46+M47-V46,IF(A47&lt;'Données projet'!$A$36,$K$205^A47,IF(A47='Données projet'!$A$36,'Données projet'!$B$36,N46+M47-V46)))</f>
        <v>191.79999999999995</v>
      </c>
      <c r="O47" s="13">
        <f>N47*VLOOKUP('Données projet'!$B$9,Paramètres!$A$1:$I$89,3,0)*VLOOKUP('Données projet'!$B$9,Paramètres!$A$1:$I$89,5,0)</f>
        <v>173.54063999999997</v>
      </c>
      <c r="P47" s="13">
        <f t="shared" si="33"/>
        <v>43.882055316228445</v>
      </c>
      <c r="Q47" s="20">
        <f t="shared" si="53"/>
        <v>378.6778610090978</v>
      </c>
      <c r="R47" s="59">
        <f t="shared" si="0"/>
        <v>672.01119434243105</v>
      </c>
      <c r="S47" s="59">
        <f ca="1">AVERAGE(OFFSET($R$3,0,0,'Données projet'!$E$9+1,1))-AVERAGE(OFFSET($H$3,0,0,'Données projet'!$E$9+1,1))</f>
        <v>318.40875902853116</v>
      </c>
      <c r="T47" s="59">
        <f t="shared" si="34"/>
        <v>234.87694492493506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1.8253417472486435</v>
      </c>
      <c r="AA47" s="21">
        <f>EXP(-LN(2)/25)*AA46+(1-EXP(-LN(2)/25))/(LN(2)/25)*Calculateur!V47*Calculateur!X47*VLOOKUP('Données projet'!$B$9,Paramètres!$A$1:$I$89,3,0)*0.475*44/12</f>
        <v>7.6531601339688713</v>
      </c>
      <c r="AB47" s="21">
        <f>EXP(-LN(2)/2)*AB46+(1-EXP(-LN(2)/2))/(LN(2)/2)*V47*Y47*VLOOKUP('Données projet'!$B$9,Paramètres!$A$1:$I$89,3,0)*0.475*44/12</f>
        <v>0.16838544354770779</v>
      </c>
      <c r="AC47" s="22">
        <f t="shared" si="3"/>
        <v>9.6468873247652223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9.4</v>
      </c>
      <c r="AI47" s="13">
        <f>IF('Données projet'!$A$62&gt;35,AI46+AH47-AQ46,IF(A47&lt;'Données projet'!$A$62,$AF$205^A47,IF(A47='Données projet'!$A$62,'Données projet'!$B$62,AI46+AH47-AQ46)))</f>
        <v>211.60000000000005</v>
      </c>
      <c r="AJ47" s="13">
        <f>AI47*VLOOKUP('Données projet'!$B$10,Paramètres!$A$1:$I$89,3,0)*VLOOKUP('Données projet'!$B$10,Paramètres!$A$1:$I$89,5,0)</f>
        <v>184.85376000000008</v>
      </c>
      <c r="AK47" s="13">
        <f t="shared" si="35"/>
        <v>46.400380376458202</v>
      </c>
      <c r="AL47" s="20">
        <f t="shared" si="4"/>
        <v>402.76762782233146</v>
      </c>
      <c r="AM47" s="59">
        <f t="shared" si="5"/>
        <v>696.10096115566478</v>
      </c>
      <c r="AN47" s="59">
        <f ca="1">AVERAGE(OFFSET($AM$3,0,0,'Données projet'!$E$10+1,1))-AVERAGE(OFFSET($H$3,0,0,'Données projet'!$E$10+1,1))</f>
        <v>243.38048563215585</v>
      </c>
      <c r="AO47" s="59">
        <f t="shared" si="36"/>
        <v>372.1604147006675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5.5389680606165737</v>
      </c>
      <c r="AV47" s="21">
        <f>EXP(-LN(2)/25)*AV46+(1-EXP(-LN(2)/25))/(LN(2)/25)*Calculateur!AQ47*Calculateur!AS47*VLOOKUP('Données projet'!$B$10,Paramètres!$A$1:$I$89,3,0)*0.475*44/12</f>
        <v>13.133577169829048</v>
      </c>
      <c r="AW47" s="21">
        <f>EXP(-LN(2)/2)*AW46+(1-EXP(-LN(2)/2))/(LN(2)/2)*AQ47*AT47*VLOOKUP('Données projet'!$B$10,Paramètres!$A$1:$I$89,3,0)*0.475*44/12</f>
        <v>0.22902296260282937</v>
      </c>
      <c r="AX47" s="21">
        <f t="shared" si="6"/>
        <v>18.901568193048451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9.1999999999999993</v>
      </c>
      <c r="BD47" s="12">
        <f>IF('Données projet'!$A$88&gt;35,BD46+BC47-BL46,IF(A47&lt;'Données projet'!$A$88,$BA$205^A47,IF(A47='Données projet'!$A$88,'Données projet'!$B$88,BD46+BC47-BL46)))</f>
        <v>229.7999999999999</v>
      </c>
      <c r="BE47" s="13">
        <f>BD47*VLOOKUP('Données projet'!$B$11,Paramètres!$A$1:$I$89,3,0)*VLOOKUP('Données projet'!$B$11,Paramètres!$A$1:$I$89,5,0)</f>
        <v>154.14983999999993</v>
      </c>
      <c r="BF47" s="13">
        <f t="shared" si="37"/>
        <v>39.520148593704498</v>
      </c>
      <c r="BG47" s="20">
        <f t="shared" si="7"/>
        <v>337.30856346736851</v>
      </c>
      <c r="BH47" s="59">
        <f t="shared" si="8"/>
        <v>630.64189680070183</v>
      </c>
      <c r="BI47" s="59">
        <f ca="1">AVERAGE(OFFSET($BH$3,0,0,'Données projet'!$E$11+1,1))-AVERAGE(OFFSET($H$3,0,0,'Données projet'!$E$11+1,1))</f>
        <v>207.93042467236967</v>
      </c>
      <c r="BJ47" s="59">
        <f t="shared" si="38"/>
        <v>250.70954318710835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2.0849808750900456</v>
      </c>
      <c r="BQ47" s="21">
        <f>EXP(-LN(2)/25)*BQ46+(1-EXP(-LN(2)/25))/(LN(2)/25)*Calculateur!BL47*Calculateur!BN47*VLOOKUP('Données projet'!$B$11,Paramètres!$A$1:$I$89,3,0)*0.475*44/12</f>
        <v>11.735198232554572</v>
      </c>
      <c r="BR47" s="21">
        <f>EXP(-LN(2)/2)*BR46+(1-EXP(-LN(2)/2))/(LN(2)/2)*BL47*BO47*VLOOKUP('Données projet'!$B$11,Paramètres!$A$1:$I$89,3,0)*0.475*44/12</f>
        <v>0.15834535429971863</v>
      </c>
      <c r="BS47" s="22">
        <f t="shared" si="9"/>
        <v>13.978524461944335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</v>
      </c>
      <c r="BY47" s="12">
        <f>IF('Données projet'!$A$114&gt;35,BY46+BX47-CG46,IF(A47&lt;'Données projet'!$A$114,$BV$205^A47,IF(A47='Données projet'!$A$114,'Données projet'!$B$114,BY46+BX47-CG46)))</f>
        <v>253.00000000000006</v>
      </c>
      <c r="BZ47" s="13">
        <f>BY47*VLOOKUP('Données projet'!$B$12,Paramètres!$A$1:$I$89,3,0)*VLOOKUP('Données projet'!$B$12,Paramètres!$A$1:$I$89,5,0)</f>
        <v>197.34000000000006</v>
      </c>
      <c r="CA47" s="13">
        <f t="shared" si="39"/>
        <v>49.15912547427002</v>
      </c>
      <c r="CB47" s="20">
        <f t="shared" si="10"/>
        <v>429.3193102010203</v>
      </c>
      <c r="CC47" s="59">
        <f t="shared" si="11"/>
        <v>722.65264353435361</v>
      </c>
      <c r="CD47" s="59">
        <f ca="1">AVERAGE(OFFSET($CC$3,0,0,'Données projet'!$E$12+1,1))-AVERAGE(OFFSET($H$3,0,0,'Données projet'!$E$12+1,1))</f>
        <v>266.30229009596883</v>
      </c>
      <c r="CE47" s="59">
        <f t="shared" si="40"/>
        <v>270.19195828386046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1.095879435694229</v>
      </c>
      <c r="CL47" s="21">
        <f>EXP(-LN(2)/25)*CL46+(1-EXP(-LN(2)/25))/(LN(2)/25)*Calculateur!CG47*Calculateur!CI47*VLOOKUP('Données projet'!$B$12,Paramètres!$A$1:$I$89,3,0)*0.475*44/12</f>
        <v>5.6778792045287272</v>
      </c>
      <c r="CM47" s="21">
        <f>EXP(-LN(2)/2)*CM46+(1-EXP(-LN(2)/2))/(LN(2)/2)*CG47*CJ47*VLOOKUP('Données projet'!$B$12,Paramètres!$A$1:$I$89,3,0)*0.475*44/12</f>
        <v>0.10211859059923309</v>
      </c>
      <c r="CN47" s="22">
        <f t="shared" si="12"/>
        <v>6.8758772308221898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9.1999999999999993</v>
      </c>
      <c r="CT47" s="12">
        <f>IF('Données projet'!$A$140&gt;35,CT46+CS47-DB46,IF(A47&lt;'Données projet'!$A$140,$CQ$205^A47,IF(A47='Données projet'!$A$140,'Données projet'!$B$140,CT46+CS47-DB46)))</f>
        <v>229.7999999999999</v>
      </c>
      <c r="CU47" s="17">
        <f>CT47*VLOOKUP('Données projet'!$B$13,Paramètres!$A$1:$I$89,3,0)*VLOOKUP('Données projet'!$B$13,Paramètres!$A$1:$I$89,5,0)</f>
        <v>182.82887999999994</v>
      </c>
      <c r="CV47" s="13">
        <f t="shared" si="41"/>
        <v>45.950987516613559</v>
      </c>
      <c r="CW47" s="20">
        <f t="shared" si="13"/>
        <v>398.45826925810184</v>
      </c>
      <c r="CX47" s="59">
        <f t="shared" si="14"/>
        <v>691.79160259143509</v>
      </c>
      <c r="CY47" s="59">
        <f ca="1">AVERAGE(OFFSET($CX$3,0,0,'Données projet'!$E$13+1,1))-AVERAGE(OFFSET($H$3,0,0,'Données projet'!$E$13+1,1))</f>
        <v>260.20517190557814</v>
      </c>
      <c r="CZ47" s="59">
        <f t="shared" si="42"/>
        <v>307.22009971147133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2.4728842937114504</v>
      </c>
      <c r="DG47" s="21">
        <f>EXP(-LN(2)/25)*DG46+(1-EXP(-LN(2)/25))/(LN(2)/25)*Calculateur!DB47*Calculateur!DD47*VLOOKUP('Données projet'!$B$13,Paramètres!$A$1:$I$89,3,0)*0.475*44/12</f>
        <v>13.918490926983322</v>
      </c>
      <c r="DH47" s="21">
        <f>EXP(-LN(2)/2)*DH46+(1-EXP(-LN(2)/2))/(LN(2)/2)*DB47*DE47*VLOOKUP('Données projet'!$B$13,Paramètres!$A$1:$I$89,3,0)*0.475*44/12</f>
        <v>0.1878049550996663</v>
      </c>
      <c r="DI47" s="22">
        <f t="shared" si="15"/>
        <v>16.579180175794438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11.2</v>
      </c>
      <c r="DO47" s="12">
        <f>IF('Données projet'!$A$166&gt;35,DO46+DN47-DW46,IF(A47&lt;'Données projet'!$A$166,$DL$205^A47,IF(A47='Données projet'!$A$166,'Données projet'!$B$166,DO46+DN47-DW46)))</f>
        <v>191.79999999999995</v>
      </c>
      <c r="DP47" s="17">
        <f>DO47*VLOOKUP('Données projet'!$B$14,Paramètres!$A$1:$I$89,3,0)*VLOOKUP('Données projet'!$B$14,Paramètres!$A$1:$I$89,5,0)</f>
        <v>185.50895999999995</v>
      </c>
      <c r="DQ47" s="13">
        <f t="shared" si="43"/>
        <v>46.545669588393835</v>
      </c>
      <c r="DR47" s="20">
        <f t="shared" si="16"/>
        <v>404.16181319978574</v>
      </c>
      <c r="DS47" s="59">
        <f t="shared" si="17"/>
        <v>697.49514653311905</v>
      </c>
      <c r="DT47" s="59">
        <f ca="1">AVERAGE(OFFSET($DS$3,0,0,'Données projet'!$E$14+1,1))-AVERAGE(OFFSET($H$3,0,0,'Données projet'!$E$14+1,1))</f>
        <v>347.8889410585312</v>
      </c>
      <c r="DU47" s="59">
        <f t="shared" si="44"/>
        <v>254.78167322479203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1.95122738498993</v>
      </c>
      <c r="EB47" s="21">
        <f>EXP(-LN(2)/25)*EB46+(1-EXP(-LN(2)/25))/(LN(2)/25)*Calculateur!DW47*Calculateur!DY47*VLOOKUP('Données projet'!$B$14,Paramètres!$A$1:$I$89,3,0)*0.475*44/12</f>
        <v>8.1809642811391416</v>
      </c>
      <c r="EC47" s="21">
        <f>EXP(-LN(2)/2)*EC46+(1-EXP(-LN(2)/2))/(LN(2)/2)*DW47*DZ47*VLOOKUP('Données projet'!$B$14,Paramètres!$A$1:$I$89,3,0)*0.475*44/12</f>
        <v>0.17999823275789442</v>
      </c>
      <c r="ED47" s="22">
        <f t="shared" si="18"/>
        <v>10.312189898886965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11.2</v>
      </c>
      <c r="EJ47" s="12">
        <f>IF('Données projet'!$A$192&gt;35,EJ46+EI47-ER46,IF(A47&lt;'Données projet'!$A$192,$EG$205^A47,IF(A47='Données projet'!$A$192,'Données projet'!$B$192,EJ46+EI47-ER46)))</f>
        <v>191.79999999999995</v>
      </c>
      <c r="EK47" s="17">
        <f>EJ47*VLOOKUP('Données projet'!$B$15,Paramètres!$A$1:$I$89,3,0)*VLOOKUP('Données projet'!$B$15,Paramètres!$A$1:$I$89,5,0)</f>
        <v>206.45351999999994</v>
      </c>
      <c r="EL47" s="13">
        <f t="shared" si="45"/>
        <v>51.159824031352322</v>
      </c>
      <c r="EM47" s="20">
        <f t="shared" si="19"/>
        <v>448.67657418793851</v>
      </c>
      <c r="EN47" s="59">
        <f t="shared" si="20"/>
        <v>742.00990752127177</v>
      </c>
      <c r="EO47" s="59">
        <f ca="1">AVERAGE(OFFSET($EN$3,0,0,'Données projet'!$E$15+1,1))-AVERAGE(OFFSET($H$3,0,0,'Données projet'!$E$15+1,1))</f>
        <v>399.38728019348088</v>
      </c>
      <c r="EP47" s="59">
        <f t="shared" si="46"/>
        <v>289.54922160039791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2.1715272510371793</v>
      </c>
      <c r="EW47" s="21">
        <f>EXP(-LN(2)/25)*EW46+(1-EXP(-LN(2)/25))/(LN(2)/25)*Calculateur!ER47*Calculateur!ET47*VLOOKUP('Données projet'!$B$15,Paramètres!$A$1:$I$89,3,0)*0.475*44/12</f>
        <v>9.1046215386871108</v>
      </c>
      <c r="EX47" s="21">
        <f>EXP(-LN(2)/2)*EX46+(1-EXP(-LN(2)/2))/(LN(2)/2)*ER47*EU47*VLOOKUP('Données projet'!$B$15,Paramètres!$A$1:$I$89,3,0)*0.475*44/12</f>
        <v>0.20032061387572123</v>
      </c>
      <c r="EY47" s="22">
        <f t="shared" si="21"/>
        <v>11.476469403600012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</v>
      </c>
      <c r="N48" s="13">
        <f>IF('Données projet'!$A$36&gt;35,N47+M48-V47,IF(A48&lt;'Données projet'!$A$36,$K$205^A48,IF(A48='Données projet'!$A$36,'Données projet'!$B$36,N47+M48-V47)))</f>
        <v>202.99999999999994</v>
      </c>
      <c r="O48" s="13">
        <f>N48*VLOOKUP('Données projet'!$B$9,Paramètres!$A$1:$I$89,3,0)*VLOOKUP('Données projet'!$B$9,Paramètres!$A$1:$I$89,5,0)</f>
        <v>183.67439999999993</v>
      </c>
      <c r="P48" s="13">
        <f t="shared" si="33"/>
        <v>46.138708549418673</v>
      </c>
      <c r="Q48" s="20">
        <f t="shared" si="53"/>
        <v>400.25783072357075</v>
      </c>
      <c r="R48" s="59">
        <f t="shared" si="0"/>
        <v>693.59116405690406</v>
      </c>
      <c r="S48" s="59">
        <f ca="1">AVERAGE(OFFSET($R$3,0,0,'Données projet'!$E$9+1,1))-AVERAGE(OFFSET($H$3,0,0,'Données projet'!$E$9+1,1))</f>
        <v>318.40875902853116</v>
      </c>
      <c r="T48" s="59">
        <f t="shared" si="34"/>
        <v>234.87694492493506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1.7895479089336295</v>
      </c>
      <c r="AA48" s="21">
        <f>EXP(-LN(2)/25)*AA47+(1-EXP(-LN(2)/25))/(LN(2)/25)*Calculateur!V48*Calculateur!X48*VLOOKUP('Données projet'!$B$9,Paramètres!$A$1:$I$89,3,0)*0.475*44/12</f>
        <v>7.4438840676432925</v>
      </c>
      <c r="AB48" s="21">
        <f>EXP(-LN(2)/2)*AB47+(1-EXP(-LN(2)/2))/(LN(2)/2)*V48*Y48*VLOOKUP('Données projet'!$B$9,Paramètres!$A$1:$I$89,3,0)*0.475*44/12</f>
        <v>0.11906648898568878</v>
      </c>
      <c r="AC48" s="22">
        <f t="shared" si="3"/>
        <v>9.3524984655626113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9.4</v>
      </c>
      <c r="AI48" s="13">
        <f>IF('Données projet'!$A$62&gt;35,AI47+AH48-AQ47,IF(A48&lt;'Données projet'!$A$62,$AF$205^A48,IF(A48='Données projet'!$A$62,'Données projet'!$B$62,AI47+AH48-AQ47)))</f>
        <v>221.00000000000006</v>
      </c>
      <c r="AJ48" s="13">
        <f>AI48*VLOOKUP('Données projet'!$B$10,Paramètres!$A$1:$I$89,3,0)*VLOOKUP('Données projet'!$B$10,Paramètres!$A$1:$I$89,5,0)</f>
        <v>193.06560000000007</v>
      </c>
      <c r="AK48" s="13">
        <f t="shared" si="35"/>
        <v>48.217080828790458</v>
      </c>
      <c r="AL48" s="20">
        <f t="shared" si="4"/>
        <v>420.23400244347687</v>
      </c>
      <c r="AM48" s="59">
        <f t="shared" si="5"/>
        <v>713.56733577681018</v>
      </c>
      <c r="AN48" s="59">
        <f ca="1">AVERAGE(OFFSET($AM$3,0,0,'Données projet'!$E$10+1,1))-AVERAGE(OFFSET($H$3,0,0,'Données projet'!$E$10+1,1))</f>
        <v>243.38048563215585</v>
      </c>
      <c r="AO48" s="59">
        <f t="shared" si="36"/>
        <v>372.1604147006675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5.4303522753848066</v>
      </c>
      <c r="AV48" s="21">
        <f>EXP(-LN(2)/25)*AV47+(1-EXP(-LN(2)/25))/(LN(2)/25)*Calculateur!AQ48*Calculateur!AS48*VLOOKUP('Données projet'!$B$10,Paramètres!$A$1:$I$89,3,0)*0.475*44/12</f>
        <v>12.774438811455266</v>
      </c>
      <c r="AW48" s="21">
        <f>EXP(-LN(2)/2)*AW47+(1-EXP(-LN(2)/2))/(LN(2)/2)*AQ48*AT48*VLOOKUP('Données projet'!$B$10,Paramètres!$A$1:$I$89,3,0)*0.475*44/12</f>
        <v>0.16194368990389374</v>
      </c>
      <c r="AX48" s="21">
        <f t="shared" si="6"/>
        <v>18.366734776743964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9.1999999999999993</v>
      </c>
      <c r="BD48" s="12">
        <f>IF('Données projet'!$A$88&gt;35,BD47+BC48-BL47,IF(A48&lt;'Données projet'!$A$88,$BA$205^A48,IF(A48='Données projet'!$A$88,'Données projet'!$B$88,BD47+BC48-BL47)))</f>
        <v>238.99999999999989</v>
      </c>
      <c r="BE48" s="13">
        <f>BD48*VLOOKUP('Données projet'!$B$11,Paramètres!$A$1:$I$89,3,0)*VLOOKUP('Données projet'!$B$11,Paramètres!$A$1:$I$89,5,0)</f>
        <v>160.32119999999992</v>
      </c>
      <c r="BF48" s="13">
        <f t="shared" si="37"/>
        <v>40.914954505069986</v>
      </c>
      <c r="BG48" s="20">
        <f t="shared" si="7"/>
        <v>350.48630242966345</v>
      </c>
      <c r="BH48" s="59">
        <f t="shared" si="8"/>
        <v>643.81963576299677</v>
      </c>
      <c r="BI48" s="59">
        <f ca="1">AVERAGE(OFFSET($BH$3,0,0,'Données projet'!$E$11+1,1))-AVERAGE(OFFSET($H$3,0,0,'Données projet'!$E$11+1,1))</f>
        <v>207.93042467236967</v>
      </c>
      <c r="BJ48" s="59">
        <f t="shared" si="38"/>
        <v>250.70954318710835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2.0440956718422925</v>
      </c>
      <c r="BQ48" s="21">
        <f>EXP(-LN(2)/25)*BQ47+(1-EXP(-LN(2)/25))/(LN(2)/25)*Calculateur!BL48*Calculateur!BN48*VLOOKUP('Données projet'!$B$11,Paramètres!$A$1:$I$89,3,0)*0.475*44/12</f>
        <v>11.414298619758114</v>
      </c>
      <c r="BR48" s="21">
        <f>EXP(-LN(2)/2)*BR47+(1-EXP(-LN(2)/2))/(LN(2)/2)*BL48*BO48*VLOOKUP('Données projet'!$B$11,Paramètres!$A$1:$I$89,3,0)*0.475*44/12</f>
        <v>0.11196707379471749</v>
      </c>
      <c r="BS48" s="22">
        <f t="shared" si="9"/>
        <v>13.570361365395124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</v>
      </c>
      <c r="BY48" s="12">
        <f>IF('Données projet'!$A$114&gt;35,BY47+BX48-CG47,IF(A48&lt;'Données projet'!$A$114,$BV$205^A48,IF(A48='Données projet'!$A$114,'Données projet'!$B$114,BY47+BX48-CG47)))</f>
        <v>264.00000000000006</v>
      </c>
      <c r="BZ48" s="13">
        <f>BY48*VLOOKUP('Données projet'!$B$12,Paramètres!$A$1:$I$89,3,0)*VLOOKUP('Données projet'!$B$12,Paramètres!$A$1:$I$89,5,0)</f>
        <v>205.92000000000004</v>
      </c>
      <c r="CA48" s="13">
        <f t="shared" si="39"/>
        <v>51.042987531485686</v>
      </c>
      <c r="CB48" s="20">
        <f t="shared" si="10"/>
        <v>447.54386995067097</v>
      </c>
      <c r="CC48" s="59">
        <f t="shared" si="11"/>
        <v>740.87720328400428</v>
      </c>
      <c r="CD48" s="59">
        <f ca="1">AVERAGE(OFFSET($CC$3,0,0,'Données projet'!$E$12+1,1))-AVERAGE(OFFSET($H$3,0,0,'Données projet'!$E$12+1,1))</f>
        <v>266.30229009596883</v>
      </c>
      <c r="CE48" s="59">
        <f t="shared" si="40"/>
        <v>270.19195828386046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1.0743899083807198</v>
      </c>
      <c r="CL48" s="21">
        <f>EXP(-LN(2)/25)*CL47+(1-EXP(-LN(2)/25))/(LN(2)/25)*Calculateur!CG48*Calculateur!CI48*VLOOKUP('Données projet'!$B$12,Paramètres!$A$1:$I$89,3,0)*0.475*44/12</f>
        <v>5.5226172990941986</v>
      </c>
      <c r="CM48" s="21">
        <f>EXP(-LN(2)/2)*CM47+(1-EXP(-LN(2)/2))/(LN(2)/2)*CG48*CJ48*VLOOKUP('Données projet'!$B$12,Paramètres!$A$1:$I$89,3,0)*0.475*44/12</f>
        <v>7.2208747897930539E-2</v>
      </c>
      <c r="CN48" s="22">
        <f t="shared" si="12"/>
        <v>6.6692159553728496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9.1999999999999993</v>
      </c>
      <c r="CT48" s="12">
        <f>IF('Données projet'!$A$140&gt;35,CT47+CS48-DB47,IF(A48&lt;'Données projet'!$A$140,$CQ$205^A48,IF(A48='Données projet'!$A$140,'Données projet'!$B$140,CT47+CS48-DB47)))</f>
        <v>238.99999999999989</v>
      </c>
      <c r="CU48" s="17">
        <f>CT48*VLOOKUP('Données projet'!$B$13,Paramètres!$A$1:$I$89,3,0)*VLOOKUP('Données projet'!$B$13,Paramètres!$A$1:$I$89,5,0)</f>
        <v>190.14839999999992</v>
      </c>
      <c r="CV48" s="13">
        <f t="shared" si="41"/>
        <v>47.572760493232991</v>
      </c>
      <c r="CW48" s="20">
        <f t="shared" si="13"/>
        <v>414.03102119238065</v>
      </c>
      <c r="CX48" s="59">
        <f t="shared" si="14"/>
        <v>707.36435452571391</v>
      </c>
      <c r="CY48" s="59">
        <f ca="1">AVERAGE(OFFSET($CX$3,0,0,'Données projet'!$E$13+1,1))-AVERAGE(OFFSET($H$3,0,0,'Données projet'!$E$13+1,1))</f>
        <v>260.20517190557814</v>
      </c>
      <c r="CZ48" s="59">
        <f t="shared" si="42"/>
        <v>307.22009971147133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2.4243925410222547</v>
      </c>
      <c r="DG48" s="21">
        <f>EXP(-LN(2)/25)*DG47+(1-EXP(-LN(2)/25))/(LN(2)/25)*Calculateur!DB48*Calculateur!DD48*VLOOKUP('Données projet'!$B$13,Paramètres!$A$1:$I$89,3,0)*0.475*44/12</f>
        <v>13.537889060643337</v>
      </c>
      <c r="DH48" s="21">
        <f>EXP(-LN(2)/2)*DH47+(1-EXP(-LN(2)/2))/(LN(2)/2)*DB48*DE48*VLOOKUP('Données projet'!$B$13,Paramètres!$A$1:$I$89,3,0)*0.475*44/12</f>
        <v>0.13279815729140912</v>
      </c>
      <c r="DI48" s="22">
        <f t="shared" si="15"/>
        <v>16.095079758956999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11.2</v>
      </c>
      <c r="DO48" s="12">
        <f>IF('Données projet'!$A$166&gt;35,DO47+DN48-DW47,IF(A48&lt;'Données projet'!$A$166,$DL$205^A48,IF(A48='Données projet'!$A$166,'Données projet'!$B$166,DO47+DN48-DW47)))</f>
        <v>202.99999999999994</v>
      </c>
      <c r="DP48" s="17">
        <f>DO48*VLOOKUP('Données projet'!$B$14,Paramètres!$A$1:$I$89,3,0)*VLOOKUP('Données projet'!$B$14,Paramètres!$A$1:$I$89,5,0)</f>
        <v>196.34159999999994</v>
      </c>
      <c r="DQ48" s="13">
        <f t="shared" si="43"/>
        <v>48.939300310809159</v>
      </c>
      <c r="DR48" s="20">
        <f t="shared" si="16"/>
        <v>427.19756804132584</v>
      </c>
      <c r="DS48" s="59">
        <f t="shared" si="17"/>
        <v>720.53090137465915</v>
      </c>
      <c r="DT48" s="59">
        <f ca="1">AVERAGE(OFFSET($DS$3,0,0,'Données projet'!$E$14+1,1))-AVERAGE(OFFSET($H$3,0,0,'Données projet'!$E$14+1,1))</f>
        <v>347.8889410585312</v>
      </c>
      <c r="DU48" s="59">
        <f t="shared" si="44"/>
        <v>254.78167322479203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1.9129650061014667</v>
      </c>
      <c r="EB48" s="21">
        <f>EXP(-LN(2)/25)*EB47+(1-EXP(-LN(2)/25))/(LN(2)/25)*Calculateur!DW48*Calculateur!DY48*VLOOKUP('Données projet'!$B$14,Paramètres!$A$1:$I$89,3,0)*0.475*44/12</f>
        <v>7.9572553826531784</v>
      </c>
      <c r="EC48" s="21">
        <f>EXP(-LN(2)/2)*EC47+(1-EXP(-LN(2)/2))/(LN(2)/2)*DW48*DZ48*VLOOKUP('Données projet'!$B$14,Paramètres!$A$1:$I$89,3,0)*0.475*44/12</f>
        <v>0.1272779709847017</v>
      </c>
      <c r="ED48" s="22">
        <f t="shared" si="18"/>
        <v>9.9974983597393479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11.2</v>
      </c>
      <c r="EJ48" s="12">
        <f>IF('Données projet'!$A$192&gt;35,EJ47+EI48-ER47,IF(A48&lt;'Données projet'!$A$192,$EG$205^A48,IF(A48='Données projet'!$A$192,'Données projet'!$B$192,EJ47+EI48-ER47)))</f>
        <v>202.99999999999994</v>
      </c>
      <c r="EK48" s="17">
        <f>EJ48*VLOOKUP('Données projet'!$B$15,Paramètres!$A$1:$I$89,3,0)*VLOOKUP('Données projet'!$B$15,Paramètres!$A$1:$I$89,5,0)</f>
        <v>218.50919999999991</v>
      </c>
      <c r="EL48" s="13">
        <f t="shared" si="45"/>
        <v>53.790739595307201</v>
      </c>
      <c r="EM48" s="20">
        <f t="shared" si="19"/>
        <v>474.25572812849327</v>
      </c>
      <c r="EN48" s="59">
        <f t="shared" si="20"/>
        <v>767.58906146182653</v>
      </c>
      <c r="EO48" s="59">
        <f ca="1">AVERAGE(OFFSET($EN$3,0,0,'Données projet'!$E$15+1,1))-AVERAGE(OFFSET($H$3,0,0,'Données projet'!$E$15+1,1))</f>
        <v>399.38728019348088</v>
      </c>
      <c r="EP48" s="59">
        <f t="shared" si="46"/>
        <v>289.54922160039791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2.1289449261451798</v>
      </c>
      <c r="EW48" s="21">
        <f>EXP(-LN(2)/25)*EW47+(1-EXP(-LN(2)/25))/(LN(2)/25)*Calculateur!ER48*Calculateur!ET48*VLOOKUP('Données projet'!$B$15,Paramètres!$A$1:$I$89,3,0)*0.475*44/12</f>
        <v>8.855655183920474</v>
      </c>
      <c r="EX48" s="21">
        <f>EXP(-LN(2)/2)*EX47+(1-EXP(-LN(2)/2))/(LN(2)/2)*ER48*EU48*VLOOKUP('Données projet'!$B$15,Paramètres!$A$1:$I$89,3,0)*0.475*44/12</f>
        <v>0.14164806448297448</v>
      </c>
      <c r="EY48" s="22">
        <f t="shared" si="21"/>
        <v>11.126248174548627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</v>
      </c>
      <c r="N49" s="13">
        <f>IF('Données projet'!$A$36&gt;35,N48+M49-V48,IF(A49&lt;'Données projet'!$A$36,$K$205^A49,IF(A49='Données projet'!$A$36,'Données projet'!$B$36,N48+M49-V48)))</f>
        <v>214.19999999999993</v>
      </c>
      <c r="O49" s="13">
        <f>N49*VLOOKUP('Données projet'!$B$9,Paramètres!$A$1:$I$89,3,0)*VLOOKUP('Données projet'!$B$9,Paramètres!$A$1:$I$89,5,0)</f>
        <v>193.80815999999993</v>
      </c>
      <c r="P49" s="13">
        <f t="shared" si="33"/>
        <v>48.380908095574689</v>
      </c>
      <c r="Q49" s="20">
        <f t="shared" si="53"/>
        <v>421.81262693312578</v>
      </c>
      <c r="R49" s="59">
        <f t="shared" si="0"/>
        <v>715.14596026645904</v>
      </c>
      <c r="S49" s="59">
        <f ca="1">AVERAGE(OFFSET($R$3,0,0,'Données projet'!$E$9+1,1))-AVERAGE(OFFSET($H$3,0,0,'Données projet'!$E$9+1,1))</f>
        <v>318.40875902853116</v>
      </c>
      <c r="T49" s="59">
        <f t="shared" si="34"/>
        <v>234.87694492493506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1.7544559659558872</v>
      </c>
      <c r="AA49" s="21">
        <f>EXP(-LN(2)/25)*AA48+(1-EXP(-LN(2)/25))/(LN(2)/25)*Calculateur!V49*Calculateur!X49*VLOOKUP('Données projet'!$B$9,Paramètres!$A$1:$I$89,3,0)*0.475*44/12</f>
        <v>7.2403306663567371</v>
      </c>
      <c r="AB49" s="21">
        <f>EXP(-LN(2)/2)*AB48+(1-EXP(-LN(2)/2))/(LN(2)/2)*V49*Y49*VLOOKUP('Données projet'!$B$9,Paramètres!$A$1:$I$89,3,0)*0.475*44/12</f>
        <v>8.419272177385391E-2</v>
      </c>
      <c r="AC49" s="22">
        <f t="shared" si="3"/>
        <v>9.0789793540864796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9.4</v>
      </c>
      <c r="AI49" s="13">
        <f>IF('Données projet'!$A$62&gt;35,AI48+AH49-AQ48,IF(A49&lt;'Données projet'!$A$62,$AF$205^A49,IF(A49='Données projet'!$A$62,'Données projet'!$B$62,AI48+AH49-AQ48)))</f>
        <v>230.40000000000006</v>
      </c>
      <c r="AJ49" s="13">
        <f>AI49*VLOOKUP('Données projet'!$B$10,Paramètres!$A$1:$I$89,3,0)*VLOOKUP('Données projet'!$B$10,Paramètres!$A$1:$I$89,5,0)</f>
        <v>201.2774400000001</v>
      </c>
      <c r="AK49" s="13">
        <f t="shared" si="35"/>
        <v>50.024806258462817</v>
      </c>
      <c r="AL49" s="20">
        <f t="shared" si="4"/>
        <v>437.68474556682287</v>
      </c>
      <c r="AM49" s="59">
        <f t="shared" si="5"/>
        <v>731.01807890015618</v>
      </c>
      <c r="AN49" s="59">
        <f ca="1">AVERAGE(OFFSET($AM$3,0,0,'Données projet'!$E$10+1,1))-AVERAGE(OFFSET($H$3,0,0,'Données projet'!$E$10+1,1))</f>
        <v>243.38048563215585</v>
      </c>
      <c r="AO49" s="59">
        <f t="shared" si="36"/>
        <v>372.1604147006675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5.3238663794523475</v>
      </c>
      <c r="AV49" s="21">
        <f>EXP(-LN(2)/25)*AV48+(1-EXP(-LN(2)/25))/(LN(2)/25)*Calculateur!AQ49*Calculateur!AS49*VLOOKUP('Données projet'!$B$10,Paramètres!$A$1:$I$89,3,0)*0.475*44/12</f>
        <v>12.42512111037748</v>
      </c>
      <c r="AW49" s="21">
        <f>EXP(-LN(2)/2)*AW48+(1-EXP(-LN(2)/2))/(LN(2)/2)*AQ49*AT49*VLOOKUP('Données projet'!$B$10,Paramètres!$A$1:$I$89,3,0)*0.475*44/12</f>
        <v>0.1145114813014147</v>
      </c>
      <c r="AX49" s="21">
        <f t="shared" si="6"/>
        <v>17.863498971131243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9.1999999999999993</v>
      </c>
      <c r="BD49" s="12">
        <f>IF('Données projet'!$A$88&gt;35,BD48+BC49-BL48,IF(A49&lt;'Données projet'!$A$88,$BA$205^A49,IF(A49='Données projet'!$A$88,'Données projet'!$B$88,BD48+BC49-BL48)))</f>
        <v>248.19999999999987</v>
      </c>
      <c r="BE49" s="13">
        <f>BD49*VLOOKUP('Données projet'!$B$11,Paramètres!$A$1:$I$89,3,0)*VLOOKUP('Données projet'!$B$11,Paramètres!$A$1:$I$89,5,0)</f>
        <v>166.49255999999991</v>
      </c>
      <c r="BF49" s="13">
        <f t="shared" si="37"/>
        <v>42.303523105684178</v>
      </c>
      <c r="BG49" s="20">
        <f t="shared" si="7"/>
        <v>363.65317807573314</v>
      </c>
      <c r="BH49" s="59">
        <f t="shared" si="8"/>
        <v>656.98651140906645</v>
      </c>
      <c r="BI49" s="59">
        <f ca="1">AVERAGE(OFFSET($BH$3,0,0,'Données projet'!$E$11+1,1))-AVERAGE(OFFSET($H$3,0,0,'Données projet'!$E$11+1,1))</f>
        <v>207.93042467236967</v>
      </c>
      <c r="BJ49" s="59">
        <f t="shared" si="38"/>
        <v>250.70954318710835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2.0040122024927163</v>
      </c>
      <c r="BQ49" s="21">
        <f>EXP(-LN(2)/25)*BQ48+(1-EXP(-LN(2)/25))/(LN(2)/25)*Calculateur!BL49*Calculateur!BN49*VLOOKUP('Données projet'!$B$11,Paramètres!$A$1:$I$89,3,0)*0.475*44/12</f>
        <v>11.102174023748951</v>
      </c>
      <c r="BR49" s="21">
        <f>EXP(-LN(2)/2)*BR48+(1-EXP(-LN(2)/2))/(LN(2)/2)*BL49*BO49*VLOOKUP('Données projet'!$B$11,Paramètres!$A$1:$I$89,3,0)*0.475*44/12</f>
        <v>7.9172677149859316E-2</v>
      </c>
      <c r="BS49" s="22">
        <f t="shared" si="9"/>
        <v>13.185358903391528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</v>
      </c>
      <c r="BY49" s="12">
        <f>IF('Données projet'!$A$114&gt;35,BY48+BX49-CG48,IF(A49&lt;'Données projet'!$A$114,$BV$205^A49,IF(A49='Données projet'!$A$114,'Données projet'!$B$114,BY48+BX49-CG48)))</f>
        <v>275.00000000000006</v>
      </c>
      <c r="BZ49" s="13">
        <f>BY49*VLOOKUP('Données projet'!$B$12,Paramètres!$A$1:$I$89,3,0)*VLOOKUP('Données projet'!$B$12,Paramètres!$A$1:$I$89,5,0)</f>
        <v>214.50000000000006</v>
      </c>
      <c r="CA49" s="13">
        <f t="shared" si="39"/>
        <v>52.917732192436588</v>
      </c>
      <c r="CB49" s="20">
        <f t="shared" si="10"/>
        <v>465.75255023516047</v>
      </c>
      <c r="CC49" s="59">
        <f t="shared" si="11"/>
        <v>759.08588356849373</v>
      </c>
      <c r="CD49" s="59">
        <f ca="1">AVERAGE(OFFSET($CC$3,0,0,'Données projet'!$E$12+1,1))-AVERAGE(OFFSET($H$3,0,0,'Données projet'!$E$12+1,1))</f>
        <v>266.30229009596883</v>
      </c>
      <c r="CE49" s="59">
        <f t="shared" si="40"/>
        <v>270.19195828386046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1.0533217775905113</v>
      </c>
      <c r="CL49" s="21">
        <f>EXP(-LN(2)/25)*CL48+(1-EXP(-LN(2)/25))/(LN(2)/25)*Calculateur!CG49*Calculateur!CI49*VLOOKUP('Données projet'!$B$12,Paramètres!$A$1:$I$89,3,0)*0.475*44/12</f>
        <v>5.3716010386286461</v>
      </c>
      <c r="CM49" s="21">
        <f>EXP(-LN(2)/2)*CM48+(1-EXP(-LN(2)/2))/(LN(2)/2)*CG49*CJ49*VLOOKUP('Données projet'!$B$12,Paramètres!$A$1:$I$89,3,0)*0.475*44/12</f>
        <v>5.1059295299616544E-2</v>
      </c>
      <c r="CN49" s="22">
        <f t="shared" si="12"/>
        <v>6.4759821115187739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9.1999999999999993</v>
      </c>
      <c r="CT49" s="12">
        <f>IF('Données projet'!$A$140&gt;35,CT48+CS49-DB48,IF(A49&lt;'Données projet'!$A$140,$CQ$205^A49,IF(A49='Données projet'!$A$140,'Données projet'!$B$140,CT48+CS49-DB48)))</f>
        <v>248.19999999999987</v>
      </c>
      <c r="CU49" s="17">
        <f>CT49*VLOOKUP('Données projet'!$B$13,Paramètres!$A$1:$I$89,3,0)*VLOOKUP('Données projet'!$B$13,Paramètres!$A$1:$I$89,5,0)</f>
        <v>197.46791999999991</v>
      </c>
      <c r="CV49" s="13">
        <f t="shared" si="41"/>
        <v>49.187281204902298</v>
      </c>
      <c r="CW49" s="20">
        <f t="shared" si="13"/>
        <v>429.591142098538</v>
      </c>
      <c r="CX49" s="59">
        <f t="shared" si="14"/>
        <v>722.92447543187131</v>
      </c>
      <c r="CY49" s="59">
        <f ca="1">AVERAGE(OFFSET($CX$3,0,0,'Données projet'!$E$13+1,1))-AVERAGE(OFFSET($H$3,0,0,'Données projet'!$E$13+1,1))</f>
        <v>260.20517190557814</v>
      </c>
      <c r="CZ49" s="59">
        <f t="shared" si="42"/>
        <v>307.22009971147133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2.3768516820262455</v>
      </c>
      <c r="DG49" s="21">
        <f>EXP(-LN(2)/25)*DG48+(1-EXP(-LN(2)/25))/(LN(2)/25)*Calculateur!DB49*Calculateur!DD49*VLOOKUP('Données projet'!$B$13,Paramètres!$A$1:$I$89,3,0)*0.475*44/12</f>
        <v>13.167694772353402</v>
      </c>
      <c r="DH49" s="21">
        <f>EXP(-LN(2)/2)*DH48+(1-EXP(-LN(2)/2))/(LN(2)/2)*DB49*DE49*VLOOKUP('Données projet'!$B$13,Paramètres!$A$1:$I$89,3,0)*0.475*44/12</f>
        <v>9.3902477549833149E-2</v>
      </c>
      <c r="DI49" s="22">
        <f t="shared" si="15"/>
        <v>15.63844893192948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11.2</v>
      </c>
      <c r="DO49" s="12">
        <f>IF('Données projet'!$A$166&gt;35,DO48+DN49-DW48,IF(A49&lt;'Données projet'!$A$166,$DL$205^A49,IF(A49='Données projet'!$A$166,'Données projet'!$B$166,DO48+DN49-DW48)))</f>
        <v>214.19999999999993</v>
      </c>
      <c r="DP49" s="17">
        <f>DO49*VLOOKUP('Données projet'!$B$14,Paramètres!$A$1:$I$89,3,0)*VLOOKUP('Données projet'!$B$14,Paramètres!$A$1:$I$89,5,0)</f>
        <v>207.17423999999991</v>
      </c>
      <c r="DQ49" s="13">
        <f t="shared" si="43"/>
        <v>51.317600016110937</v>
      </c>
      <c r="DR49" s="20">
        <f t="shared" si="16"/>
        <v>450.20662136139305</v>
      </c>
      <c r="DS49" s="59">
        <f t="shared" si="17"/>
        <v>743.53995469472636</v>
      </c>
      <c r="DT49" s="59">
        <f ca="1">AVERAGE(OFFSET($DS$3,0,0,'Données projet'!$E$14+1,1))-AVERAGE(OFFSET($H$3,0,0,'Données projet'!$E$14+1,1))</f>
        <v>347.8889410585312</v>
      </c>
      <c r="DU49" s="59">
        <f t="shared" si="44"/>
        <v>254.78167322479203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1.8754529291252593</v>
      </c>
      <c r="EB49" s="21">
        <f>EXP(-LN(2)/25)*EB48+(1-EXP(-LN(2)/25))/(LN(2)/25)*Calculateur!DW49*Calculateur!DY49*VLOOKUP('Données projet'!$B$14,Paramètres!$A$1:$I$89,3,0)*0.475*44/12</f>
        <v>7.739663815760653</v>
      </c>
      <c r="EC49" s="21">
        <f>EXP(-LN(2)/2)*EC48+(1-EXP(-LN(2)/2))/(LN(2)/2)*DW49*DZ49*VLOOKUP('Données projet'!$B$14,Paramètres!$A$1:$I$89,3,0)*0.475*44/12</f>
        <v>8.9999116378947211E-2</v>
      </c>
      <c r="ED49" s="22">
        <f t="shared" si="18"/>
        <v>9.7051158612648596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11.2</v>
      </c>
      <c r="EJ49" s="12">
        <f>IF('Données projet'!$A$192&gt;35,EJ48+EI49-ER48,IF(A49&lt;'Données projet'!$A$192,$EG$205^A49,IF(A49='Données projet'!$A$192,'Données projet'!$B$192,EJ48+EI49-ER48)))</f>
        <v>214.19999999999993</v>
      </c>
      <c r="EK49" s="17">
        <f>EJ49*VLOOKUP('Données projet'!$B$15,Paramètres!$A$1:$I$89,3,0)*VLOOKUP('Données projet'!$B$15,Paramètres!$A$1:$I$89,5,0)</f>
        <v>230.56487999999993</v>
      </c>
      <c r="EL49" s="13">
        <f t="shared" si="45"/>
        <v>56.404804351341944</v>
      </c>
      <c r="EM49" s="20">
        <f t="shared" si="19"/>
        <v>499.80553357858707</v>
      </c>
      <c r="EN49" s="59">
        <f t="shared" si="20"/>
        <v>793.13886691192033</v>
      </c>
      <c r="EO49" s="59">
        <f ca="1">AVERAGE(OFFSET($EN$3,0,0,'Données projet'!$E$15+1,1))-AVERAGE(OFFSET($H$3,0,0,'Données projet'!$E$15+1,1))</f>
        <v>399.38728019348088</v>
      </c>
      <c r="EP49" s="59">
        <f t="shared" si="46"/>
        <v>289.54922160039791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2.0871976146716587</v>
      </c>
      <c r="EW49" s="21">
        <f>EXP(-LN(2)/25)*EW48+(1-EXP(-LN(2)/25))/(LN(2)/25)*Calculateur!ER49*Calculateur!ET49*VLOOKUP('Données projet'!$B$15,Paramètres!$A$1:$I$89,3,0)*0.475*44/12</f>
        <v>8.613496827217503</v>
      </c>
      <c r="EX49" s="21">
        <f>EXP(-LN(2)/2)*EX48+(1-EXP(-LN(2)/2))/(LN(2)/2)*ER49*EU49*VLOOKUP('Données projet'!$B$15,Paramètres!$A$1:$I$89,3,0)*0.475*44/12</f>
        <v>0.10016030693786061</v>
      </c>
      <c r="EY49" s="22">
        <f t="shared" si="21"/>
        <v>10.800854748827023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</v>
      </c>
      <c r="N50" s="13">
        <f>IF('Données projet'!$A$36&gt;35,N49+M50-V49,IF(A50&lt;'Données projet'!$A$36,$K$205^A50,IF(A50='Données projet'!$A$36,'Données projet'!$B$36,N49+M50-V49)))</f>
        <v>225.39999999999992</v>
      </c>
      <c r="O50" s="13">
        <f>N50*VLOOKUP('Données projet'!$B$9,Paramètres!$A$1:$I$89,3,0)*VLOOKUP('Données projet'!$B$9,Paramètres!$A$1:$I$89,5,0)</f>
        <v>203.94191999999993</v>
      </c>
      <c r="P50" s="13">
        <f t="shared" si="33"/>
        <v>50.609495896501116</v>
      </c>
      <c r="Q50" s="20">
        <f t="shared" si="53"/>
        <v>443.3437160197393</v>
      </c>
      <c r="R50" s="59">
        <f t="shared" si="0"/>
        <v>736.67704935307256</v>
      </c>
      <c r="S50" s="59">
        <f ca="1">AVERAGE(OFFSET($R$3,0,0,'Données projet'!$E$9+1,1))-AVERAGE(OFFSET($H$3,0,0,'Données projet'!$E$9+1,1))</f>
        <v>318.40875902853116</v>
      </c>
      <c r="T50" s="59">
        <f t="shared" si="34"/>
        <v>234.87694492493506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1.7200521545759666</v>
      </c>
      <c r="AA50" s="21">
        <f>EXP(-LN(2)/25)*AA49+(1-EXP(-LN(2)/25))/(LN(2)/25)*Calculateur!V50*Calculateur!X50*VLOOKUP('Données projet'!$B$9,Paramètres!$A$1:$I$89,3,0)*0.475*44/12</f>
        <v>7.0423434435327703</v>
      </c>
      <c r="AB50" s="21">
        <f>EXP(-LN(2)/2)*AB49+(1-EXP(-LN(2)/2))/(LN(2)/2)*V50*Y50*VLOOKUP('Données projet'!$B$9,Paramètres!$A$1:$I$89,3,0)*0.475*44/12</f>
        <v>5.9533244492844396E-2</v>
      </c>
      <c r="AC50" s="22">
        <f t="shared" si="3"/>
        <v>8.8219288426015812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9.4</v>
      </c>
      <c r="AI50" s="13">
        <f>IF('Données projet'!$A$62&gt;35,AI49+AH50-AQ49,IF(A50&lt;'Données projet'!$A$62,$AF$205^A50,IF(A50='Données projet'!$A$62,'Données projet'!$B$62,AI49+AH50-AQ49)))</f>
        <v>239.80000000000007</v>
      </c>
      <c r="AJ50" s="13">
        <f>AI50*VLOOKUP('Données projet'!$B$10,Paramètres!$A$1:$I$89,3,0)*VLOOKUP('Données projet'!$B$10,Paramètres!$A$1:$I$89,5,0)</f>
        <v>209.48928000000006</v>
      </c>
      <c r="AK50" s="13">
        <f t="shared" si="35"/>
        <v>51.823964717594407</v>
      </c>
      <c r="AL50" s="20">
        <f t="shared" si="4"/>
        <v>455.12056788314362</v>
      </c>
      <c r="AM50" s="59">
        <f t="shared" si="5"/>
        <v>748.45390121647688</v>
      </c>
      <c r="AN50" s="59">
        <f ca="1">AVERAGE(OFFSET($AM$3,0,0,'Données projet'!$E$10+1,1))-AVERAGE(OFFSET($H$3,0,0,'Données projet'!$E$10+1,1))</f>
        <v>243.38048563215585</v>
      </c>
      <c r="AO50" s="59">
        <f t="shared" si="36"/>
        <v>372.1604147006675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5.2194686069891407</v>
      </c>
      <c r="AV50" s="21">
        <f>EXP(-LN(2)/25)*AV49+(1-EXP(-LN(2)/25))/(LN(2)/25)*Calculateur!AQ50*Calculateur!AS50*VLOOKUP('Données projet'!$B$10,Paramètres!$A$1:$I$89,3,0)*0.475*44/12</f>
        <v>12.085355520205487</v>
      </c>
      <c r="AW50" s="21">
        <f>EXP(-LN(2)/2)*AW49+(1-EXP(-LN(2)/2))/(LN(2)/2)*AQ50*AT50*VLOOKUP('Données projet'!$B$10,Paramètres!$A$1:$I$89,3,0)*0.475*44/12</f>
        <v>8.097184495194687E-2</v>
      </c>
      <c r="AX50" s="21">
        <f t="shared" si="6"/>
        <v>17.385795972146575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9.1999999999999993</v>
      </c>
      <c r="BD50" s="12">
        <f>IF('Données projet'!$A$88&gt;35,BD49+BC50-BL49,IF(A50&lt;'Données projet'!$A$88,$BA$205^A50,IF(A50='Données projet'!$A$88,'Données projet'!$B$88,BD49+BC50-BL49)))</f>
        <v>257.39999999999986</v>
      </c>
      <c r="BE50" s="13">
        <f>BD50*VLOOKUP('Données projet'!$B$11,Paramètres!$A$1:$I$89,3,0)*VLOOKUP('Données projet'!$B$11,Paramètres!$A$1:$I$89,5,0)</f>
        <v>172.66391999999993</v>
      </c>
      <c r="BF50" s="13">
        <f t="shared" si="37"/>
        <v>43.686112068665423</v>
      </c>
      <c r="BG50" s="20">
        <f t="shared" si="7"/>
        <v>376.80963918625883</v>
      </c>
      <c r="BH50" s="59">
        <f t="shared" si="8"/>
        <v>670.14297251959215</v>
      </c>
      <c r="BI50" s="59">
        <f ca="1">AVERAGE(OFFSET($BH$3,0,0,'Données projet'!$E$11+1,1))-AVERAGE(OFFSET($H$3,0,0,'Données projet'!$E$11+1,1))</f>
        <v>207.93042467236967</v>
      </c>
      <c r="BJ50" s="59">
        <f t="shared" si="38"/>
        <v>250.70954318710835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1.9647147455285829</v>
      </c>
      <c r="BQ50" s="21">
        <f>EXP(-LN(2)/25)*BQ49+(1-EXP(-LN(2)/25))/(LN(2)/25)*Calculateur!BL50*Calculateur!BN50*VLOOKUP('Données projet'!$B$11,Paramètres!$A$1:$I$89,3,0)*0.475*44/12</f>
        <v>10.798584491231578</v>
      </c>
      <c r="BR50" s="21">
        <f>EXP(-LN(2)/2)*BR49+(1-EXP(-LN(2)/2))/(LN(2)/2)*BL50*BO50*VLOOKUP('Données projet'!$B$11,Paramètres!$A$1:$I$89,3,0)*0.475*44/12</f>
        <v>5.5983536897358743E-2</v>
      </c>
      <c r="BS50" s="22">
        <f t="shared" si="9"/>
        <v>12.81928277365752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</v>
      </c>
      <c r="BY50" s="12">
        <f>IF('Données projet'!$A$114&gt;35,BY49+BX50-CG49,IF(A50&lt;'Données projet'!$A$114,$BV$205^A50,IF(A50='Données projet'!$A$114,'Données projet'!$B$114,BY49+BX50-CG49)))</f>
        <v>286.00000000000006</v>
      </c>
      <c r="BZ50" s="13">
        <f>BY50*VLOOKUP('Données projet'!$B$12,Paramètres!$A$1:$I$89,3,0)*VLOOKUP('Données projet'!$B$12,Paramètres!$A$1:$I$89,5,0)</f>
        <v>223.08000000000004</v>
      </c>
      <c r="CA50" s="13">
        <f t="shared" si="39"/>
        <v>54.783765878062667</v>
      </c>
      <c r="CB50" s="20">
        <f t="shared" si="10"/>
        <v>483.94605890429256</v>
      </c>
      <c r="CC50" s="59">
        <f t="shared" si="11"/>
        <v>777.27939223762587</v>
      </c>
      <c r="CD50" s="59">
        <f ca="1">AVERAGE(OFFSET($CC$3,0,0,'Données projet'!$E$12+1,1))-AVERAGE(OFFSET($H$3,0,0,'Données projet'!$E$12+1,1))</f>
        <v>266.30229009596883</v>
      </c>
      <c r="CE50" s="59">
        <f t="shared" si="40"/>
        <v>270.19195828386046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1.0326667799948077</v>
      </c>
      <c r="CL50" s="21">
        <f>EXP(-LN(2)/25)*CL49+(1-EXP(-LN(2)/25))/(LN(2)/25)*Calculateur!CG50*Calculateur!CI50*VLOOKUP('Données projet'!$B$12,Paramètres!$A$1:$I$89,3,0)*0.475*44/12</f>
        <v>5.224714325747124</v>
      </c>
      <c r="CM50" s="21">
        <f>EXP(-LN(2)/2)*CM49+(1-EXP(-LN(2)/2))/(LN(2)/2)*CG50*CJ50*VLOOKUP('Données projet'!$B$12,Paramètres!$A$1:$I$89,3,0)*0.475*44/12</f>
        <v>3.610437394896527E-2</v>
      </c>
      <c r="CN50" s="22">
        <f t="shared" si="12"/>
        <v>6.2934854796908963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9.1999999999999993</v>
      </c>
      <c r="CT50" s="12">
        <f>IF('Données projet'!$A$140&gt;35,CT49+CS50-DB49,IF(A50&lt;'Données projet'!$A$140,$CQ$205^A50,IF(A50='Données projet'!$A$140,'Données projet'!$B$140,CT49+CS50-DB49)))</f>
        <v>257.39999999999986</v>
      </c>
      <c r="CU50" s="17">
        <f>CT50*VLOOKUP('Données projet'!$B$13,Paramètres!$A$1:$I$89,3,0)*VLOOKUP('Données projet'!$B$13,Paramètres!$A$1:$I$89,5,0)</f>
        <v>204.78743999999992</v>
      </c>
      <c r="CV50" s="13">
        <f t="shared" si="41"/>
        <v>50.794849254094281</v>
      </c>
      <c r="CW50" s="20">
        <f t="shared" si="13"/>
        <v>445.1391537842141</v>
      </c>
      <c r="CX50" s="59">
        <f t="shared" si="14"/>
        <v>738.47248711754742</v>
      </c>
      <c r="CY50" s="59">
        <f ca="1">AVERAGE(OFFSET($CX$3,0,0,'Données projet'!$E$13+1,1))-AVERAGE(OFFSET($H$3,0,0,'Données projet'!$E$13+1,1))</f>
        <v>260.20517190557814</v>
      </c>
      <c r="CZ50" s="59">
        <f t="shared" si="42"/>
        <v>307.22009971147133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2.3302430702780872</v>
      </c>
      <c r="DG50" s="21">
        <f>EXP(-LN(2)/25)*DG49+(1-EXP(-LN(2)/25))/(LN(2)/25)*Calculateur!DB50*Calculateur!DD50*VLOOKUP('Données projet'!$B$13,Paramètres!$A$1:$I$89,3,0)*0.475*44/12</f>
        <v>12.807623466344426</v>
      </c>
      <c r="DH50" s="21">
        <f>EXP(-LN(2)/2)*DH49+(1-EXP(-LN(2)/2))/(LN(2)/2)*DB50*DE50*VLOOKUP('Données projet'!$B$13,Paramètres!$A$1:$I$89,3,0)*0.475*44/12</f>
        <v>6.639907864570456E-2</v>
      </c>
      <c r="DI50" s="22">
        <f t="shared" si="15"/>
        <v>15.204265615268216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11.2</v>
      </c>
      <c r="DO50" s="12">
        <f>IF('Données projet'!$A$166&gt;35,DO49+DN50-DW49,IF(A50&lt;'Données projet'!$A$166,$DL$205^A50,IF(A50='Données projet'!$A$166,'Données projet'!$B$166,DO49+DN50-DW49)))</f>
        <v>225.39999999999992</v>
      </c>
      <c r="DP50" s="17">
        <f>DO50*VLOOKUP('Données projet'!$B$14,Paramètres!$A$1:$I$89,3,0)*VLOOKUP('Données projet'!$B$14,Paramètres!$A$1:$I$89,5,0)</f>
        <v>218.00687999999994</v>
      </c>
      <c r="DQ50" s="13">
        <f t="shared" si="43"/>
        <v>53.681461751463267</v>
      </c>
      <c r="DR50" s="20">
        <f t="shared" si="16"/>
        <v>473.1905285504651</v>
      </c>
      <c r="DS50" s="59">
        <f t="shared" si="17"/>
        <v>766.52386188379842</v>
      </c>
      <c r="DT50" s="59">
        <f ca="1">AVERAGE(OFFSET($DS$3,0,0,'Données projet'!$E$14+1,1))-AVERAGE(OFFSET($H$3,0,0,'Données projet'!$E$14+1,1))</f>
        <v>347.8889410585312</v>
      </c>
      <c r="DU50" s="59">
        <f t="shared" si="44"/>
        <v>254.78167322479203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1.8386764410984477</v>
      </c>
      <c r="EB50" s="21">
        <f>EXP(-LN(2)/25)*EB49+(1-EXP(-LN(2)/25))/(LN(2)/25)*Calculateur!DW50*Calculateur!DY50*VLOOKUP('Données projet'!$B$14,Paramètres!$A$1:$I$89,3,0)*0.475*44/12</f>
        <v>7.5280223017074475</v>
      </c>
      <c r="EC50" s="21">
        <f>EXP(-LN(2)/2)*EC49+(1-EXP(-LN(2)/2))/(LN(2)/2)*DW50*DZ50*VLOOKUP('Données projet'!$B$14,Paramètres!$A$1:$I$89,3,0)*0.475*44/12</f>
        <v>6.363898549235085E-2</v>
      </c>
      <c r="ED50" s="22">
        <f t="shared" si="18"/>
        <v>9.4303377282982446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11.2</v>
      </c>
      <c r="EJ50" s="12">
        <f>IF('Données projet'!$A$192&gt;35,EJ49+EI50-ER49,IF(A50&lt;'Données projet'!$A$192,$EG$205^A50,IF(A50='Données projet'!$A$192,'Données projet'!$B$192,EJ49+EI50-ER49)))</f>
        <v>225.39999999999992</v>
      </c>
      <c r="EK50" s="17">
        <f>EJ50*VLOOKUP('Données projet'!$B$15,Paramètres!$A$1:$I$89,3,0)*VLOOKUP('Données projet'!$B$15,Paramètres!$A$1:$I$89,5,0)</f>
        <v>242.6205599999999</v>
      </c>
      <c r="EL50" s="13">
        <f t="shared" si="45"/>
        <v>59.002999875963368</v>
      </c>
      <c r="EM50" s="20">
        <f t="shared" si="19"/>
        <v>525.3277001173027</v>
      </c>
      <c r="EN50" s="59">
        <f t="shared" si="20"/>
        <v>818.66103345063607</v>
      </c>
      <c r="EO50" s="59">
        <f ca="1">AVERAGE(OFFSET($EN$3,0,0,'Données projet'!$E$15+1,1))-AVERAGE(OFFSET($H$3,0,0,'Données projet'!$E$15+1,1))</f>
        <v>399.38728019348088</v>
      </c>
      <c r="EP50" s="59">
        <f t="shared" si="46"/>
        <v>289.54922160039791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2.0462689425127878</v>
      </c>
      <c r="EW50" s="21">
        <f>EXP(-LN(2)/25)*EW49+(1-EXP(-LN(2)/25))/(LN(2)/25)*Calculateur!ER50*Calculateur!ET50*VLOOKUP('Données projet'!$B$15,Paramètres!$A$1:$I$89,3,0)*0.475*44/12</f>
        <v>8.3779603035131291</v>
      </c>
      <c r="EX50" s="21">
        <f>EXP(-LN(2)/2)*EX49+(1-EXP(-LN(2)/2))/(LN(2)/2)*ER50*EU50*VLOOKUP('Données projet'!$B$15,Paramètres!$A$1:$I$89,3,0)*0.475*44/12</f>
        <v>7.0824032241487242E-2</v>
      </c>
      <c r="EY50" s="22">
        <f t="shared" si="21"/>
        <v>10.495053278267404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</v>
      </c>
      <c r="N51" s="13">
        <f>IF('Données projet'!$A$36&gt;35,N50+M51-V50,IF(A51&lt;'Données projet'!$A$36,$K$205^A51,IF(A51='Données projet'!$A$36,'Données projet'!$B$36,N50+M51-V50)))</f>
        <v>236.59999999999991</v>
      </c>
      <c r="O51" s="13">
        <f>N51*VLOOKUP('Données projet'!$B$9,Paramètres!$A$1:$I$89,3,0)*VLOOKUP('Données projet'!$B$9,Paramètres!$A$1:$I$89,5,0)</f>
        <v>214.07567999999992</v>
      </c>
      <c r="P51" s="13">
        <f t="shared" si="33"/>
        <v>52.825225496078176</v>
      </c>
      <c r="Q51" s="20">
        <f t="shared" si="53"/>
        <v>464.85241040566939</v>
      </c>
      <c r="R51" s="59">
        <f t="shared" si="0"/>
        <v>758.18574373900265</v>
      </c>
      <c r="S51" s="59">
        <f ca="1">AVERAGE(OFFSET($R$3,0,0,'Données projet'!$E$9+1,1))-AVERAGE(OFFSET($H$3,0,0,'Données projet'!$E$9+1,1))</f>
        <v>318.40875902853116</v>
      </c>
      <c r="T51" s="59">
        <f t="shared" si="34"/>
        <v>234.87694492493506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1.6863229809529534</v>
      </c>
      <c r="AA51" s="21">
        <f>EXP(-LN(2)/25)*AA50+(1-EXP(-LN(2)/25))/(LN(2)/25)*Calculateur!V51*Calculateur!X51*VLOOKUP('Données projet'!$B$9,Paramètres!$A$1:$I$89,3,0)*0.475*44/12</f>
        <v>6.8497701917286209</v>
      </c>
      <c r="AB51" s="21">
        <f>EXP(-LN(2)/2)*AB50+(1-EXP(-LN(2)/2))/(LN(2)/2)*V51*Y51*VLOOKUP('Données projet'!$B$9,Paramètres!$A$1:$I$89,3,0)*0.475*44/12</f>
        <v>4.2096360886926962E-2</v>
      </c>
      <c r="AC51" s="22">
        <f t="shared" si="3"/>
        <v>8.5781895335685014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9.4</v>
      </c>
      <c r="AI51" s="13">
        <f>IF('Données projet'!$A$62&gt;35,AI50+AH51-AQ50,IF(A51&lt;'Données projet'!$A$62,$AF$205^A51,IF(A51='Données projet'!$A$62,'Données projet'!$B$62,AI50+AH51-AQ50)))</f>
        <v>249.20000000000007</v>
      </c>
      <c r="AJ51" s="13">
        <f>AI51*VLOOKUP('Données projet'!$B$10,Paramètres!$A$1:$I$89,3,0)*VLOOKUP('Données projet'!$B$10,Paramètres!$A$1:$I$89,5,0)</f>
        <v>217.70112000000009</v>
      </c>
      <c r="AK51" s="13">
        <f t="shared" si="35"/>
        <v>53.614930456328594</v>
      </c>
      <c r="AL51" s="20">
        <f t="shared" si="4"/>
        <v>472.54212121143911</v>
      </c>
      <c r="AM51" s="59">
        <f t="shared" si="5"/>
        <v>765.87545454477242</v>
      </c>
      <c r="AN51" s="59">
        <f ca="1">AVERAGE(OFFSET($AM$3,0,0,'Données projet'!$E$10+1,1))-AVERAGE(OFFSET($H$3,0,0,'Données projet'!$E$10+1,1))</f>
        <v>243.38048563215585</v>
      </c>
      <c r="AO51" s="59">
        <f t="shared" si="36"/>
        <v>372.1604147006675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5.1171180111675829</v>
      </c>
      <c r="AV51" s="21">
        <f>EXP(-LN(2)/25)*AV50+(1-EXP(-LN(2)/25))/(LN(2)/25)*Calculateur!AQ51*Calculateur!AS51*VLOOKUP('Données projet'!$B$10,Paramètres!$A$1:$I$89,3,0)*0.475*44/12</f>
        <v>11.754880837964244</v>
      </c>
      <c r="AW51" s="21">
        <f>EXP(-LN(2)/2)*AW50+(1-EXP(-LN(2)/2))/(LN(2)/2)*AQ51*AT51*VLOOKUP('Données projet'!$B$10,Paramètres!$A$1:$I$89,3,0)*0.475*44/12</f>
        <v>5.7255740650707349E-2</v>
      </c>
      <c r="AX51" s="21">
        <f t="shared" si="6"/>
        <v>16.929254589782534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9.1999999999999993</v>
      </c>
      <c r="BD51" s="12">
        <f>IF('Données projet'!$A$88&gt;35,BD50+BC51-BL50,IF(A51&lt;'Données projet'!$A$88,$BA$205^A51,IF(A51='Données projet'!$A$88,'Données projet'!$B$88,BD50+BC51-BL50)))</f>
        <v>266.59999999999985</v>
      </c>
      <c r="BE51" s="13">
        <f>BD51*VLOOKUP('Données projet'!$B$11,Paramètres!$A$1:$I$89,3,0)*VLOOKUP('Données projet'!$B$11,Paramètres!$A$1:$I$89,5,0)</f>
        <v>178.8352799999999</v>
      </c>
      <c r="BF51" s="13">
        <f t="shared" si="37"/>
        <v>45.062959603448384</v>
      </c>
      <c r="BG51" s="20">
        <f t="shared" si="7"/>
        <v>389.95610064267242</v>
      </c>
      <c r="BH51" s="59">
        <f t="shared" si="8"/>
        <v>683.28943397600574</v>
      </c>
      <c r="BI51" s="59">
        <f ca="1">AVERAGE(OFFSET($BH$3,0,0,'Données projet'!$E$11+1,1))-AVERAGE(OFFSET($H$3,0,0,'Données projet'!$E$11+1,1))</f>
        <v>207.93042467236967</v>
      </c>
      <c r="BJ51" s="59">
        <f t="shared" si="38"/>
        <v>250.70954318710835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1.9261878877264342</v>
      </c>
      <c r="BQ51" s="21">
        <f>EXP(-LN(2)/25)*BQ50+(1-EXP(-LN(2)/25))/(LN(2)/25)*Calculateur!BL51*Calculateur!BN51*VLOOKUP('Données projet'!$B$11,Paramètres!$A$1:$I$89,3,0)*0.475*44/12</f>
        <v>10.503296630445973</v>
      </c>
      <c r="BR51" s="21">
        <f>EXP(-LN(2)/2)*BR50+(1-EXP(-LN(2)/2))/(LN(2)/2)*BL51*BO51*VLOOKUP('Données projet'!$B$11,Paramètres!$A$1:$I$89,3,0)*0.475*44/12</f>
        <v>3.9586338574929658E-2</v>
      </c>
      <c r="BS51" s="22">
        <f t="shared" si="9"/>
        <v>12.469070856747338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</v>
      </c>
      <c r="BY51" s="12">
        <f>IF('Données projet'!$A$114&gt;35,BY50+BX51-CG50,IF(A51&lt;'Données projet'!$A$114,$BV$205^A51,IF(A51='Données projet'!$A$114,'Données projet'!$B$114,BY50+BX51-CG50)))</f>
        <v>297.00000000000006</v>
      </c>
      <c r="BZ51" s="13">
        <f>BY51*VLOOKUP('Données projet'!$B$12,Paramètres!$A$1:$I$89,3,0)*VLOOKUP('Données projet'!$B$12,Paramètres!$A$1:$I$89,5,0)</f>
        <v>231.66000000000005</v>
      </c>
      <c r="CA51" s="13">
        <f t="shared" si="39"/>
        <v>56.641461975682823</v>
      </c>
      <c r="CB51" s="20">
        <f t="shared" si="10"/>
        <v>502.12504627431434</v>
      </c>
      <c r="CC51" s="59">
        <f t="shared" si="11"/>
        <v>795.45837960764766</v>
      </c>
      <c r="CD51" s="59">
        <f ca="1">AVERAGE(OFFSET($CC$3,0,0,'Données projet'!$E$12+1,1))-AVERAGE(OFFSET($H$3,0,0,'Données projet'!$E$12+1,1))</f>
        <v>266.30229009596883</v>
      </c>
      <c r="CE51" s="59">
        <f t="shared" si="40"/>
        <v>270.19195828386046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1.0124168143036514</v>
      </c>
      <c r="CL51" s="21">
        <f>EXP(-LN(2)/25)*CL50+(1-EXP(-LN(2)/25))/(LN(2)/25)*Calculateur!CG51*Calculateur!CI51*VLOOKUP('Données projet'!$B$12,Paramètres!$A$1:$I$89,3,0)*0.475*44/12</f>
        <v>5.081844237753784</v>
      </c>
      <c r="CM51" s="21">
        <f>EXP(-LN(2)/2)*CM50+(1-EXP(-LN(2)/2))/(LN(2)/2)*CG51*CJ51*VLOOKUP('Données projet'!$B$12,Paramètres!$A$1:$I$89,3,0)*0.475*44/12</f>
        <v>2.5529647649808272E-2</v>
      </c>
      <c r="CN51" s="22">
        <f t="shared" si="12"/>
        <v>6.1197906997072433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9.1999999999999993</v>
      </c>
      <c r="CT51" s="12">
        <f>IF('Données projet'!$A$140&gt;35,CT50+CS51-DB50,IF(A51&lt;'Données projet'!$A$140,$CQ$205^A51,IF(A51='Données projet'!$A$140,'Données projet'!$B$140,CT50+CS51-DB50)))</f>
        <v>266.59999999999985</v>
      </c>
      <c r="CU51" s="17">
        <f>CT51*VLOOKUP('Données projet'!$B$13,Paramètres!$A$1:$I$89,3,0)*VLOOKUP('Données projet'!$B$13,Paramètres!$A$1:$I$89,5,0)</f>
        <v>212.10695999999987</v>
      </c>
      <c r="CV51" s="13">
        <f t="shared" si="41"/>
        <v>52.395741612408194</v>
      </c>
      <c r="CW51" s="20">
        <f t="shared" si="13"/>
        <v>460.67553864161073</v>
      </c>
      <c r="CX51" s="59">
        <f t="shared" si="14"/>
        <v>754.00887197494399</v>
      </c>
      <c r="CY51" s="59">
        <f ca="1">AVERAGE(OFFSET($CX$3,0,0,'Données projet'!$E$13+1,1))-AVERAGE(OFFSET($H$3,0,0,'Données projet'!$E$13+1,1))</f>
        <v>260.20517190557814</v>
      </c>
      <c r="CZ51" s="59">
        <f t="shared" si="42"/>
        <v>307.22009971147133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2.2845484249778645</v>
      </c>
      <c r="DG51" s="21">
        <f>EXP(-LN(2)/25)*DG50+(1-EXP(-LN(2)/25))/(LN(2)/25)*Calculateur!DB51*Calculateur!DD51*VLOOKUP('Données projet'!$B$13,Paramètres!$A$1:$I$89,3,0)*0.475*44/12</f>
        <v>12.457398329133591</v>
      </c>
      <c r="DH51" s="21">
        <f>EXP(-LN(2)/2)*DH50+(1-EXP(-LN(2)/2))/(LN(2)/2)*DB51*DE51*VLOOKUP('Données projet'!$B$13,Paramètres!$A$1:$I$89,3,0)*0.475*44/12</f>
        <v>4.6951238774916575E-2</v>
      </c>
      <c r="DI51" s="22">
        <f t="shared" si="15"/>
        <v>14.788897992886373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11.2</v>
      </c>
      <c r="DO51" s="12">
        <f>IF('Données projet'!$A$166&gt;35,DO50+DN51-DW50,IF(A51&lt;'Données projet'!$A$166,$DL$205^A51,IF(A51='Données projet'!$A$166,'Données projet'!$B$166,DO50+DN51-DW50)))</f>
        <v>236.59999999999991</v>
      </c>
      <c r="DP51" s="17">
        <f>DO51*VLOOKUP('Données projet'!$B$14,Paramètres!$A$1:$I$89,3,0)*VLOOKUP('Données projet'!$B$14,Paramètres!$A$1:$I$89,5,0)</f>
        <v>228.83951999999994</v>
      </c>
      <c r="DQ51" s="13">
        <f t="shared" si="43"/>
        <v>56.031684800405088</v>
      </c>
      <c r="DR51" s="20">
        <f t="shared" si="16"/>
        <v>496.15068169403884</v>
      </c>
      <c r="DS51" s="59">
        <f t="shared" si="17"/>
        <v>789.48401502737215</v>
      </c>
      <c r="DT51" s="59">
        <f ca="1">AVERAGE(OFFSET($DS$3,0,0,'Données projet'!$E$14+1,1))-AVERAGE(OFFSET($H$3,0,0,'Données projet'!$E$14+1,1))</f>
        <v>347.8889410585312</v>
      </c>
      <c r="DU51" s="59">
        <f t="shared" si="44"/>
        <v>254.78167322479203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1.8026211175703992</v>
      </c>
      <c r="EB51" s="21">
        <f>EXP(-LN(2)/25)*EB50+(1-EXP(-LN(2)/25))/(LN(2)/25)*Calculateur!DW51*Calculateur!DY51*VLOOKUP('Données projet'!$B$14,Paramètres!$A$1:$I$89,3,0)*0.475*44/12</f>
        <v>7.3221681359857698</v>
      </c>
      <c r="EC51" s="21">
        <f>EXP(-LN(2)/2)*EC50+(1-EXP(-LN(2)/2))/(LN(2)/2)*DW51*DZ51*VLOOKUP('Données projet'!$B$14,Paramètres!$A$1:$I$89,3,0)*0.475*44/12</f>
        <v>4.4999558189473605E-2</v>
      </c>
      <c r="ED51" s="22">
        <f t="shared" si="18"/>
        <v>9.1697888117456436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11.2</v>
      </c>
      <c r="EJ51" s="12">
        <f>IF('Données projet'!$A$192&gt;35,EJ50+EI51-ER50,IF(A51&lt;'Données projet'!$A$192,$EG$205^A51,IF(A51='Données projet'!$A$192,'Données projet'!$B$192,EJ50+EI51-ER50)))</f>
        <v>236.59999999999991</v>
      </c>
      <c r="EK51" s="17">
        <f>EJ51*VLOOKUP('Données projet'!$B$15,Paramètres!$A$1:$I$89,3,0)*VLOOKUP('Données projet'!$B$15,Paramètres!$A$1:$I$89,5,0)</f>
        <v>254.67623999999989</v>
      </c>
      <c r="EL51" s="13">
        <f t="shared" si="45"/>
        <v>61.58620468709951</v>
      </c>
      <c r="EM51" s="20">
        <f t="shared" si="19"/>
        <v>550.82375783003147</v>
      </c>
      <c r="EN51" s="59">
        <f t="shared" si="20"/>
        <v>844.15709116336484</v>
      </c>
      <c r="EO51" s="59">
        <f ca="1">AVERAGE(OFFSET($EN$3,0,0,'Données projet'!$E$15+1,1))-AVERAGE(OFFSET($H$3,0,0,'Données projet'!$E$15+1,1))</f>
        <v>399.38728019348088</v>
      </c>
      <c r="EP51" s="59">
        <f t="shared" si="46"/>
        <v>289.54922160039791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2.0061428566509272</v>
      </c>
      <c r="EW51" s="21">
        <f>EXP(-LN(2)/25)*EW50+(1-EXP(-LN(2)/25))/(LN(2)/25)*Calculateur!ER51*Calculateur!ET51*VLOOKUP('Données projet'!$B$15,Paramètres!$A$1:$I$89,3,0)*0.475*44/12</f>
        <v>8.1488645384357792</v>
      </c>
      <c r="EX51" s="21">
        <f>EXP(-LN(2)/2)*EX50+(1-EXP(-LN(2)/2))/(LN(2)/2)*ER51*EU51*VLOOKUP('Données projet'!$B$15,Paramètres!$A$1:$I$89,3,0)*0.475*44/12</f>
        <v>5.0080153468930307E-2</v>
      </c>
      <c r="EY51" s="22">
        <f t="shared" si="21"/>
        <v>10.205087548555635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</v>
      </c>
      <c r="N52" s="13">
        <f>IF('Données projet'!$A$36&gt;35,N51+M52-V51,IF(A52&lt;'Données projet'!$A$36,$K$205^A52,IF(A52='Données projet'!$A$36,'Données projet'!$B$36,N51+M52-V51)))</f>
        <v>247.7999999999999</v>
      </c>
      <c r="O52" s="13">
        <f>N52*VLOOKUP('Données projet'!$B$9,Paramètres!$A$1:$I$89,3,0)*VLOOKUP('Données projet'!$B$9,Paramètres!$A$1:$I$89,5,0)</f>
        <v>224.20943999999992</v>
      </c>
      <c r="P52" s="13">
        <f t="shared" si="33"/>
        <v>55.028775065392324</v>
      </c>
      <c r="Q52" s="20">
        <f t="shared" si="53"/>
        <v>486.33989123889143</v>
      </c>
      <c r="R52" s="59">
        <f t="shared" si="0"/>
        <v>779.67322457222474</v>
      </c>
      <c r="S52" s="59">
        <f ca="1">AVERAGE(OFFSET($R$3,0,0,'Données projet'!$E$9+1,1))-AVERAGE(OFFSET($H$3,0,0,'Données projet'!$E$9+1,1))</f>
        <v>318.40875902853116</v>
      </c>
      <c r="T52" s="59">
        <f t="shared" si="34"/>
        <v>234.87694492493506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1.6532552158519229</v>
      </c>
      <c r="AA52" s="21">
        <f>EXP(-LN(2)/25)*AA51+(1-EXP(-LN(2)/25))/(LN(2)/25)*Calculateur!V52*Calculateur!X52*VLOOKUP('Données projet'!$B$9,Paramètres!$A$1:$I$89,3,0)*0.475*44/12</f>
        <v>6.662462865622043</v>
      </c>
      <c r="AB52" s="21">
        <f>EXP(-LN(2)/2)*AB51+(1-EXP(-LN(2)/2))/(LN(2)/2)*V52*Y52*VLOOKUP('Données projet'!$B$9,Paramètres!$A$1:$I$89,3,0)*0.475*44/12</f>
        <v>2.9766622246422202E-2</v>
      </c>
      <c r="AC52" s="22">
        <f t="shared" si="3"/>
        <v>8.3454847037203876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9.4</v>
      </c>
      <c r="AI52" s="13">
        <f>IF('Données projet'!$A$62&gt;35,AI51+AH52-AQ51,IF(A52&lt;'Données projet'!$A$62,$AF$205^A52,IF(A52='Données projet'!$A$62,'Données projet'!$B$62,AI51+AH52-AQ51)))</f>
        <v>258.60000000000008</v>
      </c>
      <c r="AJ52" s="13">
        <f>AI52*VLOOKUP('Données projet'!$B$10,Paramètres!$A$1:$I$89,3,0)*VLOOKUP('Données projet'!$B$10,Paramètres!$A$1:$I$89,5,0)</f>
        <v>225.91296000000011</v>
      </c>
      <c r="AK52" s="13">
        <f t="shared" si="35"/>
        <v>55.398047891514715</v>
      </c>
      <c r="AL52" s="20">
        <f t="shared" si="4"/>
        <v>489.95000541105492</v>
      </c>
      <c r="AM52" s="59">
        <f t="shared" si="5"/>
        <v>783.28333874438817</v>
      </c>
      <c r="AN52" s="59">
        <f ca="1">AVERAGE(OFFSET($AM$3,0,0,'Données projet'!$E$10+1,1))-AVERAGE(OFFSET($H$3,0,0,'Données projet'!$E$10+1,1))</f>
        <v>243.38048563215585</v>
      </c>
      <c r="AO52" s="59">
        <f t="shared" si="36"/>
        <v>372.1604147006675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5.016774448102387</v>
      </c>
      <c r="AV52" s="21">
        <f>EXP(-LN(2)/25)*AV51+(1-EXP(-LN(2)/25))/(LN(2)/25)*Calculateur!AQ52*Calculateur!AS52*VLOOKUP('Données projet'!$B$10,Paramètres!$A$1:$I$89,3,0)*0.475*44/12</f>
        <v>11.433443003287794</v>
      </c>
      <c r="AW52" s="21">
        <f>EXP(-LN(2)/2)*AW51+(1-EXP(-LN(2)/2))/(LN(2)/2)*AQ52*AT52*VLOOKUP('Données projet'!$B$10,Paramètres!$A$1:$I$89,3,0)*0.475*44/12</f>
        <v>4.0485922475973435E-2</v>
      </c>
      <c r="AX52" s="21">
        <f t="shared" si="6"/>
        <v>16.490703373866154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9.1999999999999993</v>
      </c>
      <c r="BD52" s="12">
        <f>IF('Données projet'!$A$88&gt;35,BD51+BC52-BL51,IF(A52&lt;'Données projet'!$A$88,$BA$205^A52,IF(A52='Données projet'!$A$88,'Données projet'!$B$88,BD51+BC52-BL51)))</f>
        <v>275.79999999999984</v>
      </c>
      <c r="BE52" s="13">
        <f>BD52*VLOOKUP('Données projet'!$B$11,Paramètres!$A$1:$I$89,3,0)*VLOOKUP('Données projet'!$B$11,Paramètres!$A$1:$I$89,5,0)</f>
        <v>185.00663999999989</v>
      </c>
      <c r="BF52" s="13">
        <f t="shared" si="37"/>
        <v>46.434286546462388</v>
      </c>
      <c r="BG52" s="20">
        <f t="shared" si="7"/>
        <v>403.09294706842178</v>
      </c>
      <c r="BH52" s="59">
        <f t="shared" si="8"/>
        <v>696.42628040175509</v>
      </c>
      <c r="BI52" s="59">
        <f ca="1">AVERAGE(OFFSET($BH$3,0,0,'Données projet'!$E$11+1,1))-AVERAGE(OFFSET($H$3,0,0,'Données projet'!$E$11+1,1))</f>
        <v>207.93042467236967</v>
      </c>
      <c r="BJ52" s="59">
        <f t="shared" si="38"/>
        <v>250.70954318710835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1.8884165181067227</v>
      </c>
      <c r="BQ52" s="21">
        <f>EXP(-LN(2)/25)*BQ51+(1-EXP(-LN(2)/25))/(LN(2)/25)*Calculateur!BL52*Calculateur!BN52*VLOOKUP('Données projet'!$B$11,Paramètres!$A$1:$I$89,3,0)*0.475*44/12</f>
        <v>10.216083431742064</v>
      </c>
      <c r="BR52" s="21">
        <f>EXP(-LN(2)/2)*BR51+(1-EXP(-LN(2)/2))/(LN(2)/2)*BL52*BO52*VLOOKUP('Données projet'!$B$11,Paramètres!$A$1:$I$89,3,0)*0.475*44/12</f>
        <v>2.7991768448679372E-2</v>
      </c>
      <c r="BS52" s="22">
        <f t="shared" si="9"/>
        <v>12.132491718297466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</v>
      </c>
      <c r="BY52" s="12">
        <f>IF('Données projet'!$A$114&gt;35,BY51+BX52-CG51,IF(A52&lt;'Données projet'!$A$114,$BV$205^A52,IF(A52='Données projet'!$A$114,'Données projet'!$B$114,BY51+BX52-CG51)))</f>
        <v>308.00000000000006</v>
      </c>
      <c r="BZ52" s="13">
        <f>BY52*VLOOKUP('Données projet'!$B$12,Paramètres!$A$1:$I$89,3,0)*VLOOKUP('Données projet'!$B$12,Paramètres!$A$1:$I$89,5,0)</f>
        <v>240.24000000000007</v>
      </c>
      <c r="CA52" s="13">
        <f t="shared" si="39"/>
        <v>58.491164647183133</v>
      </c>
      <c r="CB52" s="20">
        <f t="shared" si="10"/>
        <v>520.29011176051074</v>
      </c>
      <c r="CC52" s="59">
        <f t="shared" si="11"/>
        <v>813.62344509384411</v>
      </c>
      <c r="CD52" s="59">
        <f ca="1">AVERAGE(OFFSET($CC$3,0,0,'Données projet'!$E$12+1,1))-AVERAGE(OFFSET($H$3,0,0,'Données projet'!$E$12+1,1))</f>
        <v>266.30229009596883</v>
      </c>
      <c r="CE52" s="59">
        <f t="shared" si="40"/>
        <v>270.19195828386046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0.99256393808843912</v>
      </c>
      <c r="CL52" s="21">
        <f>EXP(-LN(2)/25)*CL51+(1-EXP(-LN(2)/25))/(LN(2)/25)*Calculateur!CG52*Calculateur!CI52*VLOOKUP('Données projet'!$B$12,Paramètres!$A$1:$I$89,3,0)*0.475*44/12</f>
        <v>4.9428809398298332</v>
      </c>
      <c r="CM52" s="21">
        <f>EXP(-LN(2)/2)*CM51+(1-EXP(-LN(2)/2))/(LN(2)/2)*CG52*CJ52*VLOOKUP('Données projet'!$B$12,Paramètres!$A$1:$I$89,3,0)*0.475*44/12</f>
        <v>1.8052186974482635E-2</v>
      </c>
      <c r="CN52" s="22">
        <f t="shared" si="12"/>
        <v>5.9534970648927557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9.1999999999999993</v>
      </c>
      <c r="CT52" s="12">
        <f>IF('Données projet'!$A$140&gt;35,CT51+CS52-DB51,IF(A52&lt;'Données projet'!$A$140,$CQ$205^A52,IF(A52='Données projet'!$A$140,'Données projet'!$B$140,CT51+CS52-DB51)))</f>
        <v>275.79999999999984</v>
      </c>
      <c r="CU52" s="17">
        <f>CT52*VLOOKUP('Données projet'!$B$13,Paramètres!$A$1:$I$89,3,0)*VLOOKUP('Données projet'!$B$13,Paramètres!$A$1:$I$89,5,0)</f>
        <v>219.42647999999991</v>
      </c>
      <c r="CV52" s="13">
        <f t="shared" si="41"/>
        <v>53.990215051449674</v>
      </c>
      <c r="CW52" s="20">
        <f t="shared" si="13"/>
        <v>476.20074388127472</v>
      </c>
      <c r="CX52" s="59">
        <f t="shared" si="14"/>
        <v>769.53407721460803</v>
      </c>
      <c r="CY52" s="59">
        <f ca="1">AVERAGE(OFFSET($CX$3,0,0,'Données projet'!$E$13+1,1))-AVERAGE(OFFSET($H$3,0,0,'Données projet'!$E$13+1,1))</f>
        <v>260.20517190557814</v>
      </c>
      <c r="CZ52" s="59">
        <f t="shared" si="42"/>
        <v>307.22009971147133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2.2397498238009974</v>
      </c>
      <c r="DG52" s="21">
        <f>EXP(-LN(2)/25)*DG51+(1-EXP(-LN(2)/25))/(LN(2)/25)*Calculateur!DB52*Calculateur!DD52*VLOOKUP('Données projet'!$B$13,Paramètres!$A$1:$I$89,3,0)*0.475*44/12</f>
        <v>12.116750116717327</v>
      </c>
      <c r="DH52" s="21">
        <f>EXP(-LN(2)/2)*DH51+(1-EXP(-LN(2)/2))/(LN(2)/2)*DB52*DE52*VLOOKUP('Données projet'!$B$13,Paramètres!$A$1:$I$89,3,0)*0.475*44/12</f>
        <v>3.319953932285228E-2</v>
      </c>
      <c r="DI52" s="22">
        <f t="shared" si="15"/>
        <v>14.389699479841177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11.2</v>
      </c>
      <c r="DO52" s="12">
        <f>IF('Données projet'!$A$166&gt;35,DO51+DN52-DW51,IF(A52&lt;'Données projet'!$A$166,$DL$205^A52,IF(A52='Données projet'!$A$166,'Données projet'!$B$166,DO51+DN52-DW51)))</f>
        <v>247.7999999999999</v>
      </c>
      <c r="DP52" s="17">
        <f>DO52*VLOOKUP('Données projet'!$B$14,Paramètres!$A$1:$I$89,3,0)*VLOOKUP('Données projet'!$B$14,Paramètres!$A$1:$I$89,5,0)</f>
        <v>239.67215999999991</v>
      </c>
      <c r="DQ52" s="13">
        <f t="shared" si="43"/>
        <v>58.368988498598384</v>
      </c>
      <c r="DR52" s="20">
        <f t="shared" si="16"/>
        <v>519.0883336350588</v>
      </c>
      <c r="DS52" s="59">
        <f t="shared" si="17"/>
        <v>812.42166696839217</v>
      </c>
      <c r="DT52" s="59">
        <f ca="1">AVERAGE(OFFSET($DS$3,0,0,'Données projet'!$E$14+1,1))-AVERAGE(OFFSET($H$3,0,0,'Données projet'!$E$14+1,1))</f>
        <v>347.8889410585312</v>
      </c>
      <c r="DU52" s="59">
        <f t="shared" si="44"/>
        <v>254.78167322479203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1.7672728169451597</v>
      </c>
      <c r="EB52" s="21">
        <f>EXP(-LN(2)/25)*EB51+(1-EXP(-LN(2)/25))/(LN(2)/25)*Calculateur!DW52*Calculateur!DY52*VLOOKUP('Données projet'!$B$14,Paramètres!$A$1:$I$89,3,0)*0.475*44/12</f>
        <v>7.1219430632511518</v>
      </c>
      <c r="EC52" s="21">
        <f>EXP(-LN(2)/2)*EC51+(1-EXP(-LN(2)/2))/(LN(2)/2)*DW52*DZ52*VLOOKUP('Données projet'!$B$14,Paramètres!$A$1:$I$89,3,0)*0.475*44/12</f>
        <v>3.1819492746175425E-2</v>
      </c>
      <c r="ED52" s="22">
        <f t="shared" si="18"/>
        <v>8.9210353729424856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11.2</v>
      </c>
      <c r="EJ52" s="12">
        <f>IF('Données projet'!$A$192&gt;35,EJ51+EI52-ER51,IF(A52&lt;'Données projet'!$A$192,$EG$205^A52,IF(A52='Données projet'!$A$192,'Données projet'!$B$192,EJ51+EI52-ER51)))</f>
        <v>247.7999999999999</v>
      </c>
      <c r="EK52" s="17">
        <f>EJ52*VLOOKUP('Données projet'!$B$15,Paramètres!$A$1:$I$89,3,0)*VLOOKUP('Données projet'!$B$15,Paramètres!$A$1:$I$89,5,0)</f>
        <v>266.73191999999989</v>
      </c>
      <c r="EL52" s="13">
        <f t="shared" si="45"/>
        <v>64.155209429427074</v>
      </c>
      <c r="EM52" s="20">
        <f t="shared" si="19"/>
        <v>576.29508375625198</v>
      </c>
      <c r="EN52" s="59">
        <f t="shared" si="20"/>
        <v>869.62841708958535</v>
      </c>
      <c r="EO52" s="59">
        <f ca="1">AVERAGE(OFFSET($EN$3,0,0,'Données projet'!$E$15+1,1))-AVERAGE(OFFSET($H$3,0,0,'Données projet'!$E$15+1,1))</f>
        <v>399.38728019348088</v>
      </c>
      <c r="EP52" s="59">
        <f t="shared" si="46"/>
        <v>289.54922160039791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1.966803618858322</v>
      </c>
      <c r="EW52" s="21">
        <f>EXP(-LN(2)/25)*EW51+(1-EXP(-LN(2)/25))/(LN(2)/25)*Calculateur!ER52*Calculateur!ET52*VLOOKUP('Données projet'!$B$15,Paramètres!$A$1:$I$89,3,0)*0.475*44/12</f>
        <v>7.9260334091020912</v>
      </c>
      <c r="EX52" s="21">
        <f>EXP(-LN(2)/2)*EX51+(1-EXP(-LN(2)/2))/(LN(2)/2)*ER52*EU52*VLOOKUP('Données projet'!$B$15,Paramètres!$A$1:$I$89,3,0)*0.475*44/12</f>
        <v>3.5412016120743621E-2</v>
      </c>
      <c r="EY52" s="22">
        <f t="shared" si="21"/>
        <v>9.9282490440811557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259</v>
      </c>
      <c r="L53" s="12">
        <f>VLOOKUP(A53,'Données projet'!$A$35:$I$55,9,0)</f>
        <v>11.2</v>
      </c>
      <c r="M53" s="12">
        <f t="array" ref="M53">INDEX(L:L,MIN(IF(ISNUMBER(L53:L249),ROW(L53:L249),"")))</f>
        <v>11.2</v>
      </c>
      <c r="N53" s="13">
        <f>IF('Données projet'!$A$36&gt;35,N52+M53-V52,IF(A53&lt;'Données projet'!$A$36,$K$205^A53,IF(A53='Données projet'!$A$36,'Données projet'!$B$36,N52+M53-V52)))</f>
        <v>258.99999999999989</v>
      </c>
      <c r="O53" s="13">
        <f>N53*VLOOKUP('Données projet'!$B$9,Paramètres!$A$1:$I$89,3,0)*VLOOKUP('Données projet'!$B$9,Paramètres!$A$1:$I$89,5,0)</f>
        <v>234.34319999999988</v>
      </c>
      <c r="P53" s="13">
        <f t="shared" si="33"/>
        <v>57.220758006491614</v>
      </c>
      <c r="Q53" s="20">
        <f t="shared" si="53"/>
        <v>507.80722686130594</v>
      </c>
      <c r="R53" s="59">
        <f t="shared" si="0"/>
        <v>801.14056019463919</v>
      </c>
      <c r="S53" s="59">
        <f ca="1">AVERAGE(OFFSET($R$3,0,0,'Données projet'!$E$9+1,1))-AVERAGE(OFFSET($H$3,0,0,'Données projet'!$E$9+1,1))</f>
        <v>318.40875902853116</v>
      </c>
      <c r="T53" s="59">
        <f t="shared" si="34"/>
        <v>234.87694492493506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1.6208358894551784</v>
      </c>
      <c r="AA53" s="21">
        <f>EXP(-LN(2)/25)*AA52+(1-EXP(-LN(2)/25))/(LN(2)/25)*Calculateur!V53*Calculateur!X53*VLOOKUP('Données projet'!$B$9,Paramètres!$A$1:$I$89,3,0)*0.475*44/12</f>
        <v>6.4802774681979134</v>
      </c>
      <c r="AB53" s="21">
        <f>EXP(-LN(2)/2)*AB52+(1-EXP(-LN(2)/2))/(LN(2)/2)*V53*Y53*VLOOKUP('Données projet'!$B$9,Paramètres!$A$1:$I$89,3,0)*0.475*44/12</f>
        <v>2.1048180443463484E-2</v>
      </c>
      <c r="AC53" s="22">
        <f t="shared" si="3"/>
        <v>8.1221615380965542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268</v>
      </c>
      <c r="AG53" s="12">
        <f>VLOOKUP(A53,'Données projet'!$A$61:$I$81,9,0)</f>
        <v>9.4</v>
      </c>
      <c r="AH53" s="12">
        <f t="array" ref="AH53">INDEX(AG:AG,MIN(IF(ISNUMBER(AG53:AG249),ROW(AG53:AG249),"")))</f>
        <v>9.4</v>
      </c>
      <c r="AI53" s="13">
        <f>IF('Données projet'!$A$62&gt;35,AI52+AH53-AQ52,IF(A53&lt;'Données projet'!$A$62,$AF$205^A53,IF(A53='Données projet'!$A$62,'Données projet'!$B$62,AI52+AH53-AQ52)))</f>
        <v>268.00000000000006</v>
      </c>
      <c r="AJ53" s="13">
        <f>AI53*VLOOKUP('Données projet'!$B$10,Paramètres!$A$1:$I$89,3,0)*VLOOKUP('Données projet'!$B$10,Paramètres!$A$1:$I$89,5,0)</f>
        <v>234.12480000000008</v>
      </c>
      <c r="AK53" s="13">
        <f t="shared" si="35"/>
        <v>57.173634982132555</v>
      </c>
      <c r="AL53" s="20">
        <f t="shared" si="4"/>
        <v>507.34477426054764</v>
      </c>
      <c r="AM53" s="59">
        <f t="shared" si="5"/>
        <v>800.6781075938809</v>
      </c>
      <c r="AN53" s="59">
        <f ca="1">AVERAGE(OFFSET($AM$3,0,0,'Données projet'!$E$10+1,1))-AVERAGE(OFFSET($H$3,0,0,'Données projet'!$E$10+1,1))</f>
        <v>243.38048563215585</v>
      </c>
      <c r="AO53" s="59">
        <f t="shared" si="36"/>
        <v>372.1604147006675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69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4.91839856110537</v>
      </c>
      <c r="AV53" s="21">
        <f>EXP(-LN(2)/25)*AV52+(1-EXP(-LN(2)/25))/(LN(2)/25)*Calculateur!AQ53*Calculateur!AS53*VLOOKUP('Données projet'!$B$10,Paramètres!$A$1:$I$89,3,0)*0.475*44/12</f>
        <v>11.120794903104253</v>
      </c>
      <c r="AW53" s="21">
        <f>EXP(-LN(2)/2)*AW52+(1-EXP(-LN(2)/2))/(LN(2)/2)*AQ53*AT53*VLOOKUP('Données projet'!$B$10,Paramètres!$A$1:$I$89,3,0)*0.475*44/12</f>
        <v>2.8627870325353674E-2</v>
      </c>
      <c r="AX53" s="21">
        <f t="shared" si="6"/>
        <v>16.06782133453498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285</v>
      </c>
      <c r="BB53" s="12">
        <f>VLOOKUP(A53,'Données projet'!$A$87:$I$107,9,0)</f>
        <v>9.1999999999999993</v>
      </c>
      <c r="BC53" s="12">
        <f t="array" ref="BC53">INDEX(BB:BB,MIN(IF(ISNUMBER(BB53:BB249),ROW(BB53:BB249),"")))</f>
        <v>9.1999999999999993</v>
      </c>
      <c r="BD53" s="12">
        <f>IF('Données projet'!$A$88&gt;35,BD52+BC53-BL52,IF(A53&lt;'Données projet'!$A$88,$BA$205^A53,IF(A53='Données projet'!$A$88,'Données projet'!$B$88,BD52+BC53-BL52)))</f>
        <v>284.99999999999983</v>
      </c>
      <c r="BE53" s="13">
        <f>BD53*VLOOKUP('Données projet'!$B$11,Paramètres!$A$1:$I$89,3,0)*VLOOKUP('Données projet'!$B$11,Paramètres!$A$1:$I$89,5,0)</f>
        <v>191.17799999999988</v>
      </c>
      <c r="BF53" s="13">
        <f t="shared" si="37"/>
        <v>47.80029816501365</v>
      </c>
      <c r="BG53" s="20">
        <f t="shared" si="7"/>
        <v>416.22053597073187</v>
      </c>
      <c r="BH53" s="59">
        <f t="shared" si="8"/>
        <v>709.55386930406519</v>
      </c>
      <c r="BI53" s="59">
        <f ca="1">AVERAGE(OFFSET($BH$3,0,0,'Données projet'!$E$11+1,1))-AVERAGE(OFFSET($H$3,0,0,'Données projet'!$E$11+1,1))</f>
        <v>207.93042467236967</v>
      </c>
      <c r="BJ53" s="59">
        <f t="shared" si="38"/>
        <v>250.70954318710835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43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1.8513858220069932</v>
      </c>
      <c r="BQ53" s="21">
        <f>EXP(-LN(2)/25)*BQ52+(1-EXP(-LN(2)/25))/(LN(2)/25)*Calculateur!BL53*Calculateur!BN53*VLOOKUP('Données projet'!$B$11,Paramètres!$A$1:$I$89,3,0)*0.475*44/12</f>
        <v>9.9367240930605991</v>
      </c>
      <c r="BR53" s="21">
        <f>EXP(-LN(2)/2)*BR52+(1-EXP(-LN(2)/2))/(LN(2)/2)*BL53*BO53*VLOOKUP('Données projet'!$B$11,Paramètres!$A$1:$I$89,3,0)*0.475*44/12</f>
        <v>1.9793169287464829E-2</v>
      </c>
      <c r="BS53" s="22">
        <f t="shared" si="9"/>
        <v>11.807903084355056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319</v>
      </c>
      <c r="BW53" s="12">
        <f>VLOOKUP(A53,'Données projet'!$A$113:$I$133,9,0)</f>
        <v>11</v>
      </c>
      <c r="BX53" s="12">
        <f t="array" ref="BX53">INDEX(BW:BW,MIN(IF(ISNUMBER(BW53:BW249),ROW(BW53:BW249),"")))</f>
        <v>11</v>
      </c>
      <c r="BY53" s="12">
        <f>IF('Données projet'!$A$114&gt;35,BY52+BX53-CG52,IF(A53&lt;'Données projet'!$A$114,$BV$205^A53,IF(A53='Données projet'!$A$114,'Données projet'!$B$114,BY52+BX53-CG52)))</f>
        <v>319.00000000000006</v>
      </c>
      <c r="BZ53" s="13">
        <f>BY53*VLOOKUP('Données projet'!$B$12,Paramètres!$A$1:$I$89,3,0)*VLOOKUP('Données projet'!$B$12,Paramètres!$A$1:$I$89,5,0)</f>
        <v>248.82000000000005</v>
      </c>
      <c r="CA53" s="13">
        <f t="shared" si="39"/>
        <v>60.333192077890068</v>
      </c>
      <c r="CB53" s="20">
        <f t="shared" si="10"/>
        <v>538.44180953565865</v>
      </c>
      <c r="CC53" s="59">
        <f t="shared" si="11"/>
        <v>831.77514286899191</v>
      </c>
      <c r="CD53" s="59">
        <f ca="1">AVERAGE(OFFSET($CC$3,0,0,'Données projet'!$E$12+1,1))-AVERAGE(OFFSET($H$3,0,0,'Données projet'!$E$12+1,1))</f>
        <v>266.30229009596883</v>
      </c>
      <c r="CE53" s="59">
        <f t="shared" si="40"/>
        <v>270.19195828386046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71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0.97310036466674832</v>
      </c>
      <c r="CL53" s="21">
        <f>EXP(-LN(2)/25)*CL52+(1-EXP(-LN(2)/25))/(LN(2)/25)*Calculateur!CG53*Calculateur!CI53*VLOOKUP('Données projet'!$B$12,Paramètres!$A$1:$I$89,3,0)*0.475*44/12</f>
        <v>4.8077176005953746</v>
      </c>
      <c r="CM53" s="21">
        <f>EXP(-LN(2)/2)*CM52+(1-EXP(-LN(2)/2))/(LN(2)/2)*CG53*CJ53*VLOOKUP('Données projet'!$B$12,Paramètres!$A$1:$I$89,3,0)*0.475*44/12</f>
        <v>1.2764823824904136E-2</v>
      </c>
      <c r="CN53" s="22">
        <f t="shared" si="12"/>
        <v>5.7935827890870266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285</v>
      </c>
      <c r="CR53" s="12">
        <f>VLOOKUP(A53,'Données projet'!$A$139:$I$159,9,0)</f>
        <v>9.1999999999999993</v>
      </c>
      <c r="CS53" s="12">
        <f t="array" ref="CS53">INDEX(CR:CR,MIN(IF(ISNUMBER(CR53:CR249),ROW(CR53:CR249),"")))</f>
        <v>9.1999999999999993</v>
      </c>
      <c r="CT53" s="12">
        <f>IF('Données projet'!$A$140&gt;35,CT52+CS53-DB52,IF(A53&lt;'Données projet'!$A$140,$CQ$205^A53,IF(A53='Données projet'!$A$140,'Données projet'!$B$140,CT52+CS53-DB52)))</f>
        <v>284.99999999999983</v>
      </c>
      <c r="CU53" s="17">
        <f>CT53*VLOOKUP('Données projet'!$B$13,Paramètres!$A$1:$I$89,3,0)*VLOOKUP('Données projet'!$B$13,Paramètres!$A$1:$I$89,5,0)</f>
        <v>226.74599999999987</v>
      </c>
      <c r="CV53" s="13">
        <f t="shared" si="41"/>
        <v>55.578508240245917</v>
      </c>
      <c r="CW53" s="20">
        <f t="shared" si="13"/>
        <v>491.71518518509475</v>
      </c>
      <c r="CX53" s="59">
        <f t="shared" si="14"/>
        <v>785.04851851842807</v>
      </c>
      <c r="CY53" s="59">
        <f ca="1">AVERAGE(OFFSET($CX$3,0,0,'Données projet'!$E$13+1,1))-AVERAGE(OFFSET($H$3,0,0,'Données projet'!$E$13+1,1))</f>
        <v>260.20517190557814</v>
      </c>
      <c r="CZ53" s="59">
        <f t="shared" si="42"/>
        <v>307.22009971147133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43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2.1958296958687598</v>
      </c>
      <c r="DG53" s="21">
        <f>EXP(-LN(2)/25)*DG52+(1-EXP(-LN(2)/25))/(LN(2)/25)*Calculateur!DB53*Calculateur!DD53*VLOOKUP('Données projet'!$B$13,Paramètres!$A$1:$I$89,3,0)*0.475*44/12</f>
        <v>11.785416947583496</v>
      </c>
      <c r="DH53" s="21">
        <f>EXP(-LN(2)/2)*DH52+(1-EXP(-LN(2)/2))/(LN(2)/2)*DB53*DE53*VLOOKUP('Données projet'!$B$13,Paramètres!$A$1:$I$89,3,0)*0.475*44/12</f>
        <v>2.3475619387458287E-2</v>
      </c>
      <c r="DI53" s="22">
        <f t="shared" si="15"/>
        <v>14.004722262839714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259</v>
      </c>
      <c r="DM53" s="12">
        <f>VLOOKUP(A53,'Données projet'!$A$165:$I$185,9,0)</f>
        <v>11.2</v>
      </c>
      <c r="DN53" s="12">
        <f t="array" ref="DN53">INDEX(DM:DM,MIN(IF(ISNUMBER(DM53:DM249),ROW(DM53:DM249),"")))</f>
        <v>11.2</v>
      </c>
      <c r="DO53" s="12">
        <f>IF('Données projet'!$A$166&gt;35,DO52+DN53-DW52,IF(A53&lt;'Données projet'!$A$166,$DL$205^A53,IF(A53='Données projet'!$A$166,'Données projet'!$B$166,DO52+DN53-DW52)))</f>
        <v>258.99999999999989</v>
      </c>
      <c r="DP53" s="17">
        <f>DO53*VLOOKUP('Données projet'!$B$14,Paramètres!$A$1:$I$89,3,0)*VLOOKUP('Données projet'!$B$14,Paramètres!$A$1:$I$89,5,0)</f>
        <v>250.5047999999999</v>
      </c>
      <c r="DQ53" s="13">
        <f t="shared" si="43"/>
        <v>60.694023481225365</v>
      </c>
      <c r="DR53" s="20">
        <f t="shared" si="16"/>
        <v>542.00461756313393</v>
      </c>
      <c r="DS53" s="59">
        <f t="shared" si="17"/>
        <v>835.33795089646719</v>
      </c>
      <c r="DT53" s="59">
        <f ca="1">AVERAGE(OFFSET($DS$3,0,0,'Données projet'!$E$14+1,1))-AVERAGE(OFFSET($H$3,0,0,'Données projet'!$E$14+1,1))</f>
        <v>347.8889410585312</v>
      </c>
      <c r="DU53" s="59">
        <f t="shared" si="44"/>
        <v>254.78167322479203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56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1.7326176749348468</v>
      </c>
      <c r="EB53" s="21">
        <f>EXP(-LN(2)/25)*EB52+(1-EXP(-LN(2)/25))/(LN(2)/25)*Calculateur!DW53*Calculateur!DY53*VLOOKUP('Données projet'!$B$14,Paramètres!$A$1:$I$89,3,0)*0.475*44/12</f>
        <v>6.9271931556598405</v>
      </c>
      <c r="EC53" s="21">
        <f>EXP(-LN(2)/2)*EC52+(1-EXP(-LN(2)/2))/(LN(2)/2)*DW53*DZ53*VLOOKUP('Données projet'!$B$14,Paramètres!$A$1:$I$89,3,0)*0.475*44/12</f>
        <v>2.2499779094736803E-2</v>
      </c>
      <c r="ED53" s="22">
        <f t="shared" si="18"/>
        <v>8.6823106096894236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259</v>
      </c>
      <c r="EH53" s="12">
        <f>VLOOKUP(A53,'Données projet'!$A$191:$I$211,9,0)</f>
        <v>11.2</v>
      </c>
      <c r="EI53" s="12">
        <f t="array" ref="EI53">INDEX(EH:EH,MIN(IF(ISNUMBER(EH53:EH249),ROW(EH53:EH249),"")))</f>
        <v>11.2</v>
      </c>
      <c r="EJ53" s="12">
        <f>IF('Données projet'!$A$192&gt;35,EJ52+EI53-ER52,IF(A53&lt;'Données projet'!$A$192,$EG$205^A53,IF(A53='Données projet'!$A$192,'Données projet'!$B$192,EJ52+EI53-ER52)))</f>
        <v>258.99999999999989</v>
      </c>
      <c r="EK53" s="17">
        <f>EJ53*VLOOKUP('Données projet'!$B$15,Paramètres!$A$1:$I$89,3,0)*VLOOKUP('Données projet'!$B$15,Paramètres!$A$1:$I$89,5,0)</f>
        <v>278.78759999999983</v>
      </c>
      <c r="EL53" s="13">
        <f t="shared" si="45"/>
        <v>66.710729236743248</v>
      </c>
      <c r="EM53" s="20">
        <f t="shared" si="19"/>
        <v>601.74292342066076</v>
      </c>
      <c r="EN53" s="59">
        <f t="shared" si="20"/>
        <v>895.07625675399413</v>
      </c>
      <c r="EO53" s="59">
        <f ca="1">AVERAGE(OFFSET($EN$3,0,0,'Données projet'!$E$15+1,1))-AVERAGE(OFFSET($H$3,0,0,'Données projet'!$E$15+1,1))</f>
        <v>399.38728019348088</v>
      </c>
      <c r="EP53" s="59">
        <f t="shared" si="46"/>
        <v>289.54922160039791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56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1.928235799524264</v>
      </c>
      <c r="EW53" s="21">
        <f>EXP(-LN(2)/25)*EW52+(1-EXP(-LN(2)/25))/(LN(2)/25)*Calculateur!ER53*Calculateur!ET53*VLOOKUP('Données projet'!$B$15,Paramètres!$A$1:$I$89,3,0)*0.475*44/12</f>
        <v>7.7092956087182127</v>
      </c>
      <c r="EX53" s="21">
        <f>EXP(-LN(2)/2)*EX52+(1-EXP(-LN(2)/2))/(LN(2)/2)*ER53*EU53*VLOOKUP('Données projet'!$B$15,Paramètres!$A$1:$I$89,3,0)*0.475*44/12</f>
        <v>2.5040076734465153E-2</v>
      </c>
      <c r="EY53" s="22">
        <f t="shared" si="21"/>
        <v>9.662571484976942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9.8000000000000007</v>
      </c>
      <c r="N54" s="13">
        <f>IF('Données projet'!$A$36&gt;35,N53+M54-V53,IF(A54&lt;'Données projet'!$A$36,$K$205^A54,IF(A54='Données projet'!$A$36,'Données projet'!$B$36,N53+M54-V53)))</f>
        <v>212.7999999999999</v>
      </c>
      <c r="O54" s="13">
        <f>N54*VLOOKUP('Données projet'!$B$9,Paramètres!$A$1:$I$89,3,0)*VLOOKUP('Données projet'!$B$9,Paramètres!$A$1:$I$89,5,0)</f>
        <v>192.54143999999991</v>
      </c>
      <c r="P54" s="13">
        <f t="shared" si="33"/>
        <v>48.101393902059698</v>
      </c>
      <c r="Q54" s="20">
        <f t="shared" si="53"/>
        <v>419.11960237942048</v>
      </c>
      <c r="R54" s="59">
        <f t="shared" si="0"/>
        <v>712.45293571275374</v>
      </c>
      <c r="S54" s="59">
        <f ca="1">AVERAGE(OFFSET($R$3,0,0,'Données projet'!$E$9+1,1))-AVERAGE(OFFSET($H$3,0,0,'Données projet'!$E$9+1,1))</f>
        <v>318.40875902853116</v>
      </c>
      <c r="T54" s="59">
        <f t="shared" si="34"/>
        <v>234.87694492493506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1.5890522862752376</v>
      </c>
      <c r="AA54" s="21">
        <f>EXP(-LN(2)/25)*AA53+(1-EXP(-LN(2)/25))/(LN(2)/25)*Calculateur!V54*Calculateur!X54*VLOOKUP('Données projet'!$B$9,Paramètres!$A$1:$I$89,3,0)*0.475*44/12</f>
        <v>6.3030739400470601</v>
      </c>
      <c r="AB54" s="21">
        <f>EXP(-LN(2)/2)*AB53+(1-EXP(-LN(2)/2))/(LN(2)/2)*V54*Y54*VLOOKUP('Données projet'!$B$9,Paramètres!$A$1:$I$89,3,0)*0.475*44/12</f>
        <v>1.4883311123211104E-2</v>
      </c>
      <c r="AC54" s="22">
        <f t="shared" si="3"/>
        <v>7.9070095374455089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</v>
      </c>
      <c r="AI54" s="13">
        <f>IF('Données projet'!$A$62&gt;35,AI53+AH54-AQ53,IF(A54&lt;'Données projet'!$A$62,$AF$205^A54,IF(A54='Données projet'!$A$62,'Données projet'!$B$62,AI53+AH54-AQ53)))</f>
        <v>206.20000000000005</v>
      </c>
      <c r="AJ54" s="13">
        <f>AI54*VLOOKUP('Données projet'!$B$10,Paramètres!$A$1:$I$89,3,0)*VLOOKUP('Données projet'!$B$10,Paramètres!$A$1:$I$89,5,0)</f>
        <v>180.13632000000007</v>
      </c>
      <c r="AK54" s="13">
        <f t="shared" si="35"/>
        <v>45.352513518602144</v>
      </c>
      <c r="AL54" s="20">
        <f t="shared" si="4"/>
        <v>392.72638504489879</v>
      </c>
      <c r="AM54" s="59">
        <f t="shared" si="5"/>
        <v>686.05971837823211</v>
      </c>
      <c r="AN54" s="59">
        <f ca="1">AVERAGE(OFFSET($AM$3,0,0,'Données projet'!$E$10+1,1))-AVERAGE(OFFSET($H$3,0,0,'Données projet'!$E$10+1,1))</f>
        <v>243.38048563215585</v>
      </c>
      <c r="AO54" s="59">
        <f t="shared" si="36"/>
        <v>372.1604147006675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4.8219517652489978</v>
      </c>
      <c r="AV54" s="21">
        <f>EXP(-LN(2)/25)*AV53+(1-EXP(-LN(2)/25))/(LN(2)/25)*Calculateur!AQ54*Calculateur!AS54*VLOOKUP('Données projet'!$B$10,Paramètres!$A$1:$I$89,3,0)*0.475*44/12</f>
        <v>10.81669618166168</v>
      </c>
      <c r="AW54" s="21">
        <f>EXP(-LN(2)/2)*AW53+(1-EXP(-LN(2)/2))/(LN(2)/2)*AQ54*AT54*VLOOKUP('Données projet'!$B$10,Paramètres!$A$1:$I$89,3,0)*0.475*44/12</f>
        <v>2.0242961237986717E-2</v>
      </c>
      <c r="AX54" s="21">
        <f t="shared" si="6"/>
        <v>15.658890908148663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248.79999999999984</v>
      </c>
      <c r="BE54" s="13">
        <f>BD54*VLOOKUP('Données projet'!$B$11,Paramètres!$A$1:$I$89,3,0)*VLOOKUP('Données projet'!$B$11,Paramètres!$A$1:$I$89,5,0)</f>
        <v>166.89503999999988</v>
      </c>
      <c r="BF54" s="13">
        <f t="shared" si="37"/>
        <v>42.393871547398746</v>
      </c>
      <c r="BG54" s="20">
        <f t="shared" si="7"/>
        <v>364.51152094505261</v>
      </c>
      <c r="BH54" s="59">
        <f t="shared" si="8"/>
        <v>657.84485427838592</v>
      </c>
      <c r="BI54" s="59">
        <f ca="1">AVERAGE(OFFSET($BH$3,0,0,'Données projet'!$E$11+1,1))-AVERAGE(OFFSET($H$3,0,0,'Données projet'!$E$11+1,1))</f>
        <v>207.93042467236967</v>
      </c>
      <c r="BJ54" s="59">
        <f t="shared" si="38"/>
        <v>250.70954318710835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1.8150812752712848</v>
      </c>
      <c r="BQ54" s="21">
        <f>EXP(-LN(2)/25)*BQ53+(1-EXP(-LN(2)/25))/(LN(2)/25)*Calculateur!BL54*Calculateur!BN54*VLOOKUP('Données projet'!$B$11,Paramètres!$A$1:$I$89,3,0)*0.475*44/12</f>
        <v>9.6650038501862472</v>
      </c>
      <c r="BR54" s="21">
        <f>EXP(-LN(2)/2)*BR53+(1-EXP(-LN(2)/2))/(LN(2)/2)*BL54*BO54*VLOOKUP('Données projet'!$B$11,Paramètres!$A$1:$I$89,3,0)*0.475*44/12</f>
        <v>1.3995884224339686E-2</v>
      </c>
      <c r="BS54" s="22">
        <f t="shared" si="9"/>
        <v>11.494081009681871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9.6999999999999993</v>
      </c>
      <c r="BY54" s="12">
        <f>IF('Données projet'!$A$114&gt;35,BY53+BX54-CG53,IF(A54&lt;'Données projet'!$A$114,$BV$205^A54,IF(A54='Données projet'!$A$114,'Données projet'!$B$114,BY53+BX54-CG53)))</f>
        <v>257.70000000000005</v>
      </c>
      <c r="BZ54" s="13">
        <f>BY54*VLOOKUP('Données projet'!$B$12,Paramètres!$A$1:$I$89,3,0)*VLOOKUP('Données projet'!$B$12,Paramètres!$A$1:$I$89,5,0)</f>
        <v>201.00600000000003</v>
      </c>
      <c r="CA54" s="13">
        <f t="shared" si="39"/>
        <v>49.965191474890041</v>
      </c>
      <c r="CB54" s="20">
        <f t="shared" si="10"/>
        <v>437.10815848543353</v>
      </c>
      <c r="CC54" s="59">
        <f t="shared" si="11"/>
        <v>730.44149181876685</v>
      </c>
      <c r="CD54" s="59">
        <f ca="1">AVERAGE(OFFSET($CC$3,0,0,'Données projet'!$E$12+1,1))-AVERAGE(OFFSET($H$3,0,0,'Données projet'!$E$12+1,1))</f>
        <v>266.30229009596883</v>
      </c>
      <c r="CE54" s="59">
        <f t="shared" si="40"/>
        <v>270.19195828386046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0.95401846004824931</v>
      </c>
      <c r="CL54" s="21">
        <f>EXP(-LN(2)/25)*CL53+(1-EXP(-LN(2)/25))/(LN(2)/25)*Calculateur!CG54*Calculateur!CI54*VLOOKUP('Données projet'!$B$12,Paramètres!$A$1:$I$89,3,0)*0.475*44/12</f>
        <v>4.6762503099802135</v>
      </c>
      <c r="CM54" s="21">
        <f>EXP(-LN(2)/2)*CM53+(1-EXP(-LN(2)/2))/(LN(2)/2)*CG54*CJ54*VLOOKUP('Données projet'!$B$12,Paramètres!$A$1:$I$89,3,0)*0.475*44/12</f>
        <v>9.0260934872413174E-3</v>
      </c>
      <c r="CN54" s="22">
        <f t="shared" si="12"/>
        <v>5.6392948635157047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6.8</v>
      </c>
      <c r="CT54" s="12">
        <f>IF('Données projet'!$A$140&gt;35,CT53+CS54-DB53,IF(A54&lt;'Données projet'!$A$140,$CQ$205^A54,IF(A54='Données projet'!$A$140,'Données projet'!$B$140,CT53+CS54-DB53)))</f>
        <v>248.79999999999984</v>
      </c>
      <c r="CU54" s="17">
        <f>CT54*VLOOKUP('Données projet'!$B$13,Paramètres!$A$1:$I$89,3,0)*VLOOKUP('Données projet'!$B$13,Paramètres!$A$1:$I$89,5,0)</f>
        <v>197.94527999999988</v>
      </c>
      <c r="CV54" s="13">
        <f t="shared" si="41"/>
        <v>49.29233142017484</v>
      </c>
      <c r="CW54" s="20">
        <f t="shared" si="13"/>
        <v>430.6055065568043</v>
      </c>
      <c r="CX54" s="59">
        <f t="shared" si="14"/>
        <v>723.93883989013761</v>
      </c>
      <c r="CY54" s="59">
        <f ca="1">AVERAGE(OFFSET($CX$3,0,0,'Données projet'!$E$13+1,1))-AVERAGE(OFFSET($H$3,0,0,'Données projet'!$E$13+1,1))</f>
        <v>260.20517190557814</v>
      </c>
      <c r="CZ54" s="59">
        <f t="shared" si="42"/>
        <v>307.22009971147133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2.1527708148566407</v>
      </c>
      <c r="DG54" s="21">
        <f>EXP(-LN(2)/25)*DG53+(1-EXP(-LN(2)/25))/(LN(2)/25)*Calculateur!DB54*Calculateur!DD54*VLOOKUP('Données projet'!$B$13,Paramètres!$A$1:$I$89,3,0)*0.475*44/12</f>
        <v>11.463144101383683</v>
      </c>
      <c r="DH54" s="21">
        <f>EXP(-LN(2)/2)*DH53+(1-EXP(-LN(2)/2))/(LN(2)/2)*DB54*DE54*VLOOKUP('Données projet'!$B$13,Paramètres!$A$1:$I$89,3,0)*0.475*44/12</f>
        <v>1.659976966142614E-2</v>
      </c>
      <c r="DI54" s="22">
        <f t="shared" si="15"/>
        <v>13.63251468590175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9.8000000000000007</v>
      </c>
      <c r="DO54" s="12">
        <f>IF('Données projet'!$A$166&gt;35,DO53+DN54-DW53,IF(A54&lt;'Données projet'!$A$166,$DL$205^A54,IF(A54='Données projet'!$A$166,'Données projet'!$B$166,DO53+DN54-DW53)))</f>
        <v>212.7999999999999</v>
      </c>
      <c r="DP54" s="17">
        <f>DO54*VLOOKUP('Données projet'!$B$14,Paramètres!$A$1:$I$89,3,0)*VLOOKUP('Données projet'!$B$14,Paramètres!$A$1:$I$89,5,0)</f>
        <v>205.82015999999987</v>
      </c>
      <c r="DQ54" s="13">
        <f t="shared" si="43"/>
        <v>51.0211194797537</v>
      </c>
      <c r="DR54" s="20">
        <f t="shared" si="16"/>
        <v>447.33189509390405</v>
      </c>
      <c r="DS54" s="59">
        <f t="shared" si="17"/>
        <v>740.66522842723737</v>
      </c>
      <c r="DT54" s="59">
        <f ca="1">AVERAGE(OFFSET($DS$3,0,0,'Données projet'!$E$14+1,1))-AVERAGE(OFFSET($H$3,0,0,'Données projet'!$E$14+1,1))</f>
        <v>347.8889410585312</v>
      </c>
      <c r="DU54" s="59">
        <f t="shared" si="44"/>
        <v>254.78167322479203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1.6986420991218065</v>
      </c>
      <c r="EB54" s="21">
        <f>EXP(-LN(2)/25)*EB53+(1-EXP(-LN(2)/25))/(LN(2)/25)*Calculateur!DW54*Calculateur!DY54*VLOOKUP('Données projet'!$B$14,Paramètres!$A$1:$I$89,3,0)*0.475*44/12</f>
        <v>6.7377686945330666</v>
      </c>
      <c r="EC54" s="21">
        <f>EXP(-LN(2)/2)*EC53+(1-EXP(-LN(2)/2))/(LN(2)/2)*DW54*DZ54*VLOOKUP('Données projet'!$B$14,Paramètres!$A$1:$I$89,3,0)*0.475*44/12</f>
        <v>1.5909746373087712E-2</v>
      </c>
      <c r="ED54" s="22">
        <f t="shared" si="18"/>
        <v>8.4523205400279622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9.8000000000000007</v>
      </c>
      <c r="EJ54" s="12">
        <f>IF('Données projet'!$A$192&gt;35,EJ53+EI54-ER53,IF(A54&lt;'Données projet'!$A$192,$EG$205^A54,IF(A54='Données projet'!$A$192,'Données projet'!$B$192,EJ53+EI54-ER53)))</f>
        <v>212.7999999999999</v>
      </c>
      <c r="EK54" s="17">
        <f>EJ54*VLOOKUP('Données projet'!$B$15,Paramètres!$A$1:$I$89,3,0)*VLOOKUP('Données projet'!$B$15,Paramètres!$A$1:$I$89,5,0)</f>
        <v>229.05791999999985</v>
      </c>
      <c r="EL54" s="13">
        <f t="shared" si="45"/>
        <v>56.078933175722597</v>
      </c>
      <c r="EM54" s="20">
        <f t="shared" si="19"/>
        <v>496.61335261438325</v>
      </c>
      <c r="EN54" s="59">
        <f t="shared" si="20"/>
        <v>789.94668594771656</v>
      </c>
      <c r="EO54" s="59">
        <f ca="1">AVERAGE(OFFSET($EN$3,0,0,'Données projet'!$E$15+1,1))-AVERAGE(OFFSET($H$3,0,0,'Données projet'!$E$15+1,1))</f>
        <v>399.38728019348088</v>
      </c>
      <c r="EP54" s="59">
        <f t="shared" si="46"/>
        <v>289.54922160039791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1.8904242716033</v>
      </c>
      <c r="EW54" s="21">
        <f>EXP(-LN(2)/25)*EW53+(1-EXP(-LN(2)/25))/(LN(2)/25)*Calculateur!ER54*Calculateur!ET54*VLOOKUP('Données projet'!$B$15,Paramètres!$A$1:$I$89,3,0)*0.475*44/12</f>
        <v>7.498484514883577</v>
      </c>
      <c r="EX54" s="21">
        <f>EXP(-LN(2)/2)*EX53+(1-EXP(-LN(2)/2))/(LN(2)/2)*ER54*EU54*VLOOKUP('Données projet'!$B$15,Paramètres!$A$1:$I$89,3,0)*0.475*44/12</f>
        <v>1.770600806037181E-2</v>
      </c>
      <c r="EY54" s="22">
        <f t="shared" si="21"/>
        <v>9.4066147945472487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9.8000000000000007</v>
      </c>
      <c r="N55" s="13">
        <f>IF('Données projet'!$A$36&gt;35,N54+M55-V54,IF(A55&lt;'Données projet'!$A$36,$K$205^A55,IF(A55='Données projet'!$A$36,'Données projet'!$B$36,N54+M55-V54)))</f>
        <v>222.59999999999991</v>
      </c>
      <c r="O55" s="13">
        <f>N55*VLOOKUP('Données projet'!$B$9,Paramètres!$A$1:$I$89,3,0)*VLOOKUP('Données projet'!$B$9,Paramètres!$A$1:$I$89,5,0)</f>
        <v>201.40847999999991</v>
      </c>
      <c r="P55" s="13">
        <f t="shared" si="33"/>
        <v>50.053582459229212</v>
      </c>
      <c r="Q55" s="20">
        <f t="shared" si="53"/>
        <v>437.96309211649071</v>
      </c>
      <c r="R55" s="59">
        <f t="shared" si="0"/>
        <v>731.29642544982403</v>
      </c>
      <c r="S55" s="59">
        <f ca="1">AVERAGE(OFFSET($R$3,0,0,'Données projet'!$E$9+1,1))-AVERAGE(OFFSET($H$3,0,0,'Données projet'!$E$9+1,1))</f>
        <v>318.40875902853116</v>
      </c>
      <c r="T55" s="59">
        <f t="shared" si="34"/>
        <v>234.87694492493506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1.5578919401675717</v>
      </c>
      <c r="AA55" s="21">
        <f>EXP(-LN(2)/25)*AA54+(1-EXP(-LN(2)/25))/(LN(2)/25)*Calculateur!V55*Calculateur!X55*VLOOKUP('Données projet'!$B$9,Paramètres!$A$1:$I$89,3,0)*0.475*44/12</f>
        <v>6.1307160516922208</v>
      </c>
      <c r="AB55" s="21">
        <f>EXP(-LN(2)/2)*AB54+(1-EXP(-LN(2)/2))/(LN(2)/2)*V55*Y55*VLOOKUP('Données projet'!$B$9,Paramètres!$A$1:$I$89,3,0)*0.475*44/12</f>
        <v>1.0524090221731744E-2</v>
      </c>
      <c r="AC55" s="22">
        <f t="shared" si="3"/>
        <v>7.6991320820815243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</v>
      </c>
      <c r="AI55" s="13">
        <f>IF('Données projet'!$A$62&gt;35,AI54+AH55-AQ54,IF(A55&lt;'Données projet'!$A$62,$AF$205^A55,IF(A55='Données projet'!$A$62,'Données projet'!$B$62,AI54+AH55-AQ54)))</f>
        <v>213.40000000000003</v>
      </c>
      <c r="AJ55" s="13">
        <f>AI55*VLOOKUP('Données projet'!$B$10,Paramètres!$A$1:$I$89,3,0)*VLOOKUP('Données projet'!$B$10,Paramètres!$A$1:$I$89,5,0)</f>
        <v>186.42624000000006</v>
      </c>
      <c r="AK55" s="13">
        <f t="shared" si="35"/>
        <v>46.748974211060826</v>
      </c>
      <c r="AL55" s="20">
        <f t="shared" si="4"/>
        <v>406.11349808426439</v>
      </c>
      <c r="AM55" s="59">
        <f t="shared" si="5"/>
        <v>699.44683141759765</v>
      </c>
      <c r="AN55" s="59">
        <f ca="1">AVERAGE(OFFSET($AM$3,0,0,'Données projet'!$E$10+1,1))-AVERAGE(OFFSET($H$3,0,0,'Données projet'!$E$10+1,1))</f>
        <v>243.38048563215585</v>
      </c>
      <c r="AO55" s="59">
        <f t="shared" si="36"/>
        <v>372.1604147006675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4.7273962322326319</v>
      </c>
      <c r="AV55" s="21">
        <f>EXP(-LN(2)/25)*AV54+(1-EXP(-LN(2)/25))/(LN(2)/25)*Calculateur!AQ55*Calculateur!AS55*VLOOKUP('Données projet'!$B$10,Paramètres!$A$1:$I$89,3,0)*0.475*44/12</f>
        <v>10.52091305574881</v>
      </c>
      <c r="AW55" s="21">
        <f>EXP(-LN(2)/2)*AW54+(1-EXP(-LN(2)/2))/(LN(2)/2)*AQ55*AT55*VLOOKUP('Données projet'!$B$10,Paramètres!$A$1:$I$89,3,0)*0.475*44/12</f>
        <v>1.4313935162676837E-2</v>
      </c>
      <c r="AX55" s="21">
        <f t="shared" si="6"/>
        <v>15.26262322314412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255.59999999999985</v>
      </c>
      <c r="BE55" s="13">
        <f>BD55*VLOOKUP('Données projet'!$B$11,Paramètres!$A$1:$I$89,3,0)*VLOOKUP('Données projet'!$B$11,Paramètres!$A$1:$I$89,5,0)</f>
        <v>171.45647999999989</v>
      </c>
      <c r="BF55" s="13">
        <f t="shared" si="37"/>
        <v>43.416064516104512</v>
      </c>
      <c r="BG55" s="20">
        <f t="shared" si="7"/>
        <v>374.23634836554851</v>
      </c>
      <c r="BH55" s="59">
        <f t="shared" si="8"/>
        <v>667.56968169888182</v>
      </c>
      <c r="BI55" s="59">
        <f ca="1">AVERAGE(OFFSET($BH$3,0,0,'Données projet'!$E$11+1,1))-AVERAGE(OFFSET($H$3,0,0,'Données projet'!$E$11+1,1))</f>
        <v>207.93042467236967</v>
      </c>
      <c r="BJ55" s="59">
        <f t="shared" si="38"/>
        <v>250.70954318710835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1.7794886385534767</v>
      </c>
      <c r="BQ55" s="21">
        <f>EXP(-LN(2)/25)*BQ54+(1-EXP(-LN(2)/25))/(LN(2)/25)*Calculateur!BL55*Calculateur!BN55*VLOOKUP('Données projet'!$B$11,Paramètres!$A$1:$I$89,3,0)*0.475*44/12</f>
        <v>9.4007138116424418</v>
      </c>
      <c r="BR55" s="21">
        <f>EXP(-LN(2)/2)*BR54+(1-EXP(-LN(2)/2))/(LN(2)/2)*BL55*BO55*VLOOKUP('Données projet'!$B$11,Paramètres!$A$1:$I$89,3,0)*0.475*44/12</f>
        <v>9.8965846437324145E-3</v>
      </c>
      <c r="BS55" s="22">
        <f t="shared" si="9"/>
        <v>11.190099034839651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9.6999999999999993</v>
      </c>
      <c r="BY55" s="12">
        <f>IF('Données projet'!$A$114&gt;35,BY54+BX55-CG54,IF(A55&lt;'Données projet'!$A$114,$BV$205^A55,IF(A55='Données projet'!$A$114,'Données projet'!$B$114,BY54+BX55-CG54)))</f>
        <v>267.40000000000003</v>
      </c>
      <c r="BZ55" s="13">
        <f>BY55*VLOOKUP('Données projet'!$B$12,Paramètres!$A$1:$I$89,3,0)*VLOOKUP('Données projet'!$B$12,Paramètres!$A$1:$I$89,5,0)</f>
        <v>208.57200000000003</v>
      </c>
      <c r="CA55" s="13">
        <f t="shared" si="39"/>
        <v>51.623407958239042</v>
      </c>
      <c r="CB55" s="20">
        <f t="shared" si="10"/>
        <v>453.17366886059966</v>
      </c>
      <c r="CC55" s="59">
        <f t="shared" si="11"/>
        <v>746.50700219393298</v>
      </c>
      <c r="CD55" s="59">
        <f ca="1">AVERAGE(OFFSET($CC$3,0,0,'Données projet'!$E$12+1,1))-AVERAGE(OFFSET($H$3,0,0,'Données projet'!$E$12+1,1))</f>
        <v>266.30229009596883</v>
      </c>
      <c r="CE55" s="59">
        <f t="shared" si="40"/>
        <v>270.19195828386046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0.93531073994050651</v>
      </c>
      <c r="CL55" s="21">
        <f>EXP(-LN(2)/25)*CL54+(1-EXP(-LN(2)/25))/(LN(2)/25)*Calculateur!CG55*Calculateur!CI55*VLOOKUP('Données projet'!$B$12,Paramètres!$A$1:$I$89,3,0)*0.475*44/12</f>
        <v>4.5483779993404889</v>
      </c>
      <c r="CM55" s="21">
        <f>EXP(-LN(2)/2)*CM54+(1-EXP(-LN(2)/2))/(LN(2)/2)*CG55*CJ55*VLOOKUP('Données projet'!$B$12,Paramètres!$A$1:$I$89,3,0)*0.475*44/12</f>
        <v>6.3824119124520681E-3</v>
      </c>
      <c r="CN55" s="22">
        <f t="shared" si="12"/>
        <v>5.4900711511934475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6.8</v>
      </c>
      <c r="CT55" s="12">
        <f>IF('Données projet'!$A$140&gt;35,CT54+CS55-DB54,IF(A55&lt;'Données projet'!$A$140,$CQ$205^A55,IF(A55='Données projet'!$A$140,'Données projet'!$B$140,CT54+CS55-DB54)))</f>
        <v>255.59999999999985</v>
      </c>
      <c r="CU55" s="17">
        <f>CT55*VLOOKUP('Données projet'!$B$13,Paramètres!$A$1:$I$89,3,0)*VLOOKUP('Données projet'!$B$13,Paramètres!$A$1:$I$89,5,0)</f>
        <v>203.35535999999991</v>
      </c>
      <c r="CV55" s="13">
        <f t="shared" si="41"/>
        <v>50.480858741452501</v>
      </c>
      <c r="CW55" s="20">
        <f t="shared" si="13"/>
        <v>442.09808097469619</v>
      </c>
      <c r="CX55" s="59">
        <f t="shared" si="14"/>
        <v>735.4314143080295</v>
      </c>
      <c r="CY55" s="59">
        <f ca="1">AVERAGE(OFFSET($CX$3,0,0,'Données projet'!$E$13+1,1))-AVERAGE(OFFSET($H$3,0,0,'Données projet'!$E$13+1,1))</f>
        <v>260.20517190557814</v>
      </c>
      <c r="CZ55" s="59">
        <f t="shared" si="42"/>
        <v>307.22009971147133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2.1105562922378449</v>
      </c>
      <c r="DG55" s="21">
        <f>EXP(-LN(2)/25)*DG54+(1-EXP(-LN(2)/25))/(LN(2)/25)*Calculateur!DB55*Calculateur!DD55*VLOOKUP('Données projet'!$B$13,Paramètres!$A$1:$I$89,3,0)*0.475*44/12</f>
        <v>11.149683823110797</v>
      </c>
      <c r="DH55" s="21">
        <f>EXP(-LN(2)/2)*DH54+(1-EXP(-LN(2)/2))/(LN(2)/2)*DB55*DE55*VLOOKUP('Données projet'!$B$13,Paramètres!$A$1:$I$89,3,0)*0.475*44/12</f>
        <v>1.1737809693729144E-2</v>
      </c>
      <c r="DI55" s="22">
        <f t="shared" si="15"/>
        <v>13.271977925042371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9.8000000000000007</v>
      </c>
      <c r="DO55" s="12">
        <f>IF('Données projet'!$A$166&gt;35,DO54+DN55-DW54,IF(A55&lt;'Données projet'!$A$166,$DL$205^A55,IF(A55='Données projet'!$A$166,'Données projet'!$B$166,DO54+DN55-DW54)))</f>
        <v>222.59999999999991</v>
      </c>
      <c r="DP55" s="17">
        <f>DO55*VLOOKUP('Données projet'!$B$14,Paramètres!$A$1:$I$89,3,0)*VLOOKUP('Données projet'!$B$14,Paramètres!$A$1:$I$89,5,0)</f>
        <v>215.29871999999992</v>
      </c>
      <c r="DQ55" s="13">
        <f t="shared" si="43"/>
        <v>53.091804704077084</v>
      </c>
      <c r="DR55" s="20">
        <f t="shared" si="16"/>
        <v>467.44683052626738</v>
      </c>
      <c r="DS55" s="59">
        <f t="shared" si="17"/>
        <v>760.78016385960063</v>
      </c>
      <c r="DT55" s="59">
        <f ca="1">AVERAGE(OFFSET($DS$3,0,0,'Données projet'!$E$14+1,1))-AVERAGE(OFFSET($H$3,0,0,'Données projet'!$E$14+1,1))</f>
        <v>347.8889410585312</v>
      </c>
      <c r="DU55" s="59">
        <f t="shared" si="44"/>
        <v>254.78167322479203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1.6653327636274049</v>
      </c>
      <c r="EB55" s="21">
        <f>EXP(-LN(2)/25)*EB54+(1-EXP(-LN(2)/25))/(LN(2)/25)*Calculateur!DW55*Calculateur!DY55*VLOOKUP('Données projet'!$B$14,Paramètres!$A$1:$I$89,3,0)*0.475*44/12</f>
        <v>6.5535240552572036</v>
      </c>
      <c r="EC55" s="21">
        <f>EXP(-LN(2)/2)*EC54+(1-EXP(-LN(2)/2))/(LN(2)/2)*DW55*DZ55*VLOOKUP('Données projet'!$B$14,Paramètres!$A$1:$I$89,3,0)*0.475*44/12</f>
        <v>1.1249889547368401E-2</v>
      </c>
      <c r="ED55" s="22">
        <f t="shared" si="18"/>
        <v>8.2301067084319772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9.8000000000000007</v>
      </c>
      <c r="EJ55" s="12">
        <f>IF('Données projet'!$A$192&gt;35,EJ54+EI55-ER54,IF(A55&lt;'Données projet'!$A$192,$EG$205^A55,IF(A55='Données projet'!$A$192,'Données projet'!$B$192,EJ54+EI55-ER54)))</f>
        <v>222.59999999999991</v>
      </c>
      <c r="EK55" s="17">
        <f>EJ55*VLOOKUP('Données projet'!$B$15,Paramètres!$A$1:$I$89,3,0)*VLOOKUP('Données projet'!$B$15,Paramètres!$A$1:$I$89,5,0)</f>
        <v>239.60663999999991</v>
      </c>
      <c r="EL55" s="13">
        <f t="shared" si="45"/>
        <v>58.354889083919922</v>
      </c>
      <c r="EM55" s="20">
        <f t="shared" si="19"/>
        <v>518.94966315449369</v>
      </c>
      <c r="EN55" s="59">
        <f t="shared" si="20"/>
        <v>812.28299648782695</v>
      </c>
      <c r="EO55" s="59">
        <f ca="1">AVERAGE(OFFSET($EN$3,0,0,'Données projet'!$E$15+1,1))-AVERAGE(OFFSET($H$3,0,0,'Données projet'!$E$15+1,1))</f>
        <v>399.38728019348088</v>
      </c>
      <c r="EP55" s="59">
        <f t="shared" si="46"/>
        <v>289.54922160039791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1.8533542046821112</v>
      </c>
      <c r="EW55" s="21">
        <f>EXP(-LN(2)/25)*EW54+(1-EXP(-LN(2)/25))/(LN(2)/25)*Calculateur!ER55*Calculateur!ET55*VLOOKUP('Données projet'!$B$15,Paramètres!$A$1:$I$89,3,0)*0.475*44/12</f>
        <v>7.2934380614959231</v>
      </c>
      <c r="EX55" s="21">
        <f>EXP(-LN(2)/2)*EX54+(1-EXP(-LN(2)/2))/(LN(2)/2)*ER55*EU55*VLOOKUP('Données projet'!$B$15,Paramètres!$A$1:$I$89,3,0)*0.475*44/12</f>
        <v>1.2520038367232577E-2</v>
      </c>
      <c r="EY55" s="22">
        <f t="shared" si="21"/>
        <v>9.1593123045452671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9.8000000000000007</v>
      </c>
      <c r="N56" s="13">
        <f>IF('Données projet'!$A$36&gt;35,N55+M56-V55,IF(A56&lt;'Données projet'!$A$36,$K$205^A56,IF(A56='Données projet'!$A$36,'Données projet'!$B$36,N55+M56-V55)))</f>
        <v>232.39999999999992</v>
      </c>
      <c r="O56" s="13">
        <f>N56*VLOOKUP('Données projet'!$B$9,Paramètres!$A$1:$I$89,3,0)*VLOOKUP('Données projet'!$B$9,Paramètres!$A$1:$I$89,5,0)</f>
        <v>210.27551999999991</v>
      </c>
      <c r="P56" s="13">
        <f t="shared" si="33"/>
        <v>51.995789155135654</v>
      </c>
      <c r="Q56" s="20">
        <f t="shared" si="53"/>
        <v>456.78919677852781</v>
      </c>
      <c r="R56" s="59">
        <f t="shared" si="0"/>
        <v>750.12253011186112</v>
      </c>
      <c r="S56" s="59">
        <f ca="1">AVERAGE(OFFSET($R$3,0,0,'Données projet'!$E$9+1,1))-AVERAGE(OFFSET($H$3,0,0,'Données projet'!$E$9+1,1))</f>
        <v>318.40875902853116</v>
      </c>
      <c r="T56" s="59">
        <f t="shared" si="34"/>
        <v>234.87694492493506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1.5273426294411427</v>
      </c>
      <c r="AA56" s="21">
        <f>EXP(-LN(2)/25)*AA55+(1-EXP(-LN(2)/25))/(LN(2)/25)*Calculateur!V56*Calculateur!X56*VLOOKUP('Données projet'!$B$9,Paramètres!$A$1:$I$89,3,0)*0.475*44/12</f>
        <v>5.9630712988583516</v>
      </c>
      <c r="AB56" s="21">
        <f>EXP(-LN(2)/2)*AB55+(1-EXP(-LN(2)/2))/(LN(2)/2)*V56*Y56*VLOOKUP('Données projet'!$B$9,Paramètres!$A$1:$I$89,3,0)*0.475*44/12</f>
        <v>7.441655561605553E-3</v>
      </c>
      <c r="AC56" s="22">
        <f t="shared" si="3"/>
        <v>7.4978555838611003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</v>
      </c>
      <c r="AI56" s="13">
        <f>IF('Données projet'!$A$62&gt;35,AI55+AH56-AQ55,IF(A56&lt;'Données projet'!$A$62,$AF$205^A56,IF(A56='Données projet'!$A$62,'Données projet'!$B$62,AI55+AH56-AQ55)))</f>
        <v>220.60000000000002</v>
      </c>
      <c r="AJ56" s="13">
        <f>AI56*VLOOKUP('Données projet'!$B$10,Paramètres!$A$1:$I$89,3,0)*VLOOKUP('Données projet'!$B$10,Paramètres!$A$1:$I$89,5,0)</f>
        <v>192.71616000000006</v>
      </c>
      <c r="AK56" s="13">
        <f t="shared" si="35"/>
        <v>48.139960279308241</v>
      </c>
      <c r="AL56" s="20">
        <f t="shared" si="4"/>
        <v>419.49107615312863</v>
      </c>
      <c r="AM56" s="59">
        <f t="shared" si="5"/>
        <v>712.82440948646195</v>
      </c>
      <c r="AN56" s="59">
        <f ca="1">AVERAGE(OFFSET($AM$3,0,0,'Données projet'!$E$10+1,1))-AVERAGE(OFFSET($H$3,0,0,'Données projet'!$E$10+1,1))</f>
        <v>243.38048563215585</v>
      </c>
      <c r="AO56" s="59">
        <f t="shared" si="36"/>
        <v>372.1604147006675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4.6346948755455371</v>
      </c>
      <c r="AV56" s="21">
        <f>EXP(-LN(2)/25)*AV55+(1-EXP(-LN(2)/25))/(LN(2)/25)*Calculateur!AQ56*Calculateur!AS56*VLOOKUP('Données projet'!$B$10,Paramètres!$A$1:$I$89,3,0)*0.475*44/12</f>
        <v>10.233218134968586</v>
      </c>
      <c r="AW56" s="21">
        <f>EXP(-LN(2)/2)*AW55+(1-EXP(-LN(2)/2))/(LN(2)/2)*AQ56*AT56*VLOOKUP('Données projet'!$B$10,Paramètres!$A$1:$I$89,3,0)*0.475*44/12</f>
        <v>1.0121480618993359E-2</v>
      </c>
      <c r="AX56" s="21">
        <f t="shared" si="6"/>
        <v>14.878034491133116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262.39999999999986</v>
      </c>
      <c r="BE56" s="13">
        <f>BD56*VLOOKUP('Données projet'!$B$11,Paramètres!$A$1:$I$89,3,0)*VLOOKUP('Données projet'!$B$11,Paramètres!$A$1:$I$89,5,0)</f>
        <v>176.01791999999992</v>
      </c>
      <c r="BF56" s="13">
        <f t="shared" si="37"/>
        <v>44.435096548069509</v>
      </c>
      <c r="BG56" s="20">
        <f t="shared" si="7"/>
        <v>383.95567048788757</v>
      </c>
      <c r="BH56" s="59">
        <f t="shared" si="8"/>
        <v>677.28900382122083</v>
      </c>
      <c r="BI56" s="59">
        <f ca="1">AVERAGE(OFFSET($BH$3,0,0,'Données projet'!$E$11+1,1))-AVERAGE(OFFSET($H$3,0,0,'Données projet'!$E$11+1,1))</f>
        <v>207.93042467236967</v>
      </c>
      <c r="BJ56" s="59">
        <f t="shared" si="38"/>
        <v>250.70954318710835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1.7445939517323401</v>
      </c>
      <c r="BQ56" s="21">
        <f>EXP(-LN(2)/25)*BQ55+(1-EXP(-LN(2)/25))/(LN(2)/25)*Calculateur!BL56*Calculateur!BN56*VLOOKUP('Données projet'!$B$11,Paramètres!$A$1:$I$89,3,0)*0.475*44/12</f>
        <v>9.1436507981010262</v>
      </c>
      <c r="BR56" s="21">
        <f>EXP(-LN(2)/2)*BR55+(1-EXP(-LN(2)/2))/(LN(2)/2)*BL56*BO56*VLOOKUP('Données projet'!$B$11,Paramètres!$A$1:$I$89,3,0)*0.475*44/12</f>
        <v>6.9979421121698429E-3</v>
      </c>
      <c r="BS56" s="22">
        <f t="shared" si="9"/>
        <v>10.895242691945535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9.6999999999999993</v>
      </c>
      <c r="BY56" s="12">
        <f>IF('Données projet'!$A$114&gt;35,BY55+BX56-CG55,IF(A56&lt;'Données projet'!$A$114,$BV$205^A56,IF(A56='Données projet'!$A$114,'Données projet'!$B$114,BY55+BX56-CG55)))</f>
        <v>277.10000000000002</v>
      </c>
      <c r="BZ56" s="13">
        <f>BY56*VLOOKUP('Données projet'!$B$12,Paramètres!$A$1:$I$89,3,0)*VLOOKUP('Données projet'!$B$12,Paramètres!$A$1:$I$89,5,0)</f>
        <v>216.13800000000003</v>
      </c>
      <c r="CA56" s="13">
        <f t="shared" si="39"/>
        <v>53.274635867181686</v>
      </c>
      <c r="CB56" s="20">
        <f t="shared" si="10"/>
        <v>469.22700746867486</v>
      </c>
      <c r="CC56" s="59">
        <f t="shared" si="11"/>
        <v>762.56034080200811</v>
      </c>
      <c r="CD56" s="59">
        <f ca="1">AVERAGE(OFFSET($CC$3,0,0,'Données projet'!$E$12+1,1))-AVERAGE(OFFSET($H$3,0,0,'Données projet'!$E$12+1,1))</f>
        <v>266.30229009596883</v>
      </c>
      <c r="CE56" s="59">
        <f t="shared" si="40"/>
        <v>270.19195828386046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0.91696986681349402</v>
      </c>
      <c r="CL56" s="21">
        <f>EXP(-LN(2)/25)*CL55+(1-EXP(-LN(2)/25))/(LN(2)/25)*Calculateur!CG56*Calculateur!CI56*VLOOKUP('Données projet'!$B$12,Paramètres!$A$1:$I$89,3,0)*0.475*44/12</f>
        <v>4.4240023637597199</v>
      </c>
      <c r="CM56" s="21">
        <f>EXP(-LN(2)/2)*CM55+(1-EXP(-LN(2)/2))/(LN(2)/2)*CG56*CJ56*VLOOKUP('Données projet'!$B$12,Paramètres!$A$1:$I$89,3,0)*0.475*44/12</f>
        <v>4.5130467436206587E-3</v>
      </c>
      <c r="CN56" s="22">
        <f t="shared" si="12"/>
        <v>5.3454852773168344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6.8</v>
      </c>
      <c r="CT56" s="12">
        <f>IF('Données projet'!$A$140&gt;35,CT55+CS56-DB55,IF(A56&lt;'Données projet'!$A$140,$CQ$205^A56,IF(A56='Données projet'!$A$140,'Données projet'!$B$140,CT55+CS56-DB55)))</f>
        <v>262.39999999999986</v>
      </c>
      <c r="CU56" s="17">
        <f>CT56*VLOOKUP('Données projet'!$B$13,Paramètres!$A$1:$I$89,3,0)*VLOOKUP('Données projet'!$B$13,Paramètres!$A$1:$I$89,5,0)</f>
        <v>208.7654399999999</v>
      </c>
      <c r="CV56" s="13">
        <f t="shared" si="41"/>
        <v>51.665710768737398</v>
      </c>
      <c r="CW56" s="20">
        <f t="shared" si="13"/>
        <v>453.58425425555083</v>
      </c>
      <c r="CX56" s="59">
        <f t="shared" si="14"/>
        <v>746.91758758888409</v>
      </c>
      <c r="CY56" s="59">
        <f ca="1">AVERAGE(OFFSET($CX$3,0,0,'Données projet'!$E$13+1,1))-AVERAGE(OFFSET($H$3,0,0,'Données projet'!$E$13+1,1))</f>
        <v>260.20517190557814</v>
      </c>
      <c r="CZ56" s="59">
        <f t="shared" si="42"/>
        <v>307.22009971147133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2.0691695706592874</v>
      </c>
      <c r="DG56" s="21">
        <f>EXP(-LN(2)/25)*DG55+(1-EXP(-LN(2)/25))/(LN(2)/25)*Calculateur!DB56*Calculateur!DD56*VLOOKUP('Données projet'!$B$13,Paramètres!$A$1:$I$89,3,0)*0.475*44/12</f>
        <v>10.844795132631443</v>
      </c>
      <c r="DH56" s="21">
        <f>EXP(-LN(2)/2)*DH55+(1-EXP(-LN(2)/2))/(LN(2)/2)*DB56*DE56*VLOOKUP('Données projet'!$B$13,Paramètres!$A$1:$I$89,3,0)*0.475*44/12</f>
        <v>8.2998848307130699E-3</v>
      </c>
      <c r="DI56" s="22">
        <f t="shared" si="15"/>
        <v>12.922264588121443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9.8000000000000007</v>
      </c>
      <c r="DO56" s="12">
        <f>IF('Données projet'!$A$166&gt;35,DO55+DN56-DW55,IF(A56&lt;'Données projet'!$A$166,$DL$205^A56,IF(A56='Données projet'!$A$166,'Données projet'!$B$166,DO55+DN56-DW55)))</f>
        <v>232.39999999999992</v>
      </c>
      <c r="DP56" s="17">
        <f>DO56*VLOOKUP('Données projet'!$B$14,Paramètres!$A$1:$I$89,3,0)*VLOOKUP('Données projet'!$B$14,Paramètres!$A$1:$I$89,5,0)</f>
        <v>224.77727999999991</v>
      </c>
      <c r="DQ56" s="13">
        <f t="shared" si="43"/>
        <v>55.151902174183448</v>
      </c>
      <c r="DR56" s="20">
        <f t="shared" si="16"/>
        <v>487.54332562003589</v>
      </c>
      <c r="DS56" s="59">
        <f t="shared" si="17"/>
        <v>780.8766589533692</v>
      </c>
      <c r="DT56" s="59">
        <f ca="1">AVERAGE(OFFSET($DS$3,0,0,'Données projet'!$E$14+1,1))-AVERAGE(OFFSET($H$3,0,0,'Données projet'!$E$14+1,1))</f>
        <v>347.8889410585312</v>
      </c>
      <c r="DU56" s="59">
        <f t="shared" si="44"/>
        <v>254.78167322479203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1.63267660388536</v>
      </c>
      <c r="EB56" s="21">
        <f>EXP(-LN(2)/25)*EB55+(1-EXP(-LN(2)/25))/(LN(2)/25)*Calculateur!DW56*Calculateur!DY56*VLOOKUP('Données projet'!$B$14,Paramètres!$A$1:$I$89,3,0)*0.475*44/12</f>
        <v>6.3743175953313438</v>
      </c>
      <c r="EC56" s="21">
        <f>EXP(-LN(2)/2)*EC55+(1-EXP(-LN(2)/2))/(LN(2)/2)*DW56*DZ56*VLOOKUP('Données projet'!$B$14,Paramètres!$A$1:$I$89,3,0)*0.475*44/12</f>
        <v>7.9548731865438562E-3</v>
      </c>
      <c r="ED56" s="22">
        <f t="shared" si="18"/>
        <v>8.0149490724032475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9.8000000000000007</v>
      </c>
      <c r="EJ56" s="12">
        <f>IF('Données projet'!$A$192&gt;35,EJ55+EI56-ER55,IF(A56&lt;'Données projet'!$A$192,$EG$205^A56,IF(A56='Données projet'!$A$192,'Données projet'!$B$192,EJ55+EI56-ER55)))</f>
        <v>232.39999999999992</v>
      </c>
      <c r="EK56" s="17">
        <f>EJ56*VLOOKUP('Données projet'!$B$15,Paramètres!$A$1:$I$89,3,0)*VLOOKUP('Données projet'!$B$15,Paramètres!$A$1:$I$89,5,0)</f>
        <v>250.15535999999992</v>
      </c>
      <c r="EL56" s="13">
        <f t="shared" si="45"/>
        <v>60.619207655122857</v>
      </c>
      <c r="EM56" s="20">
        <f t="shared" si="19"/>
        <v>541.26570533267216</v>
      </c>
      <c r="EN56" s="59">
        <f t="shared" si="20"/>
        <v>834.59903866600553</v>
      </c>
      <c r="EO56" s="59">
        <f ca="1">AVERAGE(OFFSET($EN$3,0,0,'Données projet'!$E$15+1,1))-AVERAGE(OFFSET($H$3,0,0,'Données projet'!$E$15+1,1))</f>
        <v>399.38728019348088</v>
      </c>
      <c r="EP56" s="59">
        <f t="shared" si="46"/>
        <v>289.54922160039791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1.8170110591627386</v>
      </c>
      <c r="EW56" s="21">
        <f>EXP(-LN(2)/25)*EW55+(1-EXP(-LN(2)/25))/(LN(2)/25)*Calculateur!ER56*Calculateur!ET56*VLOOKUP('Données projet'!$B$15,Paramètres!$A$1:$I$89,3,0)*0.475*44/12</f>
        <v>7.0939986141590792</v>
      </c>
      <c r="EX56" s="21">
        <f>EXP(-LN(2)/2)*EX55+(1-EXP(-LN(2)/2))/(LN(2)/2)*ER56*EU56*VLOOKUP('Données projet'!$B$15,Paramètres!$A$1:$I$89,3,0)*0.475*44/12</f>
        <v>8.8530040301859052E-3</v>
      </c>
      <c r="EY56" s="22">
        <f t="shared" si="21"/>
        <v>8.919862677352004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9.8000000000000007</v>
      </c>
      <c r="N57" s="13">
        <f>IF('Données projet'!$A$36&gt;35,N56+M57-V56,IF(A57&lt;'Données projet'!$A$36,$K$205^A57,IF(A57='Données projet'!$A$36,'Données projet'!$B$36,N56+M57-V56)))</f>
        <v>242.19999999999993</v>
      </c>
      <c r="O57" s="13">
        <f>N57*VLOOKUP('Données projet'!$B$9,Paramètres!$A$1:$I$89,3,0)*VLOOKUP('Données projet'!$B$9,Paramètres!$A$1:$I$89,5,0)</f>
        <v>219.14255999999992</v>
      </c>
      <c r="P57" s="13">
        <f t="shared" si="33"/>
        <v>53.928483039139707</v>
      </c>
      <c r="Q57" s="20">
        <f t="shared" si="53"/>
        <v>475.59873329316815</v>
      </c>
      <c r="R57" s="59">
        <f t="shared" si="0"/>
        <v>768.93206662650141</v>
      </c>
      <c r="S57" s="59">
        <f ca="1">AVERAGE(OFFSET($R$3,0,0,'Données projet'!$E$9+1,1))-AVERAGE(OFFSET($H$3,0,0,'Données projet'!$E$9+1,1))</f>
        <v>318.40875902853116</v>
      </c>
      <c r="T57" s="59">
        <f t="shared" si="34"/>
        <v>234.87694492493506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1.4973923720648192</v>
      </c>
      <c r="AA57" s="21">
        <f>EXP(-LN(2)/25)*AA56+(1-EXP(-LN(2)/25))/(LN(2)/25)*Calculateur!V57*Calculateur!X57*VLOOKUP('Données projet'!$B$9,Paramètres!$A$1:$I$89,3,0)*0.475*44/12</f>
        <v>5.8000108006067794</v>
      </c>
      <c r="AB57" s="21">
        <f>EXP(-LN(2)/2)*AB56+(1-EXP(-LN(2)/2))/(LN(2)/2)*V57*Y57*VLOOKUP('Données projet'!$B$9,Paramètres!$A$1:$I$89,3,0)*0.475*44/12</f>
        <v>5.2620451108658728E-3</v>
      </c>
      <c r="AC57" s="22">
        <f t="shared" si="3"/>
        <v>7.3026652177824651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7.2</v>
      </c>
      <c r="AI57" s="13">
        <f>IF('Données projet'!$A$62&gt;35,AI56+AH57-AQ56,IF(A57&lt;'Données projet'!$A$62,$AF$205^A57,IF(A57='Données projet'!$A$62,'Données projet'!$B$62,AI56+AH57-AQ56)))</f>
        <v>227.8</v>
      </c>
      <c r="AJ57" s="13">
        <f>AI57*VLOOKUP('Données projet'!$B$10,Paramètres!$A$1:$I$89,3,0)*VLOOKUP('Données projet'!$B$10,Paramètres!$A$1:$I$89,5,0)</f>
        <v>199.00608000000003</v>
      </c>
      <c r="AK57" s="13">
        <f t="shared" si="35"/>
        <v>49.525670897515027</v>
      </c>
      <c r="AL57" s="20">
        <f t="shared" si="4"/>
        <v>432.85946614650538</v>
      </c>
      <c r="AM57" s="59">
        <f t="shared" si="5"/>
        <v>726.19279947983864</v>
      </c>
      <c r="AN57" s="59">
        <f ca="1">AVERAGE(OFFSET($AM$3,0,0,'Données projet'!$E$10+1,1))-AVERAGE(OFFSET($H$3,0,0,'Données projet'!$E$10+1,1))</f>
        <v>243.38048563215585</v>
      </c>
      <c r="AO57" s="59">
        <f t="shared" si="36"/>
        <v>372.1604147006675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4.5438113359208314</v>
      </c>
      <c r="AV57" s="21">
        <f>EXP(-LN(2)/25)*AV56+(1-EXP(-LN(2)/25))/(LN(2)/25)*Calculateur!AQ57*Calculateur!AS57*VLOOKUP('Données projet'!$B$10,Paramètres!$A$1:$I$89,3,0)*0.475*44/12</f>
        <v>9.9533902469263165</v>
      </c>
      <c r="AW57" s="21">
        <f>EXP(-LN(2)/2)*AW56+(1-EXP(-LN(2)/2))/(LN(2)/2)*AQ57*AT57*VLOOKUP('Données projet'!$B$10,Paramètres!$A$1:$I$89,3,0)*0.475*44/12</f>
        <v>7.1569675813384186E-3</v>
      </c>
      <c r="AX57" s="21">
        <f t="shared" si="6"/>
        <v>14.504358550428485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269.19999999999987</v>
      </c>
      <c r="BE57" s="13">
        <f>BD57*VLOOKUP('Données projet'!$B$11,Paramètres!$A$1:$I$89,3,0)*VLOOKUP('Données projet'!$B$11,Paramètres!$A$1:$I$89,5,0)</f>
        <v>180.57935999999992</v>
      </c>
      <c r="BF57" s="13">
        <f t="shared" si="37"/>
        <v>45.451058975564287</v>
      </c>
      <c r="BG57" s="20">
        <f t="shared" si="7"/>
        <v>393.66964638244093</v>
      </c>
      <c r="BH57" s="59">
        <f t="shared" si="8"/>
        <v>687.00297971577425</v>
      </c>
      <c r="BI57" s="59">
        <f ca="1">AVERAGE(OFFSET($BH$3,0,0,'Données projet'!$E$11+1,1))-AVERAGE(OFFSET($H$3,0,0,'Données projet'!$E$11+1,1))</f>
        <v>207.93042467236967</v>
      </c>
      <c r="BJ57" s="59">
        <f t="shared" si="38"/>
        <v>250.70954318710835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1.7103835284361086</v>
      </c>
      <c r="BQ57" s="21">
        <f>EXP(-LN(2)/25)*BQ56+(1-EXP(-LN(2)/25))/(LN(2)/25)*Calculateur!BL57*Calculateur!BN57*VLOOKUP('Données projet'!$B$11,Paramètres!$A$1:$I$89,3,0)*0.475*44/12</f>
        <v>8.8936171861832563</v>
      </c>
      <c r="BR57" s="21">
        <f>EXP(-LN(2)/2)*BR56+(1-EXP(-LN(2)/2))/(LN(2)/2)*BL57*BO57*VLOOKUP('Données projet'!$B$11,Paramètres!$A$1:$I$89,3,0)*0.475*44/12</f>
        <v>4.9482923218662073E-3</v>
      </c>
      <c r="BS57" s="22">
        <f t="shared" si="9"/>
        <v>10.608949006941232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9.6999999999999993</v>
      </c>
      <c r="BY57" s="12">
        <f>IF('Données projet'!$A$114&gt;35,BY56+BX57-CG56,IF(A57&lt;'Données projet'!$A$114,$BV$205^A57,IF(A57='Données projet'!$A$114,'Données projet'!$B$114,BY56+BX57-CG56)))</f>
        <v>286.8</v>
      </c>
      <c r="BZ57" s="13">
        <f>BY57*VLOOKUP('Données projet'!$B$12,Paramètres!$A$1:$I$89,3,0)*VLOOKUP('Données projet'!$B$12,Paramètres!$A$1:$I$89,5,0)</f>
        <v>223.70400000000001</v>
      </c>
      <c r="CA57" s="13">
        <f t="shared" si="39"/>
        <v>54.919147873047578</v>
      </c>
      <c r="CB57" s="20">
        <f t="shared" si="10"/>
        <v>485.26864921222455</v>
      </c>
      <c r="CC57" s="59">
        <f t="shared" si="11"/>
        <v>778.6019825455578</v>
      </c>
      <c r="CD57" s="59">
        <f ca="1">AVERAGE(OFFSET($CC$3,0,0,'Données projet'!$E$12+1,1))-AVERAGE(OFFSET($H$3,0,0,'Données projet'!$E$12+1,1))</f>
        <v>266.30229009596883</v>
      </c>
      <c r="CE57" s="59">
        <f t="shared" si="40"/>
        <v>270.19195828386046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0.89898864702167425</v>
      </c>
      <c r="CL57" s="21">
        <f>EXP(-LN(2)/25)*CL56+(1-EXP(-LN(2)/25))/(LN(2)/25)*Calculateur!CG57*Calculateur!CI57*VLOOKUP('Données projet'!$B$12,Paramètres!$A$1:$I$89,3,0)*0.475*44/12</f>
        <v>4.3030277864745372</v>
      </c>
      <c r="CM57" s="21">
        <f>EXP(-LN(2)/2)*CM56+(1-EXP(-LN(2)/2))/(LN(2)/2)*CG57*CJ57*VLOOKUP('Données projet'!$B$12,Paramètres!$A$1:$I$89,3,0)*0.475*44/12</f>
        <v>3.191205956226034E-3</v>
      </c>
      <c r="CN57" s="22">
        <f t="shared" si="12"/>
        <v>5.2052076394524383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6.8</v>
      </c>
      <c r="CT57" s="12">
        <f>IF('Données projet'!$A$140&gt;35,CT56+CS57-DB56,IF(A57&lt;'Données projet'!$A$140,$CQ$205^A57,IF(A57='Données projet'!$A$140,'Données projet'!$B$140,CT56+CS57-DB56)))</f>
        <v>269.19999999999987</v>
      </c>
      <c r="CU57" s="17">
        <f>CT57*VLOOKUP('Données projet'!$B$13,Paramètres!$A$1:$I$89,3,0)*VLOOKUP('Données projet'!$B$13,Paramètres!$A$1:$I$89,5,0)</f>
        <v>214.17551999999992</v>
      </c>
      <c r="CV57" s="13">
        <f t="shared" si="41"/>
        <v>52.846993696165399</v>
      </c>
      <c r="CW57" s="20">
        <f t="shared" si="13"/>
        <v>465.06421135415462</v>
      </c>
      <c r="CX57" s="59">
        <f t="shared" si="14"/>
        <v>758.39754468748788</v>
      </c>
      <c r="CY57" s="59">
        <f ca="1">AVERAGE(OFFSET($CX$3,0,0,'Données projet'!$E$13+1,1))-AVERAGE(OFFSET($H$3,0,0,'Données projet'!$E$13+1,1))</f>
        <v>260.20517190557814</v>
      </c>
      <c r="CZ57" s="59">
        <f t="shared" si="42"/>
        <v>307.22009971147133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2.0285944174474779</v>
      </c>
      <c r="DG57" s="21">
        <f>EXP(-LN(2)/25)*DG56+(1-EXP(-LN(2)/25))/(LN(2)/25)*Calculateur!DB57*Calculateur!DD57*VLOOKUP('Données projet'!$B$13,Paramètres!$A$1:$I$89,3,0)*0.475*44/12</f>
        <v>10.548243639426646</v>
      </c>
      <c r="DH57" s="21">
        <f>EXP(-LN(2)/2)*DH56+(1-EXP(-LN(2)/2))/(LN(2)/2)*DB57*DE57*VLOOKUP('Données projet'!$B$13,Paramètres!$A$1:$I$89,3,0)*0.475*44/12</f>
        <v>5.8689048468645718E-3</v>
      </c>
      <c r="DI57" s="22">
        <f t="shared" si="15"/>
        <v>12.582706961720989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9.8000000000000007</v>
      </c>
      <c r="DO57" s="12">
        <f>IF('Données projet'!$A$166&gt;35,DO56+DN57-DW56,IF(A57&lt;'Données projet'!$A$166,$DL$205^A57,IF(A57='Données projet'!$A$166,'Données projet'!$B$166,DO56+DN57-DW56)))</f>
        <v>242.19999999999993</v>
      </c>
      <c r="DP57" s="17">
        <f>DO57*VLOOKUP('Données projet'!$B$14,Paramètres!$A$1:$I$89,3,0)*VLOOKUP('Données projet'!$B$14,Paramètres!$A$1:$I$89,5,0)</f>
        <v>234.25583999999995</v>
      </c>
      <c r="DQ57" s="13">
        <f t="shared" si="43"/>
        <v>57.201909410446412</v>
      </c>
      <c r="DR57" s="20">
        <f t="shared" si="16"/>
        <v>507.62224688986066</v>
      </c>
      <c r="DS57" s="59">
        <f t="shared" si="17"/>
        <v>800.95558022319392</v>
      </c>
      <c r="DT57" s="59">
        <f ca="1">AVERAGE(OFFSET($DS$3,0,0,'Données projet'!$E$14+1,1))-AVERAGE(OFFSET($H$3,0,0,'Données projet'!$E$14+1,1))</f>
        <v>347.8889410585312</v>
      </c>
      <c r="DU57" s="59">
        <f t="shared" si="44"/>
        <v>254.78167322479203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1.600660811517566</v>
      </c>
      <c r="EB57" s="21">
        <f>EXP(-LN(2)/25)*EB56+(1-EXP(-LN(2)/25))/(LN(2)/25)*Calculateur!DW57*Calculateur!DY57*VLOOKUP('Données projet'!$B$14,Paramètres!$A$1:$I$89,3,0)*0.475*44/12</f>
        <v>6.2000115454762144</v>
      </c>
      <c r="EC57" s="21">
        <f>EXP(-LN(2)/2)*EC56+(1-EXP(-LN(2)/2))/(LN(2)/2)*DW57*DZ57*VLOOKUP('Données projet'!$B$14,Paramètres!$A$1:$I$89,3,0)*0.475*44/12</f>
        <v>5.6249447736842007E-3</v>
      </c>
      <c r="ED57" s="22">
        <f t="shared" si="18"/>
        <v>7.8062973017674651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9.8000000000000007</v>
      </c>
      <c r="EJ57" s="12">
        <f>IF('Données projet'!$A$192&gt;35,EJ56+EI57-ER56,IF(A57&lt;'Données projet'!$A$192,$EG$205^A57,IF(A57='Données projet'!$A$192,'Données projet'!$B$192,EJ56+EI57-ER56)))</f>
        <v>242.19999999999993</v>
      </c>
      <c r="EK57" s="17">
        <f>EJ57*VLOOKUP('Données projet'!$B$15,Paramètres!$A$1:$I$89,3,0)*VLOOKUP('Données projet'!$B$15,Paramètres!$A$1:$I$89,5,0)</f>
        <v>260.70407999999992</v>
      </c>
      <c r="EL57" s="13">
        <f t="shared" si="45"/>
        <v>62.872435729778509</v>
      </c>
      <c r="EM57" s="20">
        <f t="shared" si="19"/>
        <v>563.56243156269738</v>
      </c>
      <c r="EN57" s="59">
        <f t="shared" si="20"/>
        <v>856.89576489603064</v>
      </c>
      <c r="EO57" s="59">
        <f ca="1">AVERAGE(OFFSET($EN$3,0,0,'Données projet'!$E$15+1,1))-AVERAGE(OFFSET($H$3,0,0,'Données projet'!$E$15+1,1))</f>
        <v>399.38728019348088</v>
      </c>
      <c r="EP57" s="59">
        <f t="shared" si="46"/>
        <v>289.54922160039791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1.781380580559871</v>
      </c>
      <c r="EW57" s="21">
        <f>EXP(-LN(2)/25)*EW56+(1-EXP(-LN(2)/25))/(LN(2)/25)*Calculateur!ER57*Calculateur!ET57*VLOOKUP('Données projet'!$B$15,Paramètres!$A$1:$I$89,3,0)*0.475*44/12</f>
        <v>6.9000128489977257</v>
      </c>
      <c r="EX57" s="21">
        <f>EXP(-LN(2)/2)*EX56+(1-EXP(-LN(2)/2))/(LN(2)/2)*ER57*EU57*VLOOKUP('Données projet'!$B$15,Paramètres!$A$1:$I$89,3,0)*0.475*44/12</f>
        <v>6.2600191836162883E-3</v>
      </c>
      <c r="EY57" s="22">
        <f t="shared" si="21"/>
        <v>8.6876534487412123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9.8000000000000007</v>
      </c>
      <c r="N58" s="13">
        <f>IF('Données projet'!$A$36&gt;35,N57+M58-V57,IF(A58&lt;'Données projet'!$A$36,$K$205^A58,IF(A58='Données projet'!$A$36,'Données projet'!$B$36,N57+M58-V57)))</f>
        <v>251.99999999999994</v>
      </c>
      <c r="O58" s="13">
        <f>N58*VLOOKUP('Données projet'!$B$9,Paramètres!$A$1:$I$89,3,0)*VLOOKUP('Données projet'!$B$9,Paramètres!$A$1:$I$89,5,0)</f>
        <v>228.00959999999995</v>
      </c>
      <c r="P58" s="13">
        <f t="shared" si="33"/>
        <v>55.852093054619829</v>
      </c>
      <c r="Q58" s="20">
        <f t="shared" si="53"/>
        <v>494.3924487367961</v>
      </c>
      <c r="R58" s="59">
        <f t="shared" si="0"/>
        <v>787.72578207012941</v>
      </c>
      <c r="S58" s="59">
        <f ca="1">AVERAGE(OFFSET($R$3,0,0,'Données projet'!$E$9+1,1))-AVERAGE(OFFSET($H$3,0,0,'Données projet'!$E$9+1,1))</f>
        <v>318.40875902853116</v>
      </c>
      <c r="T58" s="59">
        <f t="shared" si="34"/>
        <v>234.87694492493506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1.4680294209677922</v>
      </c>
      <c r="AA58" s="21">
        <f>EXP(-LN(2)/25)*AA57+(1-EXP(-LN(2)/25))/(LN(2)/25)*Calculateur!V58*Calculateur!X58*VLOOKUP('Données projet'!$B$9,Paramètres!$A$1:$I$89,3,0)*0.475*44/12</f>
        <v>5.6414092002548752</v>
      </c>
      <c r="AB58" s="21">
        <f>EXP(-LN(2)/2)*AB57+(1-EXP(-LN(2)/2))/(LN(2)/2)*V58*Y58*VLOOKUP('Données projet'!$B$9,Paramètres!$A$1:$I$89,3,0)*0.475*44/12</f>
        <v>3.7208277808027774E-3</v>
      </c>
      <c r="AC58" s="22">
        <f t="shared" si="3"/>
        <v>7.1131594490034695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7.2</v>
      </c>
      <c r="AI58" s="13">
        <f>IF('Données projet'!$A$62&gt;35,AI57+AH58-AQ57,IF(A58&lt;'Données projet'!$A$62,$AF$205^A58,IF(A58='Données projet'!$A$62,'Données projet'!$B$62,AI57+AH58-AQ57)))</f>
        <v>235</v>
      </c>
      <c r="AJ58" s="13">
        <f>AI58*VLOOKUP('Données projet'!$B$10,Paramètres!$A$1:$I$89,3,0)*VLOOKUP('Données projet'!$B$10,Paramètres!$A$1:$I$89,5,0)</f>
        <v>205.29600000000005</v>
      </c>
      <c r="AK58" s="13">
        <f t="shared" si="35"/>
        <v>50.906291934375396</v>
      </c>
      <c r="AL58" s="20">
        <f t="shared" si="4"/>
        <v>446.21899178570385</v>
      </c>
      <c r="AM58" s="59">
        <f t="shared" si="5"/>
        <v>739.55232511903716</v>
      </c>
      <c r="AN58" s="59">
        <f ca="1">AVERAGE(OFFSET($AM$3,0,0,'Données projet'!$E$10+1,1))-AVERAGE(OFFSET($H$3,0,0,'Données projet'!$E$10+1,1))</f>
        <v>243.38048563215585</v>
      </c>
      <c r="AO58" s="59">
        <f t="shared" si="36"/>
        <v>372.1604147006675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4.454709967074681</v>
      </c>
      <c r="AV58" s="21">
        <f>EXP(-LN(2)/25)*AV57+(1-EXP(-LN(2)/25))/(LN(2)/25)*Calculateur!AQ58*Calculateur!AS58*VLOOKUP('Données projet'!$B$10,Paramètres!$A$1:$I$89,3,0)*0.475*44/12</f>
        <v>9.6812142671980723</v>
      </c>
      <c r="AW58" s="21">
        <f>EXP(-LN(2)/2)*AW57+(1-EXP(-LN(2)/2))/(LN(2)/2)*AQ58*AT58*VLOOKUP('Données projet'!$B$10,Paramètres!$A$1:$I$89,3,0)*0.475*44/12</f>
        <v>5.0607403094966794E-3</v>
      </c>
      <c r="AX58" s="21">
        <f t="shared" si="6"/>
        <v>14.140984974582251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275.99999999999989</v>
      </c>
      <c r="BE58" s="13">
        <f>BD58*VLOOKUP('Données projet'!$B$11,Paramètres!$A$1:$I$89,3,0)*VLOOKUP('Données projet'!$B$11,Paramètres!$A$1:$I$89,5,0)</f>
        <v>185.14079999999993</v>
      </c>
      <c r="BF58" s="13">
        <f t="shared" si="37"/>
        <v>46.464038253813463</v>
      </c>
      <c r="BG58" s="20">
        <f t="shared" si="7"/>
        <v>403.37842662539168</v>
      </c>
      <c r="BH58" s="59">
        <f t="shared" si="8"/>
        <v>696.711759958725</v>
      </c>
      <c r="BI58" s="59">
        <f ca="1">AVERAGE(OFFSET($BH$3,0,0,'Données projet'!$E$11+1,1))-AVERAGE(OFFSET($H$3,0,0,'Données projet'!$E$11+1,1))</f>
        <v>207.93042467236967</v>
      </c>
      <c r="BJ58" s="59">
        <f t="shared" si="38"/>
        <v>250.70954318710835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1.6768439506744184</v>
      </c>
      <c r="BQ58" s="21">
        <f>EXP(-LN(2)/25)*BQ57+(1-EXP(-LN(2)/25))/(LN(2)/25)*Calculateur!BL58*Calculateur!BN58*VLOOKUP('Données projet'!$B$11,Paramètres!$A$1:$I$89,3,0)*0.475*44/12</f>
        <v>8.6504207565320748</v>
      </c>
      <c r="BR58" s="21">
        <f>EXP(-LN(2)/2)*BR57+(1-EXP(-LN(2)/2))/(LN(2)/2)*BL58*BO58*VLOOKUP('Données projet'!$B$11,Paramètres!$A$1:$I$89,3,0)*0.475*44/12</f>
        <v>3.4989710560849215E-3</v>
      </c>
      <c r="BS58" s="22">
        <f t="shared" si="9"/>
        <v>10.33076367826258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9.6999999999999993</v>
      </c>
      <c r="BY58" s="12">
        <f>IF('Données projet'!$A$114&gt;35,BY57+BX58-CG57,IF(A58&lt;'Données projet'!$A$114,$BV$205^A58,IF(A58='Données projet'!$A$114,'Données projet'!$B$114,BY57+BX58-CG57)))</f>
        <v>296.5</v>
      </c>
      <c r="BZ58" s="13">
        <f>BY58*VLOOKUP('Données projet'!$B$12,Paramètres!$A$1:$I$89,3,0)*VLOOKUP('Données projet'!$B$12,Paramètres!$A$1:$I$89,5,0)</f>
        <v>231.27</v>
      </c>
      <c r="CA58" s="13">
        <f t="shared" si="39"/>
        <v>56.557197156476896</v>
      </c>
      <c r="CB58" s="20">
        <f t="shared" si="10"/>
        <v>501.29903504753059</v>
      </c>
      <c r="CC58" s="59">
        <f t="shared" si="11"/>
        <v>794.63236838086391</v>
      </c>
      <c r="CD58" s="59">
        <f ca="1">AVERAGE(OFFSET($CC$3,0,0,'Données projet'!$E$12+1,1))-AVERAGE(OFFSET($H$3,0,0,'Données projet'!$E$12+1,1))</f>
        <v>266.30229009596883</v>
      </c>
      <c r="CE58" s="59">
        <f t="shared" si="40"/>
        <v>270.19195828386046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0.8813600279825109</v>
      </c>
      <c r="CL58" s="21">
        <f>EXP(-LN(2)/25)*CL57+(1-EXP(-LN(2)/25))/(LN(2)/25)*Calculateur!CG58*Calculateur!CI58*VLOOKUP('Données projet'!$B$12,Paramètres!$A$1:$I$89,3,0)*0.475*44/12</f>
        <v>4.1853612653669945</v>
      </c>
      <c r="CM58" s="21">
        <f>EXP(-LN(2)/2)*CM57+(1-EXP(-LN(2)/2))/(LN(2)/2)*CG58*CJ58*VLOOKUP('Données projet'!$B$12,Paramètres!$A$1:$I$89,3,0)*0.475*44/12</f>
        <v>2.2565233718103293E-3</v>
      </c>
      <c r="CN58" s="22">
        <f t="shared" si="12"/>
        <v>5.0689778167213158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6.8</v>
      </c>
      <c r="CT58" s="12">
        <f>IF('Données projet'!$A$140&gt;35,CT57+CS58-DB57,IF(A58&lt;'Données projet'!$A$140,$CQ$205^A58,IF(A58='Données projet'!$A$140,'Données projet'!$B$140,CT57+CS58-DB57)))</f>
        <v>275.99999999999989</v>
      </c>
      <c r="CU58" s="17">
        <f>CT58*VLOOKUP('Données projet'!$B$13,Paramètres!$A$1:$I$89,3,0)*VLOOKUP('Données projet'!$B$13,Paramètres!$A$1:$I$89,5,0)</f>
        <v>219.58559999999991</v>
      </c>
      <c r="CV58" s="13">
        <f t="shared" si="41"/>
        <v>54.024808047218549</v>
      </c>
      <c r="CW58" s="20">
        <f t="shared" si="13"/>
        <v>476.53812734890556</v>
      </c>
      <c r="CX58" s="59">
        <f t="shared" si="14"/>
        <v>769.87146068223888</v>
      </c>
      <c r="CY58" s="59">
        <f ca="1">AVERAGE(OFFSET($CX$3,0,0,'Données projet'!$E$13+1,1))-AVERAGE(OFFSET($H$3,0,0,'Données projet'!$E$13+1,1))</f>
        <v>260.20517190557814</v>
      </c>
      <c r="CZ58" s="59">
        <f t="shared" si="42"/>
        <v>307.22009971147133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1.9888149182417523</v>
      </c>
      <c r="DG58" s="21">
        <f>EXP(-LN(2)/25)*DG57+(1-EXP(-LN(2)/25))/(LN(2)/25)*Calculateur!DB58*Calculateur!DD58*VLOOKUP('Données projet'!$B$13,Paramètres!$A$1:$I$89,3,0)*0.475*44/12</f>
        <v>10.2598013623985</v>
      </c>
      <c r="DH58" s="21">
        <f>EXP(-LN(2)/2)*DH57+(1-EXP(-LN(2)/2))/(LN(2)/2)*DB58*DE58*VLOOKUP('Données projet'!$B$13,Paramètres!$A$1:$I$89,3,0)*0.475*44/12</f>
        <v>4.149942415356535E-3</v>
      </c>
      <c r="DI58" s="22">
        <f t="shared" si="15"/>
        <v>12.252766223055609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9.8000000000000007</v>
      </c>
      <c r="DO58" s="12">
        <f>IF('Données projet'!$A$166&gt;35,DO57+DN58-DW57,IF(A58&lt;'Données projet'!$A$166,$DL$205^A58,IF(A58='Données projet'!$A$166,'Données projet'!$B$166,DO57+DN58-DW57)))</f>
        <v>251.99999999999994</v>
      </c>
      <c r="DP58" s="17">
        <f>DO58*VLOOKUP('Données projet'!$B$14,Paramètres!$A$1:$I$89,3,0)*VLOOKUP('Données projet'!$B$14,Paramètres!$A$1:$I$89,5,0)</f>
        <v>243.73439999999994</v>
      </c>
      <c r="DQ58" s="13">
        <f t="shared" si="43"/>
        <v>59.242281392848767</v>
      </c>
      <c r="DR58" s="20">
        <f t="shared" si="16"/>
        <v>527.68438675921141</v>
      </c>
      <c r="DS58" s="59">
        <f t="shared" si="17"/>
        <v>821.01772009254478</v>
      </c>
      <c r="DT58" s="59">
        <f ca="1">AVERAGE(OFFSET($DS$3,0,0,'Données projet'!$E$14+1,1))-AVERAGE(OFFSET($H$3,0,0,'Données projet'!$E$14+1,1))</f>
        <v>347.8889410585312</v>
      </c>
      <c r="DU58" s="59">
        <f t="shared" si="44"/>
        <v>254.78167322479203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1.5692728293103992</v>
      </c>
      <c r="EB58" s="21">
        <f>EXP(-LN(2)/25)*EB57+(1-EXP(-LN(2)/25))/(LN(2)/25)*Calculateur!DW58*Calculateur!DY58*VLOOKUP('Données projet'!$B$14,Paramètres!$A$1:$I$89,3,0)*0.475*44/12</f>
        <v>6.0304719037207306</v>
      </c>
      <c r="EC58" s="21">
        <f>EXP(-LN(2)/2)*EC57+(1-EXP(-LN(2)/2))/(LN(2)/2)*DW58*DZ58*VLOOKUP('Données projet'!$B$14,Paramètres!$A$1:$I$89,3,0)*0.475*44/12</f>
        <v>3.9774365932719281E-3</v>
      </c>
      <c r="ED58" s="22">
        <f t="shared" si="18"/>
        <v>7.6037221696244019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9.8000000000000007</v>
      </c>
      <c r="EJ58" s="12">
        <f>IF('Données projet'!$A$192&gt;35,EJ57+EI58-ER57,IF(A58&lt;'Données projet'!$A$192,$EG$205^A58,IF(A58='Données projet'!$A$192,'Données projet'!$B$192,EJ57+EI58-ER57)))</f>
        <v>251.99999999999994</v>
      </c>
      <c r="EK58" s="17">
        <f>EJ58*VLOOKUP('Données projet'!$B$15,Paramètres!$A$1:$I$89,3,0)*VLOOKUP('Données projet'!$B$15,Paramètres!$A$1:$I$89,5,0)</f>
        <v>271.25279999999992</v>
      </c>
      <c r="EL58" s="13">
        <f t="shared" si="45"/>
        <v>65.115073390838859</v>
      </c>
      <c r="EM58" s="20">
        <f t="shared" si="19"/>
        <v>585.84071282237755</v>
      </c>
      <c r="EN58" s="59">
        <f t="shared" si="20"/>
        <v>879.17404615571081</v>
      </c>
      <c r="EO58" s="59">
        <f ca="1">AVERAGE(OFFSET($EN$3,0,0,'Données projet'!$E$15+1,1))-AVERAGE(OFFSET($H$3,0,0,'Données projet'!$E$15+1,1))</f>
        <v>399.38728019348088</v>
      </c>
      <c r="EP58" s="59">
        <f t="shared" si="46"/>
        <v>289.54922160039791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1.7464487939099598</v>
      </c>
      <c r="EW58" s="21">
        <f>EXP(-LN(2)/25)*EW57+(1-EXP(-LN(2)/25))/(LN(2)/25)*Calculateur!ER58*Calculateur!ET58*VLOOKUP('Données projet'!$B$15,Paramètres!$A$1:$I$89,3,0)*0.475*44/12</f>
        <v>6.7113316347859771</v>
      </c>
      <c r="EX58" s="21">
        <f>EXP(-LN(2)/2)*EX57+(1-EXP(-LN(2)/2))/(LN(2)/2)*ER58*EU58*VLOOKUP('Données projet'!$B$15,Paramètres!$A$1:$I$89,3,0)*0.475*44/12</f>
        <v>4.4265020150929526E-3</v>
      </c>
      <c r="EY58" s="22">
        <f t="shared" si="21"/>
        <v>8.4622069307110301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9.8000000000000007</v>
      </c>
      <c r="N59" s="13">
        <f>IF('Données projet'!$A$36&gt;35,N58+M59-V58,IF(A59&lt;'Données projet'!$A$36,$K$205^A59,IF(A59='Données projet'!$A$36,'Données projet'!$B$36,N58+M59-V58)))</f>
        <v>261.79999999999995</v>
      </c>
      <c r="O59" s="13">
        <f>N59*VLOOKUP('Données projet'!$B$9,Paramètres!$A$1:$I$89,3,0)*VLOOKUP('Données projet'!$B$9,Paramètres!$A$1:$I$89,5,0)</f>
        <v>236.87663999999995</v>
      </c>
      <c r="P59" s="13">
        <f t="shared" si="33"/>
        <v>57.767012893614115</v>
      </c>
      <c r="Q59" s="20">
        <f t="shared" si="53"/>
        <v>513.17102878971104</v>
      </c>
      <c r="R59" s="59">
        <f t="shared" si="0"/>
        <v>806.5043621230443</v>
      </c>
      <c r="S59" s="59">
        <f ca="1">AVERAGE(OFFSET($R$3,0,0,'Données projet'!$E$9+1,1))-AVERAGE(OFFSET($H$3,0,0,'Données projet'!$E$9+1,1))</f>
        <v>318.40875902853116</v>
      </c>
      <c r="T59" s="59">
        <f t="shared" si="34"/>
        <v>234.87694492493506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1.4392422594321463</v>
      </c>
      <c r="AA59" s="21">
        <f>EXP(-LN(2)/25)*AA58+(1-EXP(-LN(2)/25))/(LN(2)/25)*Calculateur!V59*Calculateur!X59*VLOOKUP('Données projet'!$B$9,Paramètres!$A$1:$I$89,3,0)*0.475*44/12</f>
        <v>5.4871445690050891</v>
      </c>
      <c r="AB59" s="21">
        <f>EXP(-LN(2)/2)*AB58+(1-EXP(-LN(2)/2))/(LN(2)/2)*V59*Y59*VLOOKUP('Données projet'!$B$9,Paramètres!$A$1:$I$89,3,0)*0.475*44/12</f>
        <v>2.6310225554329368E-3</v>
      </c>
      <c r="AC59" s="22">
        <f t="shared" si="3"/>
        <v>6.9290178509926683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7.2</v>
      </c>
      <c r="AI59" s="13">
        <f>IF('Données projet'!$A$62&gt;35,AI58+AH59-AQ58,IF(A59&lt;'Données projet'!$A$62,$AF$205^A59,IF(A59='Données projet'!$A$62,'Données projet'!$B$62,AI58+AH59-AQ58)))</f>
        <v>242.2</v>
      </c>
      <c r="AJ59" s="13">
        <f>AI59*VLOOKUP('Données projet'!$B$10,Paramètres!$A$1:$I$89,3,0)*VLOOKUP('Données projet'!$B$10,Paramètres!$A$1:$I$89,5,0)</f>
        <v>211.58592000000002</v>
      </c>
      <c r="AK59" s="13">
        <f t="shared" si="35"/>
        <v>52.281997222074629</v>
      </c>
      <c r="AL59" s="20">
        <f t="shared" si="4"/>
        <v>459.56995582844667</v>
      </c>
      <c r="AM59" s="59">
        <f t="shared" si="5"/>
        <v>752.90328916177998</v>
      </c>
      <c r="AN59" s="59">
        <f ca="1">AVERAGE(OFFSET($AM$3,0,0,'Données projet'!$E$10+1,1))-AVERAGE(OFFSET($H$3,0,0,'Données projet'!$E$10+1,1))</f>
        <v>243.38048563215585</v>
      </c>
      <c r="AO59" s="59">
        <f t="shared" si="36"/>
        <v>372.1604147006675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4.3673558217251349</v>
      </c>
      <c r="AV59" s="21">
        <f>EXP(-LN(2)/25)*AV58+(1-EXP(-LN(2)/25))/(LN(2)/25)*Calculateur!AQ59*Calculateur!AS59*VLOOKUP('Données projet'!$B$10,Paramètres!$A$1:$I$89,3,0)*0.475*44/12</f>
        <v>9.416480953948609</v>
      </c>
      <c r="AW59" s="21">
        <f>EXP(-LN(2)/2)*AW58+(1-EXP(-LN(2)/2))/(LN(2)/2)*AQ59*AT59*VLOOKUP('Données projet'!$B$10,Paramètres!$A$1:$I$89,3,0)*0.475*44/12</f>
        <v>3.5784837906692093E-3</v>
      </c>
      <c r="AX59" s="21">
        <f t="shared" si="6"/>
        <v>13.787415259464414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</v>
      </c>
      <c r="BD59" s="12">
        <f>IF('Données projet'!$A$88&gt;35,BD58+BC59-BL58,IF(A59&lt;'Données projet'!$A$88,$BA$205^A59,IF(A59='Données projet'!$A$88,'Données projet'!$B$88,BD58+BC59-BL58)))</f>
        <v>282.7999999999999</v>
      </c>
      <c r="BE59" s="13">
        <f>BD59*VLOOKUP('Données projet'!$B$11,Paramètres!$A$1:$I$89,3,0)*VLOOKUP('Données projet'!$B$11,Paramètres!$A$1:$I$89,5,0)</f>
        <v>189.70223999999993</v>
      </c>
      <c r="BF59" s="13">
        <f t="shared" si="37"/>
        <v>47.474116335075863</v>
      </c>
      <c r="BG59" s="20">
        <f t="shared" si="7"/>
        <v>413.08215395025701</v>
      </c>
      <c r="BH59" s="59">
        <f t="shared" si="8"/>
        <v>706.41548728359032</v>
      </c>
      <c r="BI59" s="59">
        <f ca="1">AVERAGE(OFFSET($BH$3,0,0,'Données projet'!$E$11+1,1))-AVERAGE(OFFSET($H$3,0,0,'Données projet'!$E$11+1,1))</f>
        <v>207.93042467236967</v>
      </c>
      <c r="BJ59" s="59">
        <f t="shared" si="38"/>
        <v>250.70954318710835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1.6439620635755123</v>
      </c>
      <c r="BQ59" s="21">
        <f>EXP(-LN(2)/25)*BQ58+(1-EXP(-LN(2)/25))/(LN(2)/25)*Calculateur!BL59*Calculateur!BN59*VLOOKUP('Données projet'!$B$11,Paramètres!$A$1:$I$89,3,0)*0.475*44/12</f>
        <v>8.4138745460388478</v>
      </c>
      <c r="BR59" s="21">
        <f>EXP(-LN(2)/2)*BR58+(1-EXP(-LN(2)/2))/(LN(2)/2)*BL59*BO59*VLOOKUP('Données projet'!$B$11,Paramètres!$A$1:$I$89,3,0)*0.475*44/12</f>
        <v>2.4741461609331036E-3</v>
      </c>
      <c r="BS59" s="22">
        <f t="shared" si="9"/>
        <v>10.060310755775294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9.6999999999999993</v>
      </c>
      <c r="BY59" s="12">
        <f>IF('Données projet'!$A$114&gt;35,BY58+BX59-CG58,IF(A59&lt;'Données projet'!$A$114,$BV$205^A59,IF(A59='Données projet'!$A$114,'Données projet'!$B$114,BY58+BX59-CG58)))</f>
        <v>306.2</v>
      </c>
      <c r="BZ59" s="13">
        <f>BY59*VLOOKUP('Données projet'!$B$12,Paramètres!$A$1:$I$89,3,0)*VLOOKUP('Données projet'!$B$12,Paramètres!$A$1:$I$89,5,0)</f>
        <v>238.83600000000001</v>
      </c>
      <c r="CA59" s="13">
        <f t="shared" si="39"/>
        <v>58.189019392222875</v>
      </c>
      <c r="CB59" s="20">
        <f t="shared" si="10"/>
        <v>517.31857544145475</v>
      </c>
      <c r="CC59" s="59">
        <f t="shared" si="11"/>
        <v>810.65190877478813</v>
      </c>
      <c r="CD59" s="59">
        <f ca="1">AVERAGE(OFFSET($CC$3,0,0,'Données projet'!$E$12+1,1))-AVERAGE(OFFSET($H$3,0,0,'Données projet'!$E$12+1,1))</f>
        <v>266.30229009596883</v>
      </c>
      <c r="CE59" s="59">
        <f t="shared" si="40"/>
        <v>270.19195828386046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0.86407709541030964</v>
      </c>
      <c r="CL59" s="21">
        <f>EXP(-LN(2)/25)*CL58+(1-EXP(-LN(2)/25))/(LN(2)/25)*Calculateur!CG59*Calculateur!CI59*VLOOKUP('Données projet'!$B$12,Paramètres!$A$1:$I$89,3,0)*0.475*44/12</f>
        <v>4.0709123414669506</v>
      </c>
      <c r="CM59" s="21">
        <f>EXP(-LN(2)/2)*CM58+(1-EXP(-LN(2)/2))/(LN(2)/2)*CG59*CJ59*VLOOKUP('Données projet'!$B$12,Paramètres!$A$1:$I$89,3,0)*0.475*44/12</f>
        <v>1.595602978113017E-3</v>
      </c>
      <c r="CN59" s="22">
        <f t="shared" si="12"/>
        <v>4.9365850398553732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6.8</v>
      </c>
      <c r="CT59" s="12">
        <f>IF('Données projet'!$A$140&gt;35,CT58+CS59-DB58,IF(A59&lt;'Données projet'!$A$140,$CQ$205^A59,IF(A59='Données projet'!$A$140,'Données projet'!$B$140,CT58+CS59-DB58)))</f>
        <v>282.7999999999999</v>
      </c>
      <c r="CU59" s="17">
        <f>CT59*VLOOKUP('Données projet'!$B$13,Paramètres!$A$1:$I$89,3,0)*VLOOKUP('Données projet'!$B$13,Paramètres!$A$1:$I$89,5,0)</f>
        <v>224.99567999999994</v>
      </c>
      <c r="CV59" s="13">
        <f t="shared" si="41"/>
        <v>55.199249109676629</v>
      </c>
      <c r="CW59" s="20">
        <f t="shared" si="13"/>
        <v>488.00616819935334</v>
      </c>
      <c r="CX59" s="59">
        <f t="shared" si="14"/>
        <v>781.33950153268665</v>
      </c>
      <c r="CY59" s="59">
        <f ca="1">AVERAGE(OFFSET($CX$3,0,0,'Données projet'!$E$13+1,1))-AVERAGE(OFFSET($H$3,0,0,'Données projet'!$E$13+1,1))</f>
        <v>260.20517190557814</v>
      </c>
      <c r="CZ59" s="59">
        <f t="shared" si="42"/>
        <v>307.22009971147133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1.9498154707523523</v>
      </c>
      <c r="DG59" s="21">
        <f>EXP(-LN(2)/25)*DG58+(1-EXP(-LN(2)/25))/(LN(2)/25)*Calculateur!DB59*Calculateur!DD59*VLOOKUP('Données projet'!$B$13,Paramètres!$A$1:$I$89,3,0)*0.475*44/12</f>
        <v>9.9792465546042077</v>
      </c>
      <c r="DH59" s="21">
        <f>EXP(-LN(2)/2)*DH58+(1-EXP(-LN(2)/2))/(LN(2)/2)*DB59*DE59*VLOOKUP('Données projet'!$B$13,Paramètres!$A$1:$I$89,3,0)*0.475*44/12</f>
        <v>2.9344524234322859E-3</v>
      </c>
      <c r="DI59" s="22">
        <f t="shared" si="15"/>
        <v>11.931996477779991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9.8000000000000007</v>
      </c>
      <c r="DO59" s="12">
        <f>IF('Données projet'!$A$166&gt;35,DO58+DN59-DW58,IF(A59&lt;'Données projet'!$A$166,$DL$205^A59,IF(A59='Données projet'!$A$166,'Données projet'!$B$166,DO58+DN59-DW58)))</f>
        <v>261.79999999999995</v>
      </c>
      <c r="DP59" s="17">
        <f>DO59*VLOOKUP('Données projet'!$B$14,Paramètres!$A$1:$I$89,3,0)*VLOOKUP('Données projet'!$B$14,Paramètres!$A$1:$I$89,5,0)</f>
        <v>253.21295999999998</v>
      </c>
      <c r="DQ59" s="13">
        <f t="shared" si="43"/>
        <v>61.273435710297598</v>
      </c>
      <c r="DR59" s="20">
        <f t="shared" si="16"/>
        <v>547.73047252876825</v>
      </c>
      <c r="DS59" s="59">
        <f t="shared" si="17"/>
        <v>841.06380586210162</v>
      </c>
      <c r="DT59" s="59">
        <f ca="1">AVERAGE(OFFSET($DS$3,0,0,'Données projet'!$E$14+1,1))-AVERAGE(OFFSET($H$3,0,0,'Données projet'!$E$14+1,1))</f>
        <v>347.8889410585312</v>
      </c>
      <c r="DU59" s="59">
        <f t="shared" si="44"/>
        <v>254.78167322479203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1.5385003462895364</v>
      </c>
      <c r="EB59" s="21">
        <f>EXP(-LN(2)/25)*EB58+(1-EXP(-LN(2)/25))/(LN(2)/25)*Calculateur!DW59*Calculateur!DY59*VLOOKUP('Données projet'!$B$14,Paramètres!$A$1:$I$89,3,0)*0.475*44/12</f>
        <v>5.8655683323847523</v>
      </c>
      <c r="EC59" s="21">
        <f>EXP(-LN(2)/2)*EC58+(1-EXP(-LN(2)/2))/(LN(2)/2)*DW59*DZ59*VLOOKUP('Données projet'!$B$14,Paramètres!$A$1:$I$89,3,0)*0.475*44/12</f>
        <v>2.8124723868421003E-3</v>
      </c>
      <c r="ED59" s="22">
        <f t="shared" si="18"/>
        <v>7.406881151061131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9.8000000000000007</v>
      </c>
      <c r="EJ59" s="12">
        <f>IF('Données projet'!$A$192&gt;35,EJ58+EI59-ER58,IF(A59&lt;'Données projet'!$A$192,$EG$205^A59,IF(A59='Données projet'!$A$192,'Données projet'!$B$192,EJ58+EI59-ER58)))</f>
        <v>261.79999999999995</v>
      </c>
      <c r="EK59" s="17">
        <f>EJ59*VLOOKUP('Données projet'!$B$15,Paramètres!$A$1:$I$89,3,0)*VLOOKUP('Données projet'!$B$15,Paramètres!$A$1:$I$89,5,0)</f>
        <v>281.80151999999998</v>
      </c>
      <c r="EL59" s="13">
        <f t="shared" si="45"/>
        <v>67.347579623537186</v>
      </c>
      <c r="EM59" s="20">
        <f t="shared" si="19"/>
        <v>608.10134851099394</v>
      </c>
      <c r="EN59" s="59">
        <f t="shared" si="20"/>
        <v>901.43468184432732</v>
      </c>
      <c r="EO59" s="59">
        <f ca="1">AVERAGE(OFFSET($EN$3,0,0,'Données projet'!$E$15+1,1))-AVERAGE(OFFSET($H$3,0,0,'Données projet'!$E$15+1,1))</f>
        <v>399.38728019348088</v>
      </c>
      <c r="EP59" s="59">
        <f t="shared" si="46"/>
        <v>289.54922160039791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1.7122019982899672</v>
      </c>
      <c r="EW59" s="21">
        <f>EXP(-LN(2)/25)*EW58+(1-EXP(-LN(2)/25))/(LN(2)/25)*Calculateur!ER59*Calculateur!ET59*VLOOKUP('Données projet'!$B$15,Paramètres!$A$1:$I$89,3,0)*0.475*44/12</f>
        <v>6.5278099182991625</v>
      </c>
      <c r="EX59" s="21">
        <f>EXP(-LN(2)/2)*EX58+(1-EXP(-LN(2)/2))/(LN(2)/2)*ER59*EU59*VLOOKUP('Données projet'!$B$15,Paramètres!$A$1:$I$89,3,0)*0.475*44/12</f>
        <v>3.1300095918081442E-3</v>
      </c>
      <c r="EY59" s="22">
        <f t="shared" si="21"/>
        <v>8.2431419261809378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9.8000000000000007</v>
      </c>
      <c r="N60" s="13">
        <f>IF('Données projet'!$A$36&gt;35,N59+M60-V59,IF(A60&lt;'Données projet'!$A$36,$K$205^A60,IF(A60='Données projet'!$A$36,'Données projet'!$B$36,N59+M60-V59)))</f>
        <v>271.59999999999997</v>
      </c>
      <c r="O60" s="13">
        <f>N60*VLOOKUP('Données projet'!$B$9,Paramètres!$A$1:$I$89,3,0)*VLOOKUP('Données projet'!$B$9,Paramètres!$A$1:$I$89,5,0)</f>
        <v>245.74367999999996</v>
      </c>
      <c r="P60" s="13">
        <f t="shared" si="33"/>
        <v>59.673605104126452</v>
      </c>
      <c r="Q60" s="20">
        <f t="shared" si="53"/>
        <v>531.93510488968684</v>
      </c>
      <c r="R60" s="59">
        <f t="shared" si="0"/>
        <v>825.26843822302021</v>
      </c>
      <c r="S60" s="59">
        <f ca="1">AVERAGE(OFFSET($R$3,0,0,'Données projet'!$E$9+1,1))-AVERAGE(OFFSET($H$3,0,0,'Données projet'!$E$9+1,1))</f>
        <v>318.40875902853116</v>
      </c>
      <c r="T60" s="59">
        <f t="shared" si="34"/>
        <v>234.87694492493506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1.4110195965757797</v>
      </c>
      <c r="AA60" s="21">
        <f>EXP(-LN(2)/25)*AA59+(1-EXP(-LN(2)/25))/(LN(2)/25)*Calculateur!V60*Calculateur!X60*VLOOKUP('Données projet'!$B$9,Paramètres!$A$1:$I$89,3,0)*0.475*44/12</f>
        <v>5.3370983122092532</v>
      </c>
      <c r="AB60" s="21">
        <f>EXP(-LN(2)/2)*AB59+(1-EXP(-LN(2)/2))/(LN(2)/2)*V60*Y60*VLOOKUP('Données projet'!$B$9,Paramètres!$A$1:$I$89,3,0)*0.475*44/12</f>
        <v>1.8604138904013889E-3</v>
      </c>
      <c r="AC60" s="22">
        <f t="shared" si="3"/>
        <v>6.7499783226754344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7.2</v>
      </c>
      <c r="AI60" s="13">
        <f>IF('Données projet'!$A$62&gt;35,AI59+AH60-AQ59,IF(A60&lt;'Données projet'!$A$62,$AF$205^A60,IF(A60='Données projet'!$A$62,'Données projet'!$B$62,AI59+AH60-AQ59)))</f>
        <v>249.39999999999998</v>
      </c>
      <c r="AJ60" s="13">
        <f>AI60*VLOOKUP('Données projet'!$B$10,Paramètres!$A$1:$I$89,3,0)*VLOOKUP('Données projet'!$B$10,Paramètres!$A$1:$I$89,5,0)</f>
        <v>217.87583999999998</v>
      </c>
      <c r="AK60" s="13">
        <f t="shared" si="35"/>
        <v>53.652949670124926</v>
      </c>
      <c r="AL60" s="20">
        <f t="shared" si="4"/>
        <v>472.9126420088009</v>
      </c>
      <c r="AM60" s="59">
        <f t="shared" si="5"/>
        <v>766.24597534213422</v>
      </c>
      <c r="AN60" s="59">
        <f ca="1">AVERAGE(OFFSET($AM$3,0,0,'Données projet'!$E$10+1,1))-AVERAGE(OFFSET($H$3,0,0,'Données projet'!$E$10+1,1))</f>
        <v>243.38048563215585</v>
      </c>
      <c r="AO60" s="59">
        <f t="shared" si="36"/>
        <v>372.1604147006675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4.2817146378851252</v>
      </c>
      <c r="AV60" s="21">
        <f>EXP(-LN(2)/25)*AV59+(1-EXP(-LN(2)/25))/(LN(2)/25)*Calculateur!AQ60*Calculateur!AS60*VLOOKUP('Données projet'!$B$10,Paramètres!$A$1:$I$89,3,0)*0.475*44/12</f>
        <v>9.1589867870716724</v>
      </c>
      <c r="AW60" s="21">
        <f>EXP(-LN(2)/2)*AW59+(1-EXP(-LN(2)/2))/(LN(2)/2)*AQ60*AT60*VLOOKUP('Données projet'!$B$10,Paramètres!$A$1:$I$89,3,0)*0.475*44/12</f>
        <v>2.5303701547483397E-3</v>
      </c>
      <c r="AX60" s="21">
        <f t="shared" si="6"/>
        <v>13.443231795111545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</v>
      </c>
      <c r="BD60" s="12">
        <f>IF('Données projet'!$A$88&gt;35,BD59+BC60-BL59,IF(A60&lt;'Données projet'!$A$88,$BA$205^A60,IF(A60='Données projet'!$A$88,'Données projet'!$B$88,BD59+BC60-BL59)))</f>
        <v>289.59999999999991</v>
      </c>
      <c r="BE60" s="13">
        <f>BD60*VLOOKUP('Données projet'!$B$11,Paramètres!$A$1:$I$89,3,0)*VLOOKUP('Données projet'!$B$11,Paramètres!$A$1:$I$89,5,0)</f>
        <v>194.26367999999994</v>
      </c>
      <c r="BF60" s="13">
        <f t="shared" si="37"/>
        <v>48.481371005731333</v>
      </c>
      <c r="BG60" s="20">
        <f t="shared" si="7"/>
        <v>422.78096383498195</v>
      </c>
      <c r="BH60" s="59">
        <f t="shared" si="8"/>
        <v>716.11429716831526</v>
      </c>
      <c r="BI60" s="59">
        <f ca="1">AVERAGE(OFFSET($BH$3,0,0,'Données projet'!$E$11+1,1))-AVERAGE(OFFSET($H$3,0,0,'Données projet'!$E$11+1,1))</f>
        <v>207.93042467236967</v>
      </c>
      <c r="BJ60" s="59">
        <f t="shared" si="38"/>
        <v>250.70954318710835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1.6117249702266452</v>
      </c>
      <c r="BQ60" s="21">
        <f>EXP(-LN(2)/25)*BQ59+(1-EXP(-LN(2)/25))/(LN(2)/25)*Calculateur!BL60*Calculateur!BN60*VLOOKUP('Données projet'!$B$11,Paramètres!$A$1:$I$89,3,0)*0.475*44/12</f>
        <v>8.1837967041109838</v>
      </c>
      <c r="BR60" s="21">
        <f>EXP(-LN(2)/2)*BR59+(1-EXP(-LN(2)/2))/(LN(2)/2)*BL60*BO60*VLOOKUP('Données projet'!$B$11,Paramètres!$A$1:$I$89,3,0)*0.475*44/12</f>
        <v>1.7494855280424607E-3</v>
      </c>
      <c r="BS60" s="22">
        <f t="shared" si="9"/>
        <v>9.7972711598656712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9.6999999999999993</v>
      </c>
      <c r="BY60" s="12">
        <f>IF('Données projet'!$A$114&gt;35,BY59+BX60-CG59,IF(A60&lt;'Données projet'!$A$114,$BV$205^A60,IF(A60='Données projet'!$A$114,'Données projet'!$B$114,BY59+BX60-CG59)))</f>
        <v>315.89999999999998</v>
      </c>
      <c r="BZ60" s="13">
        <f>BY60*VLOOKUP('Données projet'!$B$12,Paramètres!$A$1:$I$89,3,0)*VLOOKUP('Données projet'!$B$12,Paramètres!$A$1:$I$89,5,0)</f>
        <v>246.40199999999999</v>
      </c>
      <c r="CA60" s="13">
        <f t="shared" si="39"/>
        <v>59.814834475385474</v>
      </c>
      <c r="CB60" s="20">
        <f t="shared" si="10"/>
        <v>533.32765337796297</v>
      </c>
      <c r="CC60" s="59">
        <f t="shared" si="11"/>
        <v>826.66098671129635</v>
      </c>
      <c r="CD60" s="59">
        <f ca="1">AVERAGE(OFFSET($CC$3,0,0,'Données projet'!$E$12+1,1))-AVERAGE(OFFSET($H$3,0,0,'Données projet'!$E$12+1,1))</f>
        <v>266.30229009596883</v>
      </c>
      <c r="CE60" s="59">
        <f t="shared" si="40"/>
        <v>270.19195828386046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0.84713307060430132</v>
      </c>
      <c r="CL60" s="21">
        <f>EXP(-LN(2)/25)*CL59+(1-EXP(-LN(2)/25))/(LN(2)/25)*Calculateur!CG60*Calculateur!CI60*VLOOKUP('Données projet'!$B$12,Paramètres!$A$1:$I$89,3,0)*0.475*44/12</f>
        <v>3.9595930294095609</v>
      </c>
      <c r="CM60" s="21">
        <f>EXP(-LN(2)/2)*CM59+(1-EXP(-LN(2)/2))/(LN(2)/2)*CG60*CJ60*VLOOKUP('Données projet'!$B$12,Paramètres!$A$1:$I$89,3,0)*0.475*44/12</f>
        <v>1.1282616859051647E-3</v>
      </c>
      <c r="CN60" s="22">
        <f t="shared" si="12"/>
        <v>4.8078543616997678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6.8</v>
      </c>
      <c r="CT60" s="12">
        <f>IF('Données projet'!$A$140&gt;35,CT59+CS60-DB59,IF(A60&lt;'Données projet'!$A$140,$CQ$205^A60,IF(A60='Données projet'!$A$140,'Données projet'!$B$140,CT59+CS60-DB59)))</f>
        <v>289.59999999999991</v>
      </c>
      <c r="CU60" s="17">
        <f>CT60*VLOOKUP('Données projet'!$B$13,Paramètres!$A$1:$I$89,3,0)*VLOOKUP('Données projet'!$B$13,Paramètres!$A$1:$I$89,5,0)</f>
        <v>230.40575999999996</v>
      </c>
      <c r="CV60" s="13">
        <f t="shared" si="41"/>
        <v>56.370407327556237</v>
      </c>
      <c r="CW60" s="20">
        <f t="shared" si="13"/>
        <v>499.46849142882706</v>
      </c>
      <c r="CX60" s="59">
        <f t="shared" si="14"/>
        <v>792.80182476216032</v>
      </c>
      <c r="CY60" s="59">
        <f ca="1">AVERAGE(OFFSET($CX$3,0,0,'Données projet'!$E$13+1,1))-AVERAGE(OFFSET($H$3,0,0,'Données projet'!$E$13+1,1))</f>
        <v>260.20517190557814</v>
      </c>
      <c r="CZ60" s="59">
        <f t="shared" si="42"/>
        <v>307.22009971147133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1.9115807786409051</v>
      </c>
      <c r="DG60" s="21">
        <f>EXP(-LN(2)/25)*DG59+(1-EXP(-LN(2)/25))/(LN(2)/25)*Calculateur!DB60*Calculateur!DD60*VLOOKUP('Données projet'!$B$13,Paramètres!$A$1:$I$89,3,0)*0.475*44/12</f>
        <v>9.7063635327827864</v>
      </c>
      <c r="DH60" s="21">
        <f>EXP(-LN(2)/2)*DH59+(1-EXP(-LN(2)/2))/(LN(2)/2)*DB60*DE60*VLOOKUP('Données projet'!$B$13,Paramètres!$A$1:$I$89,3,0)*0.475*44/12</f>
        <v>2.0749712076782675E-3</v>
      </c>
      <c r="DI60" s="22">
        <f t="shared" si="15"/>
        <v>11.62001928263137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9.8000000000000007</v>
      </c>
      <c r="DO60" s="12">
        <f>IF('Données projet'!$A$166&gt;35,DO59+DN60-DW59,IF(A60&lt;'Données projet'!$A$166,$DL$205^A60,IF(A60='Données projet'!$A$166,'Données projet'!$B$166,DO59+DN60-DW59)))</f>
        <v>271.59999999999997</v>
      </c>
      <c r="DP60" s="17">
        <f>DO60*VLOOKUP('Données projet'!$B$14,Paramètres!$A$1:$I$89,3,0)*VLOOKUP('Données projet'!$B$14,Paramètres!$A$1:$I$89,5,0)</f>
        <v>262.69151999999997</v>
      </c>
      <c r="DQ60" s="13">
        <f t="shared" si="43"/>
        <v>63.295756917241974</v>
      </c>
      <c r="DR60" s="20">
        <f t="shared" si="16"/>
        <v>567.76117396419647</v>
      </c>
      <c r="DS60" s="59">
        <f t="shared" si="17"/>
        <v>861.09450729752984</v>
      </c>
      <c r="DT60" s="59">
        <f ca="1">AVERAGE(OFFSET($DS$3,0,0,'Données projet'!$E$14+1,1))-AVERAGE(OFFSET($H$3,0,0,'Données projet'!$E$14+1,1))</f>
        <v>347.8889410585312</v>
      </c>
      <c r="DU60" s="59">
        <f t="shared" si="44"/>
        <v>254.78167322479203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1.5083312928913513</v>
      </c>
      <c r="EB60" s="21">
        <f>EXP(-LN(2)/25)*EB59+(1-EXP(-LN(2)/25))/(LN(2)/25)*Calculateur!DW60*Calculateur!DY60*VLOOKUP('Données projet'!$B$14,Paramètres!$A$1:$I$89,3,0)*0.475*44/12</f>
        <v>5.7051740578788586</v>
      </c>
      <c r="EC60" s="21">
        <f>EXP(-LN(2)/2)*EC59+(1-EXP(-LN(2)/2))/(LN(2)/2)*DW60*DZ60*VLOOKUP('Données projet'!$B$14,Paramètres!$A$1:$I$89,3,0)*0.475*44/12</f>
        <v>1.9887182966359641E-3</v>
      </c>
      <c r="ED60" s="22">
        <f t="shared" si="18"/>
        <v>7.2154940690668461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9.8000000000000007</v>
      </c>
      <c r="EJ60" s="12">
        <f>IF('Données projet'!$A$192&gt;35,EJ59+EI60-ER59,IF(A60&lt;'Données projet'!$A$192,$EG$205^A60,IF(A60='Données projet'!$A$192,'Données projet'!$B$192,EJ59+EI60-ER59)))</f>
        <v>271.59999999999997</v>
      </c>
      <c r="EK60" s="17">
        <f>EJ60*VLOOKUP('Données projet'!$B$15,Paramètres!$A$1:$I$89,3,0)*VLOOKUP('Données projet'!$B$15,Paramètres!$A$1:$I$89,5,0)</f>
        <v>292.35023999999999</v>
      </c>
      <c r="EL60" s="13">
        <f t="shared" si="45"/>
        <v>69.570377103884141</v>
      </c>
      <c r="EM60" s="20">
        <f t="shared" si="19"/>
        <v>630.3450747892648</v>
      </c>
      <c r="EN60" s="59">
        <f t="shared" si="20"/>
        <v>923.67840812259806</v>
      </c>
      <c r="EO60" s="59">
        <f ca="1">AVERAGE(OFFSET($EN$3,0,0,'Données projet'!$E$15+1,1))-AVERAGE(OFFSET($H$3,0,0,'Données projet'!$E$15+1,1))</f>
        <v>399.38728019348088</v>
      </c>
      <c r="EP60" s="59">
        <f t="shared" si="46"/>
        <v>289.54922160039791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1.6786267614435999</v>
      </c>
      <c r="EW60" s="21">
        <f>EXP(-LN(2)/25)*EW59+(1-EXP(-LN(2)/25))/(LN(2)/25)*Calculateur!ER60*Calculateur!ET60*VLOOKUP('Données projet'!$B$15,Paramètres!$A$1:$I$89,3,0)*0.475*44/12</f>
        <v>6.3493066128006674</v>
      </c>
      <c r="EX60" s="21">
        <f>EXP(-LN(2)/2)*EX59+(1-EXP(-LN(2)/2))/(LN(2)/2)*ER60*EU60*VLOOKUP('Données projet'!$B$15,Paramètres!$A$1:$I$89,3,0)*0.475*44/12</f>
        <v>2.2132510075464763E-3</v>
      </c>
      <c r="EY60" s="22">
        <f t="shared" si="21"/>
        <v>8.0301466252518132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9.8000000000000007</v>
      </c>
      <c r="N61" s="13">
        <f>IF('Données projet'!$A$36&gt;35,N60+M61-V60,IF(A61&lt;'Données projet'!$A$36,$K$205^A61,IF(A61='Données projet'!$A$36,'Données projet'!$B$36,N60+M61-V60)))</f>
        <v>281.39999999999998</v>
      </c>
      <c r="O61" s="13">
        <f>N61*VLOOKUP('Données projet'!$B$9,Paramètres!$A$1:$I$89,3,0)*VLOOKUP('Données projet'!$B$9,Paramètres!$A$1:$I$89,5,0)</f>
        <v>254.61071999999999</v>
      </c>
      <c r="P61" s="13">
        <f t="shared" si="33"/>
        <v>61.572204587965679</v>
      </c>
      <c r="Q61" s="20">
        <f t="shared" si="53"/>
        <v>550.68526032404009</v>
      </c>
      <c r="R61" s="59">
        <f t="shared" si="0"/>
        <v>844.01859365737346</v>
      </c>
      <c r="S61" s="59">
        <f ca="1">AVERAGE(OFFSET($R$3,0,0,'Données projet'!$E$9+1,1))-AVERAGE(OFFSET($H$3,0,0,'Données projet'!$E$9+1,1))</f>
        <v>318.40875902853116</v>
      </c>
      <c r="T61" s="59">
        <f t="shared" si="34"/>
        <v>234.87694492493506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1.3833503629239017</v>
      </c>
      <c r="AA61" s="21">
        <f>EXP(-LN(2)/25)*AA60+(1-EXP(-LN(2)/25))/(LN(2)/25)*Calculateur!V61*Calculateur!X61*VLOOKUP('Données projet'!$B$9,Paramètres!$A$1:$I$89,3,0)*0.475*44/12</f>
        <v>5.1911550781960889</v>
      </c>
      <c r="AB61" s="21">
        <f>EXP(-LN(2)/2)*AB60+(1-EXP(-LN(2)/2))/(LN(2)/2)*V61*Y61*VLOOKUP('Données projet'!$B$9,Paramètres!$A$1:$I$89,3,0)*0.475*44/12</f>
        <v>1.3155112777164686E-3</v>
      </c>
      <c r="AC61" s="22">
        <f t="shared" si="3"/>
        <v>6.5758209523977067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7.2</v>
      </c>
      <c r="AI61" s="13">
        <f>IF('Données projet'!$A$62&gt;35,AI60+AH61-AQ60,IF(A61&lt;'Données projet'!$A$62,$AF$205^A61,IF(A61='Données projet'!$A$62,'Données projet'!$B$62,AI60+AH61-AQ60)))</f>
        <v>256.59999999999997</v>
      </c>
      <c r="AJ61" s="13">
        <f>AI61*VLOOKUP('Données projet'!$B$10,Paramètres!$A$1:$I$89,3,0)*VLOOKUP('Données projet'!$B$10,Paramètres!$A$1:$I$89,5,0)</f>
        <v>224.16576000000001</v>
      </c>
      <c r="AK61" s="13">
        <f t="shared" si="35"/>
        <v>55.019302246962667</v>
      </c>
      <c r="AL61" s="20">
        <f t="shared" si="4"/>
        <v>486.24731674679327</v>
      </c>
      <c r="AM61" s="59">
        <f t="shared" si="5"/>
        <v>779.58065008012659</v>
      </c>
      <c r="AN61" s="59">
        <f ca="1">AVERAGE(OFFSET($AM$3,0,0,'Données projet'!$E$10+1,1))-AVERAGE(OFFSET($H$3,0,0,'Données projet'!$E$10+1,1))</f>
        <v>243.38048563215585</v>
      </c>
      <c r="AO61" s="59">
        <f t="shared" si="36"/>
        <v>372.1604147006675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4.1977528254242538</v>
      </c>
      <c r="AV61" s="21">
        <f>EXP(-LN(2)/25)*AV60+(1-EXP(-LN(2)/25))/(LN(2)/25)*Calculateur!AQ61*Calculateur!AS61*VLOOKUP('Données projet'!$B$10,Paramètres!$A$1:$I$89,3,0)*0.475*44/12</f>
        <v>8.9085338117290149</v>
      </c>
      <c r="AW61" s="21">
        <f>EXP(-LN(2)/2)*AW60+(1-EXP(-LN(2)/2))/(LN(2)/2)*AQ61*AT61*VLOOKUP('Données projet'!$B$10,Paramètres!$A$1:$I$89,3,0)*0.475*44/12</f>
        <v>1.7892418953346046E-3</v>
      </c>
      <c r="AX61" s="21">
        <f t="shared" si="6"/>
        <v>13.108075879048602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</v>
      </c>
      <c r="BD61" s="12">
        <f>IF('Données projet'!$A$88&gt;35,BD60+BC61-BL60,IF(A61&lt;'Données projet'!$A$88,$BA$205^A61,IF(A61='Données projet'!$A$88,'Données projet'!$B$88,BD60+BC61-BL60)))</f>
        <v>296.39999999999992</v>
      </c>
      <c r="BE61" s="13">
        <f>BD61*VLOOKUP('Données projet'!$B$11,Paramètres!$A$1:$I$89,3,0)*VLOOKUP('Données projet'!$B$11,Paramètres!$A$1:$I$89,5,0)</f>
        <v>198.82511999999997</v>
      </c>
      <c r="BF61" s="13">
        <f t="shared" si="37"/>
        <v>49.485876190816356</v>
      </c>
      <c r="BG61" s="20">
        <f t="shared" si="7"/>
        <v>432.47498503233845</v>
      </c>
      <c r="BH61" s="59">
        <f t="shared" si="8"/>
        <v>725.80831836567177</v>
      </c>
      <c r="BI61" s="59">
        <f ca="1">AVERAGE(OFFSET($BH$3,0,0,'Données projet'!$E$11+1,1))-AVERAGE(OFFSET($H$3,0,0,'Données projet'!$E$11+1,1))</f>
        <v>207.93042467236967</v>
      </c>
      <c r="BJ61" s="59">
        <f t="shared" si="38"/>
        <v>250.70954318710835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1.5801200266156639</v>
      </c>
      <c r="BQ61" s="21">
        <f>EXP(-LN(2)/25)*BQ60+(1-EXP(-LN(2)/25))/(LN(2)/25)*Calculateur!BL61*Calculateur!BN61*VLOOKUP('Données projet'!$B$11,Paramètres!$A$1:$I$89,3,0)*0.475*44/12</f>
        <v>7.9600103528699044</v>
      </c>
      <c r="BR61" s="21">
        <f>EXP(-LN(2)/2)*BR60+(1-EXP(-LN(2)/2))/(LN(2)/2)*BL61*BO61*VLOOKUP('Données projet'!$B$11,Paramètres!$A$1:$I$89,3,0)*0.475*44/12</f>
        <v>1.2370730804665518E-3</v>
      </c>
      <c r="BS61" s="22">
        <f t="shared" si="9"/>
        <v>9.5413674525660337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9.6999999999999993</v>
      </c>
      <c r="BY61" s="12">
        <f>IF('Données projet'!$A$114&gt;35,BY60+BX61-CG60,IF(A61&lt;'Données projet'!$A$114,$BV$205^A61,IF(A61='Données projet'!$A$114,'Données projet'!$B$114,BY60+BX61-CG60)))</f>
        <v>325.59999999999997</v>
      </c>
      <c r="BZ61" s="13">
        <f>BY61*VLOOKUP('Données projet'!$B$12,Paramètres!$A$1:$I$89,3,0)*VLOOKUP('Données projet'!$B$12,Paramètres!$A$1:$I$89,5,0)</f>
        <v>253.96799999999999</v>
      </c>
      <c r="CA61" s="13">
        <f t="shared" si="39"/>
        <v>61.434848029666512</v>
      </c>
      <c r="CB61" s="20">
        <f t="shared" si="10"/>
        <v>549.32662698500246</v>
      </c>
      <c r="CC61" s="59">
        <f t="shared" si="11"/>
        <v>842.65996031833583</v>
      </c>
      <c r="CD61" s="59">
        <f ca="1">AVERAGE(OFFSET($CC$3,0,0,'Données projet'!$E$12+1,1))-AVERAGE(OFFSET($H$3,0,0,'Données projet'!$E$12+1,1))</f>
        <v>266.30229009596883</v>
      </c>
      <c r="CE61" s="59">
        <f t="shared" si="40"/>
        <v>270.19195828386046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0.83052130778990418</v>
      </c>
      <c r="CL61" s="21">
        <f>EXP(-LN(2)/25)*CL60+(1-EXP(-LN(2)/25))/(LN(2)/25)*Calculateur!CG61*Calculateur!CI61*VLOOKUP('Données projet'!$B$12,Paramètres!$A$1:$I$89,3,0)*0.475*44/12</f>
        <v>3.8513177497944087</v>
      </c>
      <c r="CM61" s="21">
        <f>EXP(-LN(2)/2)*CM60+(1-EXP(-LN(2)/2))/(LN(2)/2)*CG61*CJ61*VLOOKUP('Données projet'!$B$12,Paramètres!$A$1:$I$89,3,0)*0.475*44/12</f>
        <v>7.9780148905650851E-4</v>
      </c>
      <c r="CN61" s="22">
        <f t="shared" si="12"/>
        <v>4.6826368590733694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6.8</v>
      </c>
      <c r="CT61" s="12">
        <f>IF('Données projet'!$A$140&gt;35,CT60+CS61-DB60,IF(A61&lt;'Données projet'!$A$140,$CQ$205^A61,IF(A61='Données projet'!$A$140,'Données projet'!$B$140,CT60+CS61-DB60)))</f>
        <v>296.39999999999992</v>
      </c>
      <c r="CU61" s="17">
        <f>CT61*VLOOKUP('Données projet'!$B$13,Paramètres!$A$1:$I$89,3,0)*VLOOKUP('Données projet'!$B$13,Paramètres!$A$1:$I$89,5,0)</f>
        <v>235.81583999999995</v>
      </c>
      <c r="CV61" s="13">
        <f t="shared" si="41"/>
        <v>57.538368655200898</v>
      </c>
      <c r="CW61" s="20">
        <f t="shared" si="13"/>
        <v>510.92524674114156</v>
      </c>
      <c r="CX61" s="59">
        <f t="shared" si="14"/>
        <v>804.25858007447482</v>
      </c>
      <c r="CY61" s="59">
        <f ca="1">AVERAGE(OFFSET($CX$3,0,0,'Données projet'!$E$13+1,1))-AVERAGE(OFFSET($H$3,0,0,'Données projet'!$E$13+1,1))</f>
        <v>260.20517190557814</v>
      </c>
      <c r="CZ61" s="59">
        <f t="shared" si="42"/>
        <v>307.22009971147133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1.874095845520904</v>
      </c>
      <c r="DG61" s="21">
        <f>EXP(-LN(2)/25)*DG60+(1-EXP(-LN(2)/25))/(LN(2)/25)*Calculateur!DB61*Calculateur!DD61*VLOOKUP('Données projet'!$B$13,Paramètres!$A$1:$I$89,3,0)*0.475*44/12</f>
        <v>9.4409425115433674</v>
      </c>
      <c r="DH61" s="21">
        <f>EXP(-LN(2)/2)*DH60+(1-EXP(-LN(2)/2))/(LN(2)/2)*DB61*DE61*VLOOKUP('Données projet'!$B$13,Paramètres!$A$1:$I$89,3,0)*0.475*44/12</f>
        <v>1.467226211716143E-3</v>
      </c>
      <c r="DI61" s="22">
        <f t="shared" si="15"/>
        <v>11.316505583275987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9.8000000000000007</v>
      </c>
      <c r="DO61" s="12">
        <f>IF('Données projet'!$A$166&gt;35,DO60+DN61-DW60,IF(A61&lt;'Données projet'!$A$166,$DL$205^A61,IF(A61='Données projet'!$A$166,'Données projet'!$B$166,DO60+DN61-DW60)))</f>
        <v>281.39999999999998</v>
      </c>
      <c r="DP61" s="17">
        <f>DO61*VLOOKUP('Données projet'!$B$14,Paramètres!$A$1:$I$89,3,0)*VLOOKUP('Données projet'!$B$14,Paramètres!$A$1:$I$89,5,0)</f>
        <v>272.17007999999998</v>
      </c>
      <c r="DQ61" s="13">
        <f t="shared" si="43"/>
        <v>65.309600243828299</v>
      </c>
      <c r="DR61" s="20">
        <f t="shared" si="16"/>
        <v>587.77710975800085</v>
      </c>
      <c r="DS61" s="59">
        <f t="shared" si="17"/>
        <v>881.11044309133422</v>
      </c>
      <c r="DT61" s="59">
        <f ca="1">AVERAGE(OFFSET($DS$3,0,0,'Données projet'!$E$14+1,1))-AVERAGE(OFFSET($H$3,0,0,'Données projet'!$E$14+1,1))</f>
        <v>347.8889410585312</v>
      </c>
      <c r="DU61" s="59">
        <f t="shared" si="44"/>
        <v>254.78167322479203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1.4787538362289989</v>
      </c>
      <c r="EB61" s="21">
        <f>EXP(-LN(2)/25)*EB60+(1-EXP(-LN(2)/25))/(LN(2)/25)*Calculateur!DW61*Calculateur!DY61*VLOOKUP('Données projet'!$B$14,Paramètres!$A$1:$I$89,3,0)*0.475*44/12</f>
        <v>5.5491657732440967</v>
      </c>
      <c r="EC61" s="21">
        <f>EXP(-LN(2)/2)*EC60+(1-EXP(-LN(2)/2))/(LN(2)/2)*DW61*DZ61*VLOOKUP('Données projet'!$B$14,Paramètres!$A$1:$I$89,3,0)*0.475*44/12</f>
        <v>1.4062361934210502E-3</v>
      </c>
      <c r="ED61" s="22">
        <f t="shared" si="18"/>
        <v>7.0293258456665164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9.8000000000000007</v>
      </c>
      <c r="EJ61" s="12">
        <f>IF('Données projet'!$A$192&gt;35,EJ60+EI61-ER60,IF(A61&lt;'Données projet'!$A$192,$EG$205^A61,IF(A61='Données projet'!$A$192,'Données projet'!$B$192,EJ60+EI61-ER60)))</f>
        <v>281.39999999999998</v>
      </c>
      <c r="EK61" s="17">
        <f>EJ61*VLOOKUP('Données projet'!$B$15,Paramètres!$A$1:$I$89,3,0)*VLOOKUP('Données projet'!$B$15,Paramètres!$A$1:$I$89,5,0)</f>
        <v>302.89895999999999</v>
      </c>
      <c r="EL61" s="13">
        <f t="shared" si="45"/>
        <v>71.783856276618167</v>
      </c>
      <c r="EM61" s="20">
        <f t="shared" si="19"/>
        <v>652.57257168177659</v>
      </c>
      <c r="EN61" s="59">
        <f t="shared" si="20"/>
        <v>945.90590501510997</v>
      </c>
      <c r="EO61" s="59">
        <f ca="1">AVERAGE(OFFSET($EN$3,0,0,'Données projet'!$E$15+1,1))-AVERAGE(OFFSET($H$3,0,0,'Données projet'!$E$15+1,1))</f>
        <v>399.38728019348088</v>
      </c>
      <c r="EP61" s="59">
        <f t="shared" si="46"/>
        <v>289.54922160039791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1.6457099145129175</v>
      </c>
      <c r="EW61" s="21">
        <f>EXP(-LN(2)/25)*EW60+(1-EXP(-LN(2)/25))/(LN(2)/25)*Calculateur!ER61*Calculateur!ET61*VLOOKUP('Données projet'!$B$15,Paramètres!$A$1:$I$89,3,0)*0.475*44/12</f>
        <v>6.17568448957811</v>
      </c>
      <c r="EX61" s="21">
        <f>EXP(-LN(2)/2)*EX60+(1-EXP(-LN(2)/2))/(LN(2)/2)*ER61*EU61*VLOOKUP('Données projet'!$B$15,Paramètres!$A$1:$I$89,3,0)*0.475*44/12</f>
        <v>1.5650047959040721E-3</v>
      </c>
      <c r="EY61" s="22">
        <f t="shared" si="21"/>
        <v>7.8229594088869314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9.8000000000000007</v>
      </c>
      <c r="N62" s="13">
        <f>IF('Données projet'!$A$36&gt;35,N61+M62-V61,IF(A62&lt;'Données projet'!$A$36,$K$205^A62,IF(A62='Données projet'!$A$36,'Données projet'!$B$36,N61+M62-V61)))</f>
        <v>291.2</v>
      </c>
      <c r="O62" s="13">
        <f>N62*VLOOKUP('Données projet'!$B$9,Paramètres!$A$1:$I$89,3,0)*VLOOKUP('Données projet'!$B$9,Paramètres!$A$1:$I$89,5,0)</f>
        <v>263.47775999999999</v>
      </c>
      <c r="P62" s="13">
        <f t="shared" si="33"/>
        <v>63.46312159763346</v>
      </c>
      <c r="Q62" s="20">
        <f t="shared" si="53"/>
        <v>569.42203544921153</v>
      </c>
      <c r="R62" s="59">
        <f t="shared" si="0"/>
        <v>862.75536878254479</v>
      </c>
      <c r="S62" s="59">
        <f ca="1">AVERAGE(OFFSET($R$3,0,0,'Données projet'!$E$9+1,1))-AVERAGE(OFFSET($H$3,0,0,'Données projet'!$E$9+1,1))</f>
        <v>318.40875902853116</v>
      </c>
      <c r="T62" s="59">
        <f t="shared" si="34"/>
        <v>234.87694492493506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1.356223706067371</v>
      </c>
      <c r="AA62" s="21">
        <f>EXP(-LN(2)/25)*AA61+(1-EXP(-LN(2)/25))/(LN(2)/25)*Calculateur!V62*Calculateur!X62*VLOOKUP('Données projet'!$B$9,Paramètres!$A$1:$I$89,3,0)*0.475*44/12</f>
        <v>5.0492026695918355</v>
      </c>
      <c r="AB62" s="21">
        <f>EXP(-LN(2)/2)*AB61+(1-EXP(-LN(2)/2))/(LN(2)/2)*V62*Y62*VLOOKUP('Données projet'!$B$9,Paramètres!$A$1:$I$89,3,0)*0.475*44/12</f>
        <v>9.3020694520069456E-4</v>
      </c>
      <c r="AC62" s="22">
        <f t="shared" si="3"/>
        <v>6.4063565826044071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7.2</v>
      </c>
      <c r="AI62" s="13">
        <f>IF('Données projet'!$A$62&gt;35,AI61+AH62-AQ61,IF(A62&lt;'Données projet'!$A$62,$AF$205^A62,IF(A62='Données projet'!$A$62,'Données projet'!$B$62,AI61+AH62-AQ61)))</f>
        <v>263.79999999999995</v>
      </c>
      <c r="AJ62" s="13">
        <f>AI62*VLOOKUP('Données projet'!$B$10,Paramètres!$A$1:$I$89,3,0)*VLOOKUP('Données projet'!$B$10,Paramètres!$A$1:$I$89,5,0)</f>
        <v>230.45567999999997</v>
      </c>
      <c r="AK62" s="13">
        <f t="shared" si="35"/>
        <v>56.381198848277926</v>
      </c>
      <c r="AL62" s="20">
        <f t="shared" si="4"/>
        <v>499.57423066075063</v>
      </c>
      <c r="AM62" s="59">
        <f t="shared" si="5"/>
        <v>792.90756399408394</v>
      </c>
      <c r="AN62" s="59">
        <f ca="1">AVERAGE(OFFSET($AM$3,0,0,'Données projet'!$E$10+1,1))-AVERAGE(OFFSET($H$3,0,0,'Données projet'!$E$10+1,1))</f>
        <v>243.38048563215585</v>
      </c>
      <c r="AO62" s="59">
        <f t="shared" si="36"/>
        <v>372.1604147006675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4.1154374528940911</v>
      </c>
      <c r="AV62" s="21">
        <f>EXP(-LN(2)/25)*AV61+(1-EXP(-LN(2)/25))/(LN(2)/25)*Calculateur!AQ62*Calculateur!AS62*VLOOKUP('Données projet'!$B$10,Paramètres!$A$1:$I$89,3,0)*0.475*44/12</f>
        <v>8.6649294861678534</v>
      </c>
      <c r="AW62" s="21">
        <f>EXP(-LN(2)/2)*AW61+(1-EXP(-LN(2)/2))/(LN(2)/2)*AQ62*AT62*VLOOKUP('Données projet'!$B$10,Paramètres!$A$1:$I$89,3,0)*0.475*44/12</f>
        <v>1.2651850773741698E-3</v>
      </c>
      <c r="AX62" s="21">
        <f t="shared" si="6"/>
        <v>12.781632124139319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</v>
      </c>
      <c r="BD62" s="12">
        <f>IF('Données projet'!$A$88&gt;35,BD61+BC62-BL61,IF(A62&lt;'Données projet'!$A$88,$BA$205^A62,IF(A62='Données projet'!$A$88,'Données projet'!$B$88,BD61+BC62-BL61)))</f>
        <v>303.19999999999993</v>
      </c>
      <c r="BE62" s="13">
        <f>BD62*VLOOKUP('Données projet'!$B$11,Paramètres!$A$1:$I$89,3,0)*VLOOKUP('Données projet'!$B$11,Paramètres!$A$1:$I$89,5,0)</f>
        <v>203.38655999999997</v>
      </c>
      <c r="BF62" s="13">
        <f t="shared" si="37"/>
        <v>50.487702229824656</v>
      </c>
      <c r="BG62" s="20">
        <f t="shared" si="7"/>
        <v>442.16434005027787</v>
      </c>
      <c r="BH62" s="59">
        <f t="shared" si="8"/>
        <v>735.49767338361119</v>
      </c>
      <c r="BI62" s="59">
        <f ca="1">AVERAGE(OFFSET($BH$3,0,0,'Données projet'!$E$11+1,1))-AVERAGE(OFFSET($H$3,0,0,'Données projet'!$E$11+1,1))</f>
        <v>207.93042467236967</v>
      </c>
      <c r="BJ62" s="59">
        <f t="shared" si="38"/>
        <v>250.70954318710835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1.5491348366717816</v>
      </c>
      <c r="BQ62" s="21">
        <f>EXP(-LN(2)/25)*BQ61+(1-EXP(-LN(2)/25))/(LN(2)/25)*Calculateur!BL62*Calculateur!BN62*VLOOKUP('Données projet'!$B$11,Paramètres!$A$1:$I$89,3,0)*0.475*44/12</f>
        <v>7.7423434511719256</v>
      </c>
      <c r="BR62" s="21">
        <f>EXP(-LN(2)/2)*BR61+(1-EXP(-LN(2)/2))/(LN(2)/2)*BL62*BO62*VLOOKUP('Données projet'!$B$11,Paramètres!$A$1:$I$89,3,0)*0.475*44/12</f>
        <v>8.7474276402123036E-4</v>
      </c>
      <c r="BS62" s="22">
        <f t="shared" si="9"/>
        <v>9.2923530306077282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9.6999999999999993</v>
      </c>
      <c r="BY62" s="12">
        <f>IF('Données projet'!$A$114&gt;35,BY61+BX62-CG61,IF(A62&lt;'Données projet'!$A$114,$BV$205^A62,IF(A62='Données projet'!$A$114,'Données projet'!$B$114,BY61+BX62-CG61)))</f>
        <v>335.29999999999995</v>
      </c>
      <c r="BZ62" s="13">
        <f>BY62*VLOOKUP('Données projet'!$B$12,Paramètres!$A$1:$I$89,3,0)*VLOOKUP('Données projet'!$B$12,Paramètres!$A$1:$I$89,5,0)</f>
        <v>261.53399999999999</v>
      </c>
      <c r="CA62" s="13">
        <f t="shared" si="39"/>
        <v>63.049252730843492</v>
      </c>
      <c r="CB62" s="20">
        <f t="shared" si="10"/>
        <v>565.31583183955229</v>
      </c>
      <c r="CC62" s="59">
        <f t="shared" si="11"/>
        <v>858.64916517288566</v>
      </c>
      <c r="CD62" s="59">
        <f ca="1">AVERAGE(OFFSET($CC$3,0,0,'Données projet'!$E$12+1,1))-AVERAGE(OFFSET($H$3,0,0,'Données projet'!$E$12+1,1))</f>
        <v>266.30229009596883</v>
      </c>
      <c r="CE62" s="59">
        <f t="shared" si="40"/>
        <v>270.19195828386046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0.81423529151212248</v>
      </c>
      <c r="CL62" s="21">
        <f>EXP(-LN(2)/25)*CL61+(1-EXP(-LN(2)/25))/(LN(2)/25)*Calculateur!CG62*Calculateur!CI62*VLOOKUP('Données projet'!$B$12,Paramètres!$A$1:$I$89,3,0)*0.475*44/12</f>
        <v>3.7460032633942824</v>
      </c>
      <c r="CM62" s="21">
        <f>EXP(-LN(2)/2)*CM61+(1-EXP(-LN(2)/2))/(LN(2)/2)*CG62*CJ62*VLOOKUP('Données projet'!$B$12,Paramètres!$A$1:$I$89,3,0)*0.475*44/12</f>
        <v>5.6413084295258234E-4</v>
      </c>
      <c r="CN62" s="22">
        <f t="shared" si="12"/>
        <v>4.5608026857493575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6.8</v>
      </c>
      <c r="CT62" s="12">
        <f>IF('Données projet'!$A$140&gt;35,CT61+CS62-DB61,IF(A62&lt;'Données projet'!$A$140,$CQ$205^A62,IF(A62='Données projet'!$A$140,'Données projet'!$B$140,CT61+CS62-DB61)))</f>
        <v>303.19999999999993</v>
      </c>
      <c r="CU62" s="17">
        <f>CT62*VLOOKUP('Données projet'!$B$13,Paramètres!$A$1:$I$89,3,0)*VLOOKUP('Données projet'!$B$13,Paramètres!$A$1:$I$89,5,0)</f>
        <v>241.22591999999997</v>
      </c>
      <c r="CV62" s="13">
        <f t="shared" si="41"/>
        <v>58.703214877960853</v>
      </c>
      <c r="CW62" s="20">
        <f t="shared" si="13"/>
        <v>522.37657657911507</v>
      </c>
      <c r="CX62" s="59">
        <f t="shared" si="14"/>
        <v>815.70990991244844</v>
      </c>
      <c r="CY62" s="59">
        <f ca="1">AVERAGE(OFFSET($CX$3,0,0,'Données projet'!$E$13+1,1))-AVERAGE(OFFSET($H$3,0,0,'Données projet'!$E$13+1,1))</f>
        <v>260.20517190557814</v>
      </c>
      <c r="CZ62" s="59">
        <f t="shared" si="42"/>
        <v>307.22009971147133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1.8373459690758345</v>
      </c>
      <c r="DG62" s="21">
        <f>EXP(-LN(2)/25)*DG61+(1-EXP(-LN(2)/25))/(LN(2)/25)*Calculateur!DB62*Calculateur!DD62*VLOOKUP('Données projet'!$B$13,Paramètres!$A$1:$I$89,3,0)*0.475*44/12</f>
        <v>9.1827794420876252</v>
      </c>
      <c r="DH62" s="21">
        <f>EXP(-LN(2)/2)*DH61+(1-EXP(-LN(2)/2))/(LN(2)/2)*DB62*DE62*VLOOKUP('Données projet'!$B$13,Paramètres!$A$1:$I$89,3,0)*0.475*44/12</f>
        <v>1.0374856038391337E-3</v>
      </c>
      <c r="DI62" s="22">
        <f t="shared" si="15"/>
        <v>11.021162896767299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9.8000000000000007</v>
      </c>
      <c r="DO62" s="12">
        <f>IF('Données projet'!$A$166&gt;35,DO61+DN62-DW61,IF(A62&lt;'Données projet'!$A$166,$DL$205^A62,IF(A62='Données projet'!$A$166,'Données projet'!$B$166,DO61+DN62-DW61)))</f>
        <v>291.2</v>
      </c>
      <c r="DP62" s="17">
        <f>DO62*VLOOKUP('Données projet'!$B$14,Paramètres!$A$1:$I$89,3,0)*VLOOKUP('Données projet'!$B$14,Paramètres!$A$1:$I$89,5,0)</f>
        <v>281.64864</v>
      </c>
      <c r="DQ62" s="13">
        <f t="shared" si="43"/>
        <v>67.315294774697747</v>
      </c>
      <c r="DR62" s="20">
        <f t="shared" si="16"/>
        <v>607.77885306593191</v>
      </c>
      <c r="DS62" s="59">
        <f t="shared" si="17"/>
        <v>901.11218639926528</v>
      </c>
      <c r="DT62" s="59">
        <f ca="1">AVERAGE(OFFSET($DS$3,0,0,'Données projet'!$E$14+1,1))-AVERAGE(OFFSET($H$3,0,0,'Données projet'!$E$14+1,1))</f>
        <v>347.8889410585312</v>
      </c>
      <c r="DU62" s="59">
        <f t="shared" si="44"/>
        <v>254.78167322479203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1.4497563754513281</v>
      </c>
      <c r="EB62" s="21">
        <f>EXP(-LN(2)/25)*EB61+(1-EXP(-LN(2)/25))/(LN(2)/25)*Calculateur!DW62*Calculateur!DY62*VLOOKUP('Données projet'!$B$14,Paramètres!$A$1:$I$89,3,0)*0.475*44/12</f>
        <v>5.3974235433567914</v>
      </c>
      <c r="EC62" s="21">
        <f>EXP(-LN(2)/2)*EC61+(1-EXP(-LN(2)/2))/(LN(2)/2)*DW62*DZ62*VLOOKUP('Données projet'!$B$14,Paramètres!$A$1:$I$89,3,0)*0.475*44/12</f>
        <v>9.9435914831798203E-4</v>
      </c>
      <c r="ED62" s="22">
        <f t="shared" si="18"/>
        <v>6.8481742779564376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9.8000000000000007</v>
      </c>
      <c r="EJ62" s="12">
        <f>IF('Données projet'!$A$192&gt;35,EJ61+EI62-ER61,IF(A62&lt;'Données projet'!$A$192,$EG$205^A62,IF(A62='Données projet'!$A$192,'Données projet'!$B$192,EJ61+EI62-ER61)))</f>
        <v>291.2</v>
      </c>
      <c r="EK62" s="17">
        <f>EJ62*VLOOKUP('Données projet'!$B$15,Paramètres!$A$1:$I$89,3,0)*VLOOKUP('Données projet'!$B$15,Paramètres!$A$1:$I$89,5,0)</f>
        <v>313.44767999999993</v>
      </c>
      <c r="EL62" s="13">
        <f t="shared" si="45"/>
        <v>73.988378849122171</v>
      </c>
      <c r="EM62" s="20">
        <f t="shared" si="19"/>
        <v>674.78446916222094</v>
      </c>
      <c r="EN62" s="59">
        <f t="shared" si="20"/>
        <v>968.11780249555432</v>
      </c>
      <c r="EO62" s="59">
        <f ca="1">AVERAGE(OFFSET($EN$3,0,0,'Données projet'!$E$15+1,1))-AVERAGE(OFFSET($H$3,0,0,'Données projet'!$E$15+1,1))</f>
        <v>399.38728019348088</v>
      </c>
      <c r="EP62" s="59">
        <f t="shared" si="46"/>
        <v>289.54922160039791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1.6134385468732515</v>
      </c>
      <c r="EW62" s="21">
        <f>EXP(-LN(2)/25)*EW61+(1-EXP(-LN(2)/25))/(LN(2)/25)*Calculateur!ER62*Calculateur!ET62*VLOOKUP('Données projet'!$B$15,Paramètres!$A$1:$I$89,3,0)*0.475*44/12</f>
        <v>6.0068100724454636</v>
      </c>
      <c r="EX62" s="21">
        <f>EXP(-LN(2)/2)*EX61+(1-EXP(-LN(2)/2))/(LN(2)/2)*ER62*EU62*VLOOKUP('Données projet'!$B$15,Paramètres!$A$1:$I$89,3,0)*0.475*44/12</f>
        <v>1.1066255037732382E-3</v>
      </c>
      <c r="EY62" s="22">
        <f t="shared" si="21"/>
        <v>7.6213552448224888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301</v>
      </c>
      <c r="L63" s="12">
        <f>VLOOKUP(A63,'Données projet'!$A$35:$I$55,9,0)</f>
        <v>9.8000000000000007</v>
      </c>
      <c r="M63" s="12">
        <f t="array" ref="M63">INDEX(L:L,MIN(IF(ISNUMBER(L63:L259),ROW(L63:L259),"")))</f>
        <v>9.8000000000000007</v>
      </c>
      <c r="N63" s="13">
        <f>IF('Données projet'!$A$36&gt;35,N62+M63-V62,IF(A63&lt;'Données projet'!$A$36,$K$205^A63,IF(A63='Données projet'!$A$36,'Données projet'!$B$36,N62+M63-V62)))</f>
        <v>301</v>
      </c>
      <c r="O63" s="13">
        <f>N63*VLOOKUP('Données projet'!$B$9,Paramètres!$A$1:$I$89,3,0)*VLOOKUP('Données projet'!$B$9,Paramètres!$A$1:$I$89,5,0)</f>
        <v>272.34479999999996</v>
      </c>
      <c r="P63" s="13">
        <f t="shared" si="33"/>
        <v>65.346644318451652</v>
      </c>
      <c r="Q63" s="20">
        <f t="shared" si="53"/>
        <v>588.14593218796983</v>
      </c>
      <c r="R63" s="59">
        <f t="shared" si="0"/>
        <v>881.4792655213032</v>
      </c>
      <c r="S63" s="59">
        <f ca="1">AVERAGE(OFFSET($R$3,0,0,'Données projet'!$E$9+1,1))-AVERAGE(OFFSET($H$3,0,0,'Données projet'!$E$9+1,1))</f>
        <v>318.40875902853116</v>
      </c>
      <c r="T63" s="59">
        <f t="shared" si="34"/>
        <v>234.87694492493506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1.3296289864061699</v>
      </c>
      <c r="AA63" s="21">
        <f>EXP(-LN(2)/25)*AA62+(1-EXP(-LN(2)/25))/(LN(2)/25)*Calculateur!V63*Calculateur!X63*VLOOKUP('Données projet'!$B$9,Paramètres!$A$1:$I$89,3,0)*0.475*44/12</f>
        <v>4.9111319570658187</v>
      </c>
      <c r="AB63" s="21">
        <f>EXP(-LN(2)/2)*AB62+(1-EXP(-LN(2)/2))/(LN(2)/2)*V63*Y63*VLOOKUP('Données projet'!$B$9,Paramètres!$A$1:$I$89,3,0)*0.475*44/12</f>
        <v>6.5775563885823443E-4</v>
      </c>
      <c r="AC63" s="22">
        <f t="shared" si="3"/>
        <v>6.2414186991108469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271</v>
      </c>
      <c r="AG63" s="12">
        <f>VLOOKUP(A63,'Données projet'!$A$61:$I$81,9,0)</f>
        <v>7.2</v>
      </c>
      <c r="AH63" s="12">
        <f t="array" ref="AH63">INDEX(AG:AG,MIN(IF(ISNUMBER(AG63:AG259),ROW(AG63:AG259),"")))</f>
        <v>7.2</v>
      </c>
      <c r="AI63" s="13">
        <f>IF('Données projet'!$A$62&gt;35,AI62+AH63-AQ62,IF(A63&lt;'Données projet'!$A$62,$AF$205^A63,IF(A63='Données projet'!$A$62,'Données projet'!$B$62,AI62+AH63-AQ62)))</f>
        <v>270.99999999999994</v>
      </c>
      <c r="AJ63" s="13">
        <f>AI63*VLOOKUP('Données projet'!$B$10,Paramètres!$A$1:$I$89,3,0)*VLOOKUP('Données projet'!$B$10,Paramètres!$A$1:$I$89,5,0)</f>
        <v>236.7456</v>
      </c>
      <c r="AK63" s="13">
        <f t="shared" si="35"/>
        <v>57.738775067879409</v>
      </c>
      <c r="AL63" s="20">
        <f t="shared" si="4"/>
        <v>512.89361990988994</v>
      </c>
      <c r="AM63" s="59">
        <f t="shared" si="5"/>
        <v>806.22695324322331</v>
      </c>
      <c r="AN63" s="59">
        <f ca="1">AVERAGE(OFFSET($AM$3,0,0,'Données projet'!$E$10+1,1))-AVERAGE(OFFSET($H$3,0,0,'Données projet'!$E$10+1,1))</f>
        <v>243.38048563215585</v>
      </c>
      <c r="AO63" s="59">
        <f t="shared" si="36"/>
        <v>372.1604147006675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55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4.0347362346118256</v>
      </c>
      <c r="AV63" s="21">
        <f>EXP(-LN(2)/25)*AV62+(1-EXP(-LN(2)/25))/(LN(2)/25)*Calculateur!AQ63*Calculateur!AS63*VLOOKUP('Données projet'!$B$10,Paramètres!$A$1:$I$89,3,0)*0.475*44/12</f>
        <v>8.4279865336997553</v>
      </c>
      <c r="AW63" s="21">
        <f>EXP(-LN(2)/2)*AW62+(1-EXP(-LN(2)/2))/(LN(2)/2)*AQ63*AT63*VLOOKUP('Données projet'!$B$10,Paramètres!$A$1:$I$89,3,0)*0.475*44/12</f>
        <v>8.9462094766730232E-4</v>
      </c>
      <c r="AX63" s="21">
        <f t="shared" si="6"/>
        <v>12.463617389259248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310</v>
      </c>
      <c r="BB63" s="12">
        <f>VLOOKUP(A63,'Données projet'!$A$87:$I$107,9,0)</f>
        <v>6.8</v>
      </c>
      <c r="BC63" s="12">
        <f t="array" ref="BC63">INDEX(BB:BB,MIN(IF(ISNUMBER(BB63:BB259),ROW(BB63:BB259),"")))</f>
        <v>6.8</v>
      </c>
      <c r="BD63" s="12">
        <f>IF('Données projet'!$A$88&gt;35,BD62+BC63-BL62,IF(A63&lt;'Données projet'!$A$88,$BA$205^A63,IF(A63='Données projet'!$A$88,'Données projet'!$B$88,BD62+BC63-BL62)))</f>
        <v>309.99999999999994</v>
      </c>
      <c r="BE63" s="13">
        <f>BD63*VLOOKUP('Données projet'!$B$11,Paramètres!$A$1:$I$89,3,0)*VLOOKUP('Données projet'!$B$11,Paramètres!$A$1:$I$89,5,0)</f>
        <v>207.94799999999998</v>
      </c>
      <c r="BF63" s="13">
        <f t="shared" si="37"/>
        <v>51.486916127068838</v>
      </c>
      <c r="BG63" s="20">
        <f t="shared" si="7"/>
        <v>451.84914558797823</v>
      </c>
      <c r="BH63" s="59">
        <f t="shared" si="8"/>
        <v>745.18247892131149</v>
      </c>
      <c r="BI63" s="59">
        <f ca="1">AVERAGE(OFFSET($BH$3,0,0,'Données projet'!$E$11+1,1))-AVERAGE(OFFSET($H$3,0,0,'Données projet'!$E$11+1,1))</f>
        <v>207.93042467236967</v>
      </c>
      <c r="BJ63" s="59">
        <f t="shared" si="38"/>
        <v>250.70954318710835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1.5187572474035993</v>
      </c>
      <c r="BQ63" s="21">
        <f>EXP(-LN(2)/25)*BQ62+(1-EXP(-LN(2)/25))/(LN(2)/25)*Calculateur!BL63*Calculateur!BN63*VLOOKUP('Données projet'!$B$11,Paramètres!$A$1:$I$89,3,0)*0.475*44/12</f>
        <v>7.5306286623474827</v>
      </c>
      <c r="BR63" s="21">
        <f>EXP(-LN(2)/2)*BR62+(1-EXP(-LN(2)/2))/(LN(2)/2)*BL63*BO63*VLOOKUP('Données projet'!$B$11,Paramètres!$A$1:$I$89,3,0)*0.475*44/12</f>
        <v>6.1853654023327591E-4</v>
      </c>
      <c r="BS63" s="22">
        <f t="shared" si="9"/>
        <v>9.0500044462913163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345</v>
      </c>
      <c r="BW63" s="12">
        <f>VLOOKUP(A63,'Données projet'!$A$113:$I$133,9,0)</f>
        <v>9.6999999999999993</v>
      </c>
      <c r="BX63" s="12">
        <f t="array" ref="BX63">INDEX(BW:BW,MIN(IF(ISNUMBER(BW63:BW259),ROW(BW63:BW259),"")))</f>
        <v>9.6999999999999993</v>
      </c>
      <c r="BY63" s="12">
        <f>IF('Données projet'!$A$114&gt;35,BY62+BX63-CG62,IF(A63&lt;'Données projet'!$A$114,$BV$205^A63,IF(A63='Données projet'!$A$114,'Données projet'!$B$114,BY62+BX63-CG62)))</f>
        <v>344.99999999999994</v>
      </c>
      <c r="BZ63" s="13">
        <f>BY63*VLOOKUP('Données projet'!$B$12,Paramètres!$A$1:$I$89,3,0)*VLOOKUP('Données projet'!$B$12,Paramètres!$A$1:$I$89,5,0)</f>
        <v>269.09999999999997</v>
      </c>
      <c r="CA63" s="13">
        <f t="shared" si="39"/>
        <v>64.658229472790993</v>
      </c>
      <c r="CB63" s="20">
        <f t="shared" si="10"/>
        <v>581.29558299844416</v>
      </c>
      <c r="CC63" s="59">
        <f t="shared" si="11"/>
        <v>874.62891633177742</v>
      </c>
      <c r="CD63" s="59">
        <f ca="1">AVERAGE(OFFSET($CC$3,0,0,'Données projet'!$E$12+1,1))-AVERAGE(OFFSET($H$3,0,0,'Données projet'!$E$12+1,1))</f>
        <v>266.30229009596883</v>
      </c>
      <c r="CE63" s="59">
        <f t="shared" si="40"/>
        <v>270.19195828386046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72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0.79826863408005899</v>
      </c>
      <c r="CL63" s="21">
        <f>EXP(-LN(2)/25)*CL62+(1-EXP(-LN(2)/25))/(LN(2)/25)*Calculateur!CG63*Calculateur!CI63*VLOOKUP('Données projet'!$B$12,Paramètres!$A$1:$I$89,3,0)*0.475*44/12</f>
        <v>3.6435686071630156</v>
      </c>
      <c r="CM63" s="21">
        <f>EXP(-LN(2)/2)*CM62+(1-EXP(-LN(2)/2))/(LN(2)/2)*CG63*CJ63*VLOOKUP('Données projet'!$B$12,Paramètres!$A$1:$I$89,3,0)*0.475*44/12</f>
        <v>3.9890074452825425E-4</v>
      </c>
      <c r="CN63" s="22">
        <f t="shared" si="12"/>
        <v>4.4422361419876033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310</v>
      </c>
      <c r="CR63" s="12">
        <f>VLOOKUP(A63,'Données projet'!$A$139:$I$159,9,0)</f>
        <v>6.8</v>
      </c>
      <c r="CS63" s="12">
        <f t="array" ref="CS63">INDEX(CR:CR,MIN(IF(ISNUMBER(CR63:CR259),ROW(CR63:CR259),"")))</f>
        <v>6.8</v>
      </c>
      <c r="CT63" s="12">
        <f>IF('Données projet'!$A$140&gt;35,CT62+CS63-DB62,IF(A63&lt;'Données projet'!$A$140,$CQ$205^A63,IF(A63='Données projet'!$A$140,'Données projet'!$B$140,CT62+CS63-DB62)))</f>
        <v>309.99999999999994</v>
      </c>
      <c r="CU63" s="17">
        <f>CT63*VLOOKUP('Données projet'!$B$13,Paramètres!$A$1:$I$89,3,0)*VLOOKUP('Données projet'!$B$13,Paramètres!$A$1:$I$89,5,0)</f>
        <v>246.63599999999997</v>
      </c>
      <c r="CV63" s="13">
        <f t="shared" si="41"/>
        <v>59.865023903294535</v>
      </c>
      <c r="CW63" s="20">
        <f t="shared" si="13"/>
        <v>533.82261663157112</v>
      </c>
      <c r="CX63" s="59">
        <f t="shared" si="14"/>
        <v>827.15594996490449</v>
      </c>
      <c r="CY63" s="59">
        <f ca="1">AVERAGE(OFFSET($CX$3,0,0,'Données projet'!$E$13+1,1))-AVERAGE(OFFSET($H$3,0,0,'Données projet'!$E$13+1,1))</f>
        <v>260.20517190557814</v>
      </c>
      <c r="CZ63" s="59">
        <f t="shared" si="42"/>
        <v>307.22009971147133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30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1.8013167352926416</v>
      </c>
      <c r="DG63" s="21">
        <f>EXP(-LN(2)/25)*DG62+(1-EXP(-LN(2)/25))/(LN(2)/25)*Calculateur!DB63*Calculateur!DD63*VLOOKUP('Données projet'!$B$13,Paramètres!$A$1:$I$89,3,0)*0.475*44/12</f>
        <v>8.9316758553423554</v>
      </c>
      <c r="DH63" s="21">
        <f>EXP(-LN(2)/2)*DH62+(1-EXP(-LN(2)/2))/(LN(2)/2)*DB63*DE63*VLOOKUP('Données projet'!$B$13,Paramètres!$A$1:$I$89,3,0)*0.475*44/12</f>
        <v>7.3361310585807148E-4</v>
      </c>
      <c r="DI63" s="22">
        <f t="shared" si="15"/>
        <v>10.733726203740854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301</v>
      </c>
      <c r="DM63" s="12">
        <f>VLOOKUP(A63,'Données projet'!$A$165:$I$185,9,0)</f>
        <v>9.8000000000000007</v>
      </c>
      <c r="DN63" s="12">
        <f t="array" ref="DN63">INDEX(DM:DM,MIN(IF(ISNUMBER(DM63:DM259),ROW(DM63:DM259),"")))</f>
        <v>9.8000000000000007</v>
      </c>
      <c r="DO63" s="12">
        <f>IF('Données projet'!$A$166&gt;35,DO62+DN63-DW62,IF(A63&lt;'Données projet'!$A$166,$DL$205^A63,IF(A63='Données projet'!$A$166,'Données projet'!$B$166,DO62+DN63-DW62)))</f>
        <v>301</v>
      </c>
      <c r="DP63" s="17">
        <f>DO63*VLOOKUP('Données projet'!$B$14,Paramètres!$A$1:$I$89,3,0)*VLOOKUP('Données projet'!$B$14,Paramètres!$A$1:$I$89,5,0)</f>
        <v>291.12720000000002</v>
      </c>
      <c r="DQ63" s="13">
        <f t="shared" si="43"/>
        <v>69.313146187847352</v>
      </c>
      <c r="DR63" s="20">
        <f t="shared" si="16"/>
        <v>627.76693627716747</v>
      </c>
      <c r="DS63" s="59">
        <f t="shared" si="17"/>
        <v>921.10026961050085</v>
      </c>
      <c r="DT63" s="59">
        <f ca="1">AVERAGE(OFFSET($DS$3,0,0,'Données projet'!$E$14+1,1))-AVERAGE(OFFSET($H$3,0,0,'Données projet'!$E$14+1,1))</f>
        <v>347.8889410585312</v>
      </c>
      <c r="DU63" s="59">
        <f t="shared" si="44"/>
        <v>254.78167322479203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56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1.4213275371928027</v>
      </c>
      <c r="EB63" s="21">
        <f>EXP(-LN(2)/25)*EB62+(1-EXP(-LN(2)/25))/(LN(2)/25)*Calculateur!DW63*Calculateur!DY63*VLOOKUP('Données projet'!$B$14,Paramètres!$A$1:$I$89,3,0)*0.475*44/12</f>
        <v>5.2498307127255321</v>
      </c>
      <c r="EC63" s="21">
        <f>EXP(-LN(2)/2)*EC62+(1-EXP(-LN(2)/2))/(LN(2)/2)*DW63*DZ63*VLOOKUP('Données projet'!$B$14,Paramètres!$A$1:$I$89,3,0)*0.475*44/12</f>
        <v>7.0311809671052509E-4</v>
      </c>
      <c r="ED63" s="22">
        <f t="shared" si="18"/>
        <v>6.6718613680150458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301</v>
      </c>
      <c r="EH63" s="12">
        <f>VLOOKUP(A63,'Données projet'!$A$191:$I$211,9,0)</f>
        <v>9.8000000000000007</v>
      </c>
      <c r="EI63" s="12">
        <f t="array" ref="EI63">INDEX(EH:EH,MIN(IF(ISNUMBER(EH63:EH259),ROW(EH63:EH259),"")))</f>
        <v>9.8000000000000007</v>
      </c>
      <c r="EJ63" s="12">
        <f>IF('Données projet'!$A$192&gt;35,EJ62+EI63-ER62,IF(A63&lt;'Données projet'!$A$192,$EG$205^A63,IF(A63='Données projet'!$A$192,'Données projet'!$B$192,EJ62+EI63-ER62)))</f>
        <v>301</v>
      </c>
      <c r="EK63" s="17">
        <f>EJ63*VLOOKUP('Données projet'!$B$15,Paramètres!$A$1:$I$89,3,0)*VLOOKUP('Données projet'!$B$15,Paramètres!$A$1:$I$89,5,0)</f>
        <v>323.99639999999999</v>
      </c>
      <c r="EL63" s="13">
        <f t="shared" si="45"/>
        <v>76.184280801792937</v>
      </c>
      <c r="EM63" s="20">
        <f t="shared" si="19"/>
        <v>696.98135239645615</v>
      </c>
      <c r="EN63" s="59">
        <f t="shared" si="20"/>
        <v>990.31468572978952</v>
      </c>
      <c r="EO63" s="59">
        <f ca="1">AVERAGE(OFFSET($EN$3,0,0,'Données projet'!$E$15+1,1))-AVERAGE(OFFSET($H$3,0,0,'Données projet'!$E$15+1,1))</f>
        <v>399.38728019348088</v>
      </c>
      <c r="EP63" s="59">
        <f t="shared" si="46"/>
        <v>289.54922160039791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56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1.5818000010694089</v>
      </c>
      <c r="EW63" s="21">
        <f>EXP(-LN(2)/25)*EW62+(1-EXP(-LN(2)/25))/(LN(2)/25)*Calculateur!ER63*Calculateur!ET63*VLOOKUP('Données projet'!$B$15,Paramètres!$A$1:$I$89,3,0)*0.475*44/12</f>
        <v>5.8425535351300297</v>
      </c>
      <c r="EX63" s="21">
        <f>EXP(-LN(2)/2)*EX62+(1-EXP(-LN(2)/2))/(LN(2)/2)*ER63*EU63*VLOOKUP('Données projet'!$B$15,Paramètres!$A$1:$I$89,3,0)*0.475*44/12</f>
        <v>7.8250239795203604E-4</v>
      </c>
      <c r="EY63" s="22">
        <f t="shared" si="21"/>
        <v>7.4251360385973904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</v>
      </c>
      <c r="N64" s="13">
        <f>IF('Données projet'!$A$36&gt;35,N63+M64-V63,IF(A64&lt;'Données projet'!$A$36,$K$205^A64,IF(A64='Données projet'!$A$36,'Données projet'!$B$36,N63+M64-V63)))</f>
        <v>253.5</v>
      </c>
      <c r="O64" s="13">
        <f>N64*VLOOKUP('Données projet'!$B$9,Paramètres!$A$1:$I$89,3,0)*VLOOKUP('Données projet'!$B$9,Paramètres!$A$1:$I$89,5,0)</f>
        <v>229.36680000000001</v>
      </c>
      <c r="P64" s="13">
        <f t="shared" si="33"/>
        <v>56.14574692729505</v>
      </c>
      <c r="Q64" s="20">
        <f t="shared" si="53"/>
        <v>497.26768589837212</v>
      </c>
      <c r="R64" s="59">
        <f t="shared" si="0"/>
        <v>790.60101923170544</v>
      </c>
      <c r="S64" s="59">
        <f ca="1">AVERAGE(OFFSET($R$3,0,0,'Données projet'!$E$9+1,1))-AVERAGE(OFFSET($H$3,0,0,'Données projet'!$E$9+1,1))</f>
        <v>318.40875902853116</v>
      </c>
      <c r="T64" s="59">
        <f t="shared" si="34"/>
        <v>234.87694492493506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1.3035557729763476</v>
      </c>
      <c r="AA64" s="21">
        <f>EXP(-LN(2)/25)*AA63+(1-EXP(-LN(2)/25))/(LN(2)/25)*Calculateur!V64*Calculateur!X64*VLOOKUP('Données projet'!$B$9,Paramètres!$A$1:$I$89,3,0)*0.475*44/12</f>
        <v>4.7768367954346491</v>
      </c>
      <c r="AB64" s="21">
        <f>EXP(-LN(2)/2)*AB63+(1-EXP(-LN(2)/2))/(LN(2)/2)*V64*Y64*VLOOKUP('Données projet'!$B$9,Paramètres!$A$1:$I$89,3,0)*0.475*44/12</f>
        <v>4.6510347260034739E-4</v>
      </c>
      <c r="AC64" s="22">
        <f t="shared" si="3"/>
        <v>6.0808576718835967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5.6</v>
      </c>
      <c r="AI64" s="13">
        <f>IF('Données projet'!$A$62&gt;35,AI63+AH64-AQ63,IF(A64&lt;'Données projet'!$A$62,$AF$205^A64,IF(A64='Données projet'!$A$62,'Données projet'!$B$62,AI63+AH64-AQ63)))</f>
        <v>221.59999999999997</v>
      </c>
      <c r="AJ64" s="13">
        <f>AI64*VLOOKUP('Données projet'!$B$10,Paramètres!$A$1:$I$89,3,0)*VLOOKUP('Données projet'!$B$10,Paramètres!$A$1:$I$89,5,0)</f>
        <v>193.58975999999998</v>
      </c>
      <c r="AK64" s="13">
        <f t="shared" si="35"/>
        <v>48.332731202087039</v>
      </c>
      <c r="AL64" s="20">
        <f t="shared" si="4"/>
        <v>421.34833884363485</v>
      </c>
      <c r="AM64" s="59">
        <f t="shared" si="5"/>
        <v>714.68167217696816</v>
      </c>
      <c r="AN64" s="59">
        <f ca="1">AVERAGE(OFFSET($AM$3,0,0,'Données projet'!$E$10+1,1))-AVERAGE(OFFSET($H$3,0,0,'Données projet'!$E$10+1,1))</f>
        <v>243.38048563215585</v>
      </c>
      <c r="AO64" s="59">
        <f t="shared" si="36"/>
        <v>372.1604147006675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3.9556175179971924</v>
      </c>
      <c r="AV64" s="21">
        <f>EXP(-LN(2)/25)*AV63+(1-EXP(-LN(2)/25))/(LN(2)/25)*Calculateur!AQ64*Calculateur!AS64*VLOOKUP('Données projet'!$B$10,Paramètres!$A$1:$I$89,3,0)*0.475*44/12</f>
        <v>8.1975227987271868</v>
      </c>
      <c r="AW64" s="21">
        <f>EXP(-LN(2)/2)*AW63+(1-EXP(-LN(2)/2))/(LN(2)/2)*AQ64*AT64*VLOOKUP('Données projet'!$B$10,Paramètres!$A$1:$I$89,3,0)*0.475*44/12</f>
        <v>6.3259253868708492E-4</v>
      </c>
      <c r="AX64" s="21">
        <f t="shared" si="6"/>
        <v>12.153772909263067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4.9000000000000004</v>
      </c>
      <c r="BD64" s="12">
        <f>IF('Données projet'!$A$88&gt;35,BD63+BC64-BL63,IF(A64&lt;'Données projet'!$A$88,$BA$205^A64,IF(A64='Données projet'!$A$88,'Données projet'!$B$88,BD63+BC64-BL63)))</f>
        <v>284.89999999999992</v>
      </c>
      <c r="BE64" s="13">
        <f>BD64*VLOOKUP('Données projet'!$B$11,Paramètres!$A$1:$I$89,3,0)*VLOOKUP('Données projet'!$B$11,Paramètres!$A$1:$I$89,5,0)</f>
        <v>191.11091999999994</v>
      </c>
      <c r="BF64" s="13">
        <f t="shared" si="37"/>
        <v>47.785478092704217</v>
      </c>
      <c r="BG64" s="20">
        <f t="shared" si="7"/>
        <v>416.07789334479304</v>
      </c>
      <c r="BH64" s="59">
        <f t="shared" si="8"/>
        <v>709.41122667812635</v>
      </c>
      <c r="BI64" s="59">
        <f ca="1">AVERAGE(OFFSET($BH$3,0,0,'Données projet'!$E$11+1,1))-AVERAGE(OFFSET($H$3,0,0,'Données projet'!$E$11+1,1))</f>
        <v>207.93042467236967</v>
      </c>
      <c r="BJ64" s="59">
        <f t="shared" si="38"/>
        <v>250.70954318710835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1.488975344132466</v>
      </c>
      <c r="BQ64" s="21">
        <f>EXP(-LN(2)/25)*BQ63+(1-EXP(-LN(2)/25))/(LN(2)/25)*Calculateur!BL64*Calculateur!BN64*VLOOKUP('Données projet'!$B$11,Paramètres!$A$1:$I$89,3,0)*0.475*44/12</f>
        <v>7.324703225557041</v>
      </c>
      <c r="BR64" s="21">
        <f>EXP(-LN(2)/2)*BR63+(1-EXP(-LN(2)/2))/(LN(2)/2)*BL64*BO64*VLOOKUP('Données projet'!$B$11,Paramètres!$A$1:$I$89,3,0)*0.475*44/12</f>
        <v>4.3737138201061518E-4</v>
      </c>
      <c r="BS64" s="22">
        <f t="shared" si="9"/>
        <v>8.8141159410715186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9.1</v>
      </c>
      <c r="BY64" s="12">
        <f>IF('Données projet'!$A$114&gt;35,BY63+BX64-CG63,IF(A64&lt;'Données projet'!$A$114,$BV$205^A64,IF(A64='Données projet'!$A$114,'Données projet'!$B$114,BY63+BX64-CG63)))</f>
        <v>282.09999999999997</v>
      </c>
      <c r="BZ64" s="13">
        <f>BY64*VLOOKUP('Données projet'!$B$12,Paramètres!$A$1:$I$89,3,0)*VLOOKUP('Données projet'!$B$12,Paramètres!$A$1:$I$89,5,0)</f>
        <v>220.03799999999998</v>
      </c>
      <c r="CA64" s="13">
        <f t="shared" si="39"/>
        <v>54.123144749824128</v>
      </c>
      <c r="CB64" s="20">
        <f t="shared" si="10"/>
        <v>477.49732710594367</v>
      </c>
      <c r="CC64" s="59">
        <f t="shared" si="11"/>
        <v>770.83066043927693</v>
      </c>
      <c r="CD64" s="59">
        <f ca="1">AVERAGE(OFFSET($CC$3,0,0,'Données projet'!$E$12+1,1))-AVERAGE(OFFSET($H$3,0,0,'Données projet'!$E$12+1,1))</f>
        <v>266.30229009596883</v>
      </c>
      <c r="CE64" s="59">
        <f t="shared" si="40"/>
        <v>270.19195828386046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0.78261507306153888</v>
      </c>
      <c r="CL64" s="21">
        <f>EXP(-LN(2)/25)*CL63+(1-EXP(-LN(2)/25))/(LN(2)/25)*Calculateur!CG64*Calculateur!CI64*VLOOKUP('Données projet'!$B$12,Paramètres!$A$1:$I$89,3,0)*0.475*44/12</f>
        <v>3.5439350319931973</v>
      </c>
      <c r="CM64" s="21">
        <f>EXP(-LN(2)/2)*CM63+(1-EXP(-LN(2)/2))/(LN(2)/2)*CG64*CJ64*VLOOKUP('Données projet'!$B$12,Paramètres!$A$1:$I$89,3,0)*0.475*44/12</f>
        <v>2.8206542147629117E-4</v>
      </c>
      <c r="CN64" s="22">
        <f t="shared" si="12"/>
        <v>4.3268321704762123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4.9000000000000004</v>
      </c>
      <c r="CT64" s="12">
        <f>IF('Données projet'!$A$140&gt;35,CT63+CS64-DB63,IF(A64&lt;'Données projet'!$A$140,$CQ$205^A64,IF(A64='Données projet'!$A$140,'Données projet'!$B$140,CT63+CS64-DB63)))</f>
        <v>284.89999999999992</v>
      </c>
      <c r="CU64" s="17">
        <f>CT64*VLOOKUP('Données projet'!$B$13,Paramètres!$A$1:$I$89,3,0)*VLOOKUP('Données projet'!$B$13,Paramètres!$A$1:$I$89,5,0)</f>
        <v>226.66643999999994</v>
      </c>
      <c r="CV64" s="13">
        <f t="shared" si="41"/>
        <v>55.561276600641385</v>
      </c>
      <c r="CW64" s="20">
        <f t="shared" si="13"/>
        <v>491.5466064127836</v>
      </c>
      <c r="CX64" s="59">
        <f t="shared" si="14"/>
        <v>784.87993974611686</v>
      </c>
      <c r="CY64" s="59">
        <f ca="1">AVERAGE(OFFSET($CX$3,0,0,'Données projet'!$E$13+1,1))-AVERAGE(OFFSET($H$3,0,0,'Données projet'!$E$13+1,1))</f>
        <v>260.20517190557814</v>
      </c>
      <c r="CZ64" s="59">
        <f t="shared" si="42"/>
        <v>307.22009971147133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1.7659940128082743</v>
      </c>
      <c r="DG64" s="21">
        <f>EXP(-LN(2)/25)*DG63+(1-EXP(-LN(2)/25))/(LN(2)/25)*Calculateur!DB64*Calculateur!DD64*VLOOKUP('Données projet'!$B$13,Paramètres!$A$1:$I$89,3,0)*0.475*44/12</f>
        <v>8.687438709381599</v>
      </c>
      <c r="DH64" s="21">
        <f>EXP(-LN(2)/2)*DH63+(1-EXP(-LN(2)/2))/(LN(2)/2)*DB64*DE64*VLOOKUP('Données projet'!$B$13,Paramètres!$A$1:$I$89,3,0)*0.475*44/12</f>
        <v>5.1874280191956687E-4</v>
      </c>
      <c r="DI64" s="22">
        <f t="shared" si="15"/>
        <v>10.453951464991793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8.5</v>
      </c>
      <c r="DO64" s="12">
        <f>IF('Données projet'!$A$166&gt;35,DO63+DN64-DW63,IF(A64&lt;'Données projet'!$A$166,$DL$205^A64,IF(A64='Données projet'!$A$166,'Données projet'!$B$166,DO63+DN64-DW63)))</f>
        <v>253.5</v>
      </c>
      <c r="DP64" s="17">
        <f>DO64*VLOOKUP('Données projet'!$B$14,Paramètres!$A$1:$I$89,3,0)*VLOOKUP('Données projet'!$B$14,Paramètres!$A$1:$I$89,5,0)</f>
        <v>245.18519999999998</v>
      </c>
      <c r="DQ64" s="13">
        <f t="shared" si="43"/>
        <v>59.553759878357077</v>
      </c>
      <c r="DR64" s="20">
        <f t="shared" si="16"/>
        <v>530.75368845480523</v>
      </c>
      <c r="DS64" s="59">
        <f t="shared" si="17"/>
        <v>824.0870217881386</v>
      </c>
      <c r="DT64" s="59">
        <f ca="1">AVERAGE(OFFSET($DS$3,0,0,'Données projet'!$E$14+1,1))-AVERAGE(OFFSET($H$3,0,0,'Données projet'!$E$14+1,1))</f>
        <v>347.8889410585312</v>
      </c>
      <c r="DU64" s="59">
        <f t="shared" si="44"/>
        <v>254.78167322479203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1.3934561711126479</v>
      </c>
      <c r="EB64" s="21">
        <f>EXP(-LN(2)/25)*EB63+(1-EXP(-LN(2)/25))/(LN(2)/25)*Calculateur!DW64*Calculateur!DY64*VLOOKUP('Données projet'!$B$14,Paramètres!$A$1:$I$89,3,0)*0.475*44/12</f>
        <v>5.1062738158094536</v>
      </c>
      <c r="EC64" s="21">
        <f>EXP(-LN(2)/2)*EC63+(1-EXP(-LN(2)/2))/(LN(2)/2)*DW64*DZ64*VLOOKUP('Données projet'!$B$14,Paramètres!$A$1:$I$89,3,0)*0.475*44/12</f>
        <v>4.9717957415899101E-4</v>
      </c>
      <c r="ED64" s="22">
        <f t="shared" si="18"/>
        <v>6.500227166496261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8.5</v>
      </c>
      <c r="EJ64" s="12">
        <f>IF('Données projet'!$A$192&gt;35,EJ63+EI64-ER63,IF(A64&lt;'Données projet'!$A$192,$EG$205^A64,IF(A64='Données projet'!$A$192,'Données projet'!$B$192,EJ63+EI64-ER63)))</f>
        <v>253.5</v>
      </c>
      <c r="EK64" s="17">
        <f>EJ64*VLOOKUP('Données projet'!$B$15,Paramètres!$A$1:$I$89,3,0)*VLOOKUP('Données projet'!$B$15,Paramètres!$A$1:$I$89,5,0)</f>
        <v>272.86739999999998</v>
      </c>
      <c r="EL64" s="13">
        <f t="shared" si="45"/>
        <v>65.457429288800483</v>
      </c>
      <c r="EM64" s="20">
        <f t="shared" si="19"/>
        <v>589.24907767799414</v>
      </c>
      <c r="EN64" s="59">
        <f t="shared" si="20"/>
        <v>882.58241101132739</v>
      </c>
      <c r="EO64" s="59">
        <f ca="1">AVERAGE(OFFSET($EN$3,0,0,'Données projet'!$E$15+1,1))-AVERAGE(OFFSET($H$3,0,0,'Données projet'!$E$15+1,1))</f>
        <v>399.38728019348088</v>
      </c>
      <c r="EP64" s="59">
        <f t="shared" si="46"/>
        <v>289.54922160039791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1.550781867851172</v>
      </c>
      <c r="EW64" s="21">
        <f>EXP(-LN(2)/25)*EW63+(1-EXP(-LN(2)/25))/(LN(2)/25)*Calculateur!ER64*Calculateur!ET64*VLOOKUP('Données projet'!$B$15,Paramètres!$A$1:$I$89,3,0)*0.475*44/12</f>
        <v>5.6827886014653624</v>
      </c>
      <c r="EX64" s="21">
        <f>EXP(-LN(2)/2)*EX63+(1-EXP(-LN(2)/2))/(LN(2)/2)*ER64*EU64*VLOOKUP('Données projet'!$B$15,Paramètres!$A$1:$I$89,3,0)*0.475*44/12</f>
        <v>5.5331275188661908E-4</v>
      </c>
      <c r="EY64" s="22">
        <f t="shared" si="21"/>
        <v>7.234123782068421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</v>
      </c>
      <c r="N65" s="13">
        <f>IF('Données projet'!$A$36&gt;35,N64+M65-V64,IF(A65&lt;'Données projet'!$A$36,$K$205^A65,IF(A65='Données projet'!$A$36,'Données projet'!$B$36,N64+M65-V64)))</f>
        <v>262</v>
      </c>
      <c r="O65" s="13">
        <f>N65*VLOOKUP('Données projet'!$B$9,Paramètres!$A$1:$I$89,3,0)*VLOOKUP('Données projet'!$B$9,Paramètres!$A$1:$I$89,5,0)</f>
        <v>237.05759999999998</v>
      </c>
      <c r="P65" s="13">
        <f t="shared" si="33"/>
        <v>57.806004997354641</v>
      </c>
      <c r="Q65" s="20">
        <f t="shared" si="53"/>
        <v>513.55411203705933</v>
      </c>
      <c r="R65" s="59">
        <f t="shared" si="0"/>
        <v>806.8874453703927</v>
      </c>
      <c r="S65" s="59">
        <f ca="1">AVERAGE(OFFSET($R$3,0,0,'Données projet'!$E$9+1,1))-AVERAGE(OFFSET($H$3,0,0,'Données projet'!$E$9+1,1))</f>
        <v>318.40875902853116</v>
      </c>
      <c r="T65" s="59">
        <f t="shared" si="34"/>
        <v>234.87694492493506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1.2779938393587942</v>
      </c>
      <c r="AA65" s="21">
        <f>EXP(-LN(2)/25)*AA64+(1-EXP(-LN(2)/25))/(LN(2)/25)*Calculateur!V65*Calculateur!X65*VLOOKUP('Données projet'!$B$9,Paramètres!$A$1:$I$89,3,0)*0.475*44/12</f>
        <v>4.6462139420605588</v>
      </c>
      <c r="AB65" s="21">
        <f>EXP(-LN(2)/2)*AB64+(1-EXP(-LN(2)/2))/(LN(2)/2)*V65*Y65*VLOOKUP('Données projet'!$B$9,Paramètres!$A$1:$I$89,3,0)*0.475*44/12</f>
        <v>3.2887781942911727E-4</v>
      </c>
      <c r="AC65" s="22">
        <f t="shared" si="3"/>
        <v>5.9245366592387825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5.6</v>
      </c>
      <c r="AI65" s="13">
        <f>IF('Données projet'!$A$62&gt;35,AI64+AH65-AQ64,IF(A65&lt;'Données projet'!$A$62,$AF$205^A65,IF(A65='Données projet'!$A$62,'Données projet'!$B$62,AI64+AH65-AQ64)))</f>
        <v>227.19999999999996</v>
      </c>
      <c r="AJ65" s="13">
        <f>AI65*VLOOKUP('Données projet'!$B$10,Paramètres!$A$1:$I$89,3,0)*VLOOKUP('Données projet'!$B$10,Paramètres!$A$1:$I$89,5,0)</f>
        <v>198.48191999999997</v>
      </c>
      <c r="AK65" s="13">
        <f t="shared" si="35"/>
        <v>49.410391887159271</v>
      </c>
      <c r="AL65" s="20">
        <f t="shared" si="4"/>
        <v>431.74577653680234</v>
      </c>
      <c r="AM65" s="59">
        <f t="shared" si="5"/>
        <v>725.07910987013565</v>
      </c>
      <c r="AN65" s="59">
        <f ca="1">AVERAGE(OFFSET($AM$3,0,0,'Données projet'!$E$10+1,1))-AVERAGE(OFFSET($H$3,0,0,'Données projet'!$E$10+1,1))</f>
        <v>243.38048563215585</v>
      </c>
      <c r="AO65" s="59">
        <f t="shared" si="36"/>
        <v>372.1604147006675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3.8780502711577203</v>
      </c>
      <c r="AV65" s="21">
        <f>EXP(-LN(2)/25)*AV64+(1-EXP(-LN(2)/25))/(LN(2)/25)*Calculateur!AQ65*Calculateur!AS65*VLOOKUP('Données projet'!$B$10,Paramètres!$A$1:$I$89,3,0)*0.475*44/12</f>
        <v>7.9733611067070038</v>
      </c>
      <c r="AW65" s="21">
        <f>EXP(-LN(2)/2)*AW64+(1-EXP(-LN(2)/2))/(LN(2)/2)*AQ65*AT65*VLOOKUP('Données projet'!$B$10,Paramètres!$A$1:$I$89,3,0)*0.475*44/12</f>
        <v>4.4731047383365116E-4</v>
      </c>
      <c r="AX65" s="21">
        <f t="shared" si="6"/>
        <v>11.851858688338559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4.9000000000000004</v>
      </c>
      <c r="BD65" s="12">
        <f>IF('Données projet'!$A$88&gt;35,BD64+BC65-BL64,IF(A65&lt;'Données projet'!$A$88,$BA$205^A65,IF(A65='Données projet'!$A$88,'Données projet'!$B$88,BD64+BC65-BL64)))</f>
        <v>289.7999999999999</v>
      </c>
      <c r="BE65" s="13">
        <f>BD65*VLOOKUP('Données projet'!$B$11,Paramètres!$A$1:$I$89,3,0)*VLOOKUP('Données projet'!$B$11,Paramètres!$A$1:$I$89,5,0)</f>
        <v>194.39783999999992</v>
      </c>
      <c r="BF65" s="13">
        <f t="shared" si="37"/>
        <v>48.510954167370699</v>
      </c>
      <c r="BG65" s="20">
        <f t="shared" si="7"/>
        <v>423.06614984150383</v>
      </c>
      <c r="BH65" s="59">
        <f t="shared" si="8"/>
        <v>716.39948317483709</v>
      </c>
      <c r="BI65" s="59">
        <f ca="1">AVERAGE(OFFSET($BH$3,0,0,'Données projet'!$E$11+1,1))-AVERAGE(OFFSET($H$3,0,0,'Données projet'!$E$11+1,1))</f>
        <v>207.93042467236967</v>
      </c>
      <c r="BJ65" s="59">
        <f t="shared" si="38"/>
        <v>250.70954318710835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1.4597774458193125</v>
      </c>
      <c r="BQ65" s="21">
        <f>EXP(-LN(2)/25)*BQ64+(1-EXP(-LN(2)/25))/(LN(2)/25)*Calculateur!BL65*Calculateur!BN65*VLOOKUP('Données projet'!$B$11,Paramètres!$A$1:$I$89,3,0)*0.475*44/12</f>
        <v>7.1244088306647821</v>
      </c>
      <c r="BR65" s="21">
        <f>EXP(-LN(2)/2)*BR64+(1-EXP(-LN(2)/2))/(LN(2)/2)*BL65*BO65*VLOOKUP('Données projet'!$B$11,Paramètres!$A$1:$I$89,3,0)*0.475*44/12</f>
        <v>3.0926827011663795E-4</v>
      </c>
      <c r="BS65" s="22">
        <f t="shared" si="9"/>
        <v>8.5844955447542119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9.1</v>
      </c>
      <c r="BY65" s="12">
        <f>IF('Données projet'!$A$114&gt;35,BY64+BX65-CG64,IF(A65&lt;'Données projet'!$A$114,$BV$205^A65,IF(A65='Données projet'!$A$114,'Données projet'!$B$114,BY64+BX65-CG64)))</f>
        <v>291.2</v>
      </c>
      <c r="BZ65" s="13">
        <f>BY65*VLOOKUP('Données projet'!$B$12,Paramètres!$A$1:$I$89,3,0)*VLOOKUP('Données projet'!$B$12,Paramètres!$A$1:$I$89,5,0)</f>
        <v>227.136</v>
      </c>
      <c r="CA65" s="13">
        <f t="shared" si="39"/>
        <v>55.662966886685133</v>
      </c>
      <c r="CB65" s="20">
        <f t="shared" si="10"/>
        <v>492.54153399430999</v>
      </c>
      <c r="CC65" s="59">
        <f t="shared" si="11"/>
        <v>785.8748673276433</v>
      </c>
      <c r="CD65" s="59">
        <f ca="1">AVERAGE(OFFSET($CC$3,0,0,'Données projet'!$E$12+1,1))-AVERAGE(OFFSET($H$3,0,0,'Données projet'!$E$12+1,1))</f>
        <v>266.30229009596883</v>
      </c>
      <c r="CE65" s="59">
        <f t="shared" si="40"/>
        <v>270.19195828386046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0.7672684688268625</v>
      </c>
      <c r="CL65" s="21">
        <f>EXP(-LN(2)/25)*CL64+(1-EXP(-LN(2)/25))/(LN(2)/25)*Calculateur!CG65*Calculateur!CI65*VLOOKUP('Données projet'!$B$12,Paramètres!$A$1:$I$89,3,0)*0.475*44/12</f>
        <v>3.4470259421758995</v>
      </c>
      <c r="CM65" s="21">
        <f>EXP(-LN(2)/2)*CM64+(1-EXP(-LN(2)/2))/(LN(2)/2)*CG65*CJ65*VLOOKUP('Données projet'!$B$12,Paramètres!$A$1:$I$89,3,0)*0.475*44/12</f>
        <v>1.9945037226412713E-4</v>
      </c>
      <c r="CN65" s="22">
        <f t="shared" si="12"/>
        <v>4.2144938613750265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4.9000000000000004</v>
      </c>
      <c r="CT65" s="12">
        <f>IF('Données projet'!$A$140&gt;35,CT64+CS65-DB64,IF(A65&lt;'Données projet'!$A$140,$CQ$205^A65,IF(A65='Données projet'!$A$140,'Données projet'!$B$140,CT64+CS65-DB64)))</f>
        <v>289.7999999999999</v>
      </c>
      <c r="CU65" s="17">
        <f>CT65*VLOOKUP('Données projet'!$B$13,Paramètres!$A$1:$I$89,3,0)*VLOOKUP('Données projet'!$B$13,Paramètres!$A$1:$I$89,5,0)</f>
        <v>230.56487999999993</v>
      </c>
      <c r="CV65" s="13">
        <f t="shared" si="41"/>
        <v>56.404804351341944</v>
      </c>
      <c r="CW65" s="20">
        <f t="shared" si="13"/>
        <v>499.80553357858707</v>
      </c>
      <c r="CX65" s="59">
        <f t="shared" si="14"/>
        <v>793.13886691192033</v>
      </c>
      <c r="CY65" s="59">
        <f ca="1">AVERAGE(OFFSET($CX$3,0,0,'Données projet'!$E$13+1,1))-AVERAGE(OFFSET($H$3,0,0,'Données projet'!$E$13+1,1))</f>
        <v>260.20517190557814</v>
      </c>
      <c r="CZ65" s="59">
        <f t="shared" si="42"/>
        <v>307.22009971147133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1.7313639473670921</v>
      </c>
      <c r="DG65" s="21">
        <f>EXP(-LN(2)/25)*DG64+(1-EXP(-LN(2)/25))/(LN(2)/25)*Calculateur!DB65*Calculateur!DD65*VLOOKUP('Données projet'!$B$13,Paramètres!$A$1:$I$89,3,0)*0.475*44/12</f>
        <v>8.4498802410210132</v>
      </c>
      <c r="DH65" s="21">
        <f>EXP(-LN(2)/2)*DH64+(1-EXP(-LN(2)/2))/(LN(2)/2)*DB65*DE65*VLOOKUP('Données projet'!$B$13,Paramètres!$A$1:$I$89,3,0)*0.475*44/12</f>
        <v>3.6680655292903574E-4</v>
      </c>
      <c r="DI65" s="22">
        <f t="shared" si="15"/>
        <v>10.181610994941034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8.5</v>
      </c>
      <c r="DO65" s="12">
        <f>IF('Données projet'!$A$166&gt;35,DO64+DN65-DW64,IF(A65&lt;'Données projet'!$A$166,$DL$205^A65,IF(A65='Données projet'!$A$166,'Données projet'!$B$166,DO64+DN65-DW64)))</f>
        <v>262</v>
      </c>
      <c r="DP65" s="17">
        <f>DO65*VLOOKUP('Données projet'!$B$14,Paramètres!$A$1:$I$89,3,0)*VLOOKUP('Données projet'!$B$14,Paramètres!$A$1:$I$89,5,0)</f>
        <v>253.40640000000002</v>
      </c>
      <c r="DQ65" s="13">
        <f t="shared" si="43"/>
        <v>61.314794611201144</v>
      </c>
      <c r="DR65" s="20">
        <f t="shared" si="16"/>
        <v>548.13941394784206</v>
      </c>
      <c r="DS65" s="59">
        <f t="shared" si="17"/>
        <v>841.47274728117532</v>
      </c>
      <c r="DT65" s="59">
        <f ca="1">AVERAGE(OFFSET($DS$3,0,0,'Données projet'!$E$14+1,1))-AVERAGE(OFFSET($H$3,0,0,'Données projet'!$E$14+1,1))</f>
        <v>347.8889410585312</v>
      </c>
      <c r="DU65" s="59">
        <f t="shared" si="44"/>
        <v>254.78167322479203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1.3661313455214701</v>
      </c>
      <c r="EB65" s="21">
        <f>EXP(-LN(2)/25)*EB64+(1-EXP(-LN(2)/25))/(LN(2)/25)*Calculateur!DW65*Calculateur!DY65*VLOOKUP('Données projet'!$B$14,Paramètres!$A$1:$I$89,3,0)*0.475*44/12</f>
        <v>4.9666424897888746</v>
      </c>
      <c r="EC65" s="21">
        <f>EXP(-LN(2)/2)*EC64+(1-EXP(-LN(2)/2))/(LN(2)/2)*DW65*DZ65*VLOOKUP('Données projet'!$B$14,Paramètres!$A$1:$I$89,3,0)*0.475*44/12</f>
        <v>3.5155904835526254E-4</v>
      </c>
      <c r="ED65" s="22">
        <f t="shared" si="18"/>
        <v>6.3331253943587003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8.5</v>
      </c>
      <c r="EJ65" s="12">
        <f>IF('Données projet'!$A$192&gt;35,EJ64+EI65-ER64,IF(A65&lt;'Données projet'!$A$192,$EG$205^A65,IF(A65='Données projet'!$A$192,'Données projet'!$B$192,EJ64+EI65-ER64)))</f>
        <v>262</v>
      </c>
      <c r="EK65" s="17">
        <f>EJ65*VLOOKUP('Données projet'!$B$15,Paramètres!$A$1:$I$89,3,0)*VLOOKUP('Données projet'!$B$15,Paramètres!$A$1:$I$89,5,0)</f>
        <v>282.01679999999999</v>
      </c>
      <c r="EL65" s="13">
        <f t="shared" si="45"/>
        <v>67.393038505342176</v>
      </c>
      <c r="EM65" s="20">
        <f t="shared" si="19"/>
        <v>608.55546873013759</v>
      </c>
      <c r="EN65" s="59">
        <f t="shared" si="20"/>
        <v>901.88880206347085</v>
      </c>
      <c r="EO65" s="59">
        <f ca="1">AVERAGE(OFFSET($EN$3,0,0,'Données projet'!$E$15+1,1))-AVERAGE(OFFSET($H$3,0,0,'Données projet'!$E$15+1,1))</f>
        <v>399.38728019348088</v>
      </c>
      <c r="EP65" s="59">
        <f t="shared" si="46"/>
        <v>289.54922160039791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1.5203719813061516</v>
      </c>
      <c r="EW65" s="21">
        <f>EXP(-LN(2)/25)*EW64+(1-EXP(-LN(2)/25))/(LN(2)/25)*Calculateur!ER65*Calculateur!ET65*VLOOKUP('Données projet'!$B$15,Paramètres!$A$1:$I$89,3,0)*0.475*44/12</f>
        <v>5.527392448313428</v>
      </c>
      <c r="EX65" s="21">
        <f>EXP(-LN(2)/2)*EX64+(1-EXP(-LN(2)/2))/(LN(2)/2)*ER65*EU65*VLOOKUP('Données projet'!$B$15,Paramètres!$A$1:$I$89,3,0)*0.475*44/12</f>
        <v>3.9125119897601802E-4</v>
      </c>
      <c r="EY65" s="22">
        <f t="shared" si="21"/>
        <v>7.0481556808185557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</v>
      </c>
      <c r="N66" s="13">
        <f>IF('Données projet'!$A$36&gt;35,N65+M66-V65,IF(A66&lt;'Données projet'!$A$36,$K$205^A66,IF(A66='Données projet'!$A$36,'Données projet'!$B$36,N65+M66-V65)))</f>
        <v>270.5</v>
      </c>
      <c r="O66" s="13">
        <f>N66*VLOOKUP('Données projet'!$B$9,Paramètres!$A$1:$I$89,3,0)*VLOOKUP('Données projet'!$B$9,Paramètres!$A$1:$I$89,5,0)</f>
        <v>244.74839999999998</v>
      </c>
      <c r="P66" s="13">
        <f t="shared" si="33"/>
        <v>59.460004038665112</v>
      </c>
      <c r="Q66" s="20">
        <f t="shared" si="53"/>
        <v>529.82963703400833</v>
      </c>
      <c r="R66" s="59">
        <f t="shared" si="0"/>
        <v>823.16297036734159</v>
      </c>
      <c r="S66" s="59">
        <f ca="1">AVERAGE(OFFSET($R$3,0,0,'Données projet'!$E$9+1,1))-AVERAGE(OFFSET($H$3,0,0,'Données projet'!$E$9+1,1))</f>
        <v>318.40875902853116</v>
      </c>
      <c r="T66" s="59">
        <f t="shared" si="34"/>
        <v>234.87694492493506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1.2529331596682411</v>
      </c>
      <c r="AA66" s="21">
        <f>EXP(-LN(2)/25)*AA65+(1-EXP(-LN(2)/25))/(LN(2)/25)*Calculateur!V66*Calculateur!X66*VLOOKUP('Données projet'!$B$9,Paramètres!$A$1:$I$89,3,0)*0.475*44/12</f>
        <v>4.519162977481141</v>
      </c>
      <c r="AB66" s="21">
        <f>EXP(-LN(2)/2)*AB65+(1-EXP(-LN(2)/2))/(LN(2)/2)*V66*Y66*VLOOKUP('Données projet'!$B$9,Paramètres!$A$1:$I$89,3,0)*0.475*44/12</f>
        <v>2.3255173630017372E-4</v>
      </c>
      <c r="AC66" s="22">
        <f t="shared" si="3"/>
        <v>5.7723286888856817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5.6</v>
      </c>
      <c r="AI66" s="13">
        <f>IF('Données projet'!$A$62&gt;35,AI65+AH66-AQ65,IF(A66&lt;'Données projet'!$A$62,$AF$205^A66,IF(A66='Données projet'!$A$62,'Données projet'!$B$62,AI65+AH66-AQ65)))</f>
        <v>232.79999999999995</v>
      </c>
      <c r="AJ66" s="13">
        <f>AI66*VLOOKUP('Données projet'!$B$10,Paramètres!$A$1:$I$89,3,0)*VLOOKUP('Données projet'!$B$10,Paramètres!$A$1:$I$89,5,0)</f>
        <v>203.37407999999999</v>
      </c>
      <c r="AK66" s="13">
        <f t="shared" si="35"/>
        <v>50.484964849140574</v>
      </c>
      <c r="AL66" s="20">
        <f t="shared" si="4"/>
        <v>442.1378364455864</v>
      </c>
      <c r="AM66" s="59">
        <f t="shared" si="5"/>
        <v>735.47116977891972</v>
      </c>
      <c r="AN66" s="59">
        <f ca="1">AVERAGE(OFFSET($AM$3,0,0,'Données projet'!$E$10+1,1))-AVERAGE(OFFSET($H$3,0,0,'Données projet'!$E$10+1,1))</f>
        <v>243.38048563215585</v>
      </c>
      <c r="AO66" s="59">
        <f t="shared" si="36"/>
        <v>372.1604147006675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3.8020040707174214</v>
      </c>
      <c r="AV66" s="21">
        <f>EXP(-LN(2)/25)*AV65+(1-EXP(-LN(2)/25))/(LN(2)/25)*Calculateur!AQ66*Calculateur!AS66*VLOOKUP('Données projet'!$B$10,Paramètres!$A$1:$I$89,3,0)*0.475*44/12</f>
        <v>7.7553291279432637</v>
      </c>
      <c r="AW66" s="21">
        <f>EXP(-LN(2)/2)*AW65+(1-EXP(-LN(2)/2))/(LN(2)/2)*AQ66*AT66*VLOOKUP('Données projet'!$B$10,Paramètres!$A$1:$I$89,3,0)*0.475*44/12</f>
        <v>3.1629626934354246E-4</v>
      </c>
      <c r="AX66" s="21">
        <f t="shared" si="6"/>
        <v>11.557649494930029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4.9000000000000004</v>
      </c>
      <c r="BD66" s="12">
        <f>IF('Données projet'!$A$88&gt;35,BD65+BC66-BL65,IF(A66&lt;'Données projet'!$A$88,$BA$205^A66,IF(A66='Données projet'!$A$88,'Données projet'!$B$88,BD65+BC66-BL65)))</f>
        <v>294.69999999999987</v>
      </c>
      <c r="BE66" s="13">
        <f>BD66*VLOOKUP('Données projet'!$B$11,Paramètres!$A$1:$I$89,3,0)*VLOOKUP('Données projet'!$B$11,Paramètres!$A$1:$I$89,5,0)</f>
        <v>197.68475999999993</v>
      </c>
      <c r="BF66" s="13">
        <f t="shared" si="37"/>
        <v>49.235003753287103</v>
      </c>
      <c r="BG66" s="20">
        <f t="shared" si="7"/>
        <v>430.05192187030821</v>
      </c>
      <c r="BH66" s="59">
        <f t="shared" si="8"/>
        <v>723.38525520364146</v>
      </c>
      <c r="BI66" s="59">
        <f ca="1">AVERAGE(OFFSET($BH$3,0,0,'Données projet'!$E$11+1,1))-AVERAGE(OFFSET($H$3,0,0,'Données projet'!$E$11+1,1))</f>
        <v>207.93042467236967</v>
      </c>
      <c r="BJ66" s="59">
        <f t="shared" si="38"/>
        <v>250.70954318710835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1.4311521004831202</v>
      </c>
      <c r="BQ66" s="21">
        <f>EXP(-LN(2)/25)*BQ65+(1-EXP(-LN(2)/25))/(LN(2)/25)*Calculateur!BL66*Calculateur!BN66*VLOOKUP('Données projet'!$B$11,Paramètres!$A$1:$I$89,3,0)*0.475*44/12</f>
        <v>6.9295914965338765</v>
      </c>
      <c r="BR66" s="21">
        <f>EXP(-LN(2)/2)*BR65+(1-EXP(-LN(2)/2))/(LN(2)/2)*BL66*BO66*VLOOKUP('Données projet'!$B$11,Paramètres!$A$1:$I$89,3,0)*0.475*44/12</f>
        <v>2.1868569100530759E-4</v>
      </c>
      <c r="BS66" s="22">
        <f t="shared" si="9"/>
        <v>8.3609622827080017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9.1</v>
      </c>
      <c r="BY66" s="12">
        <f>IF('Données projet'!$A$114&gt;35,BY65+BX66-CG65,IF(A66&lt;'Données projet'!$A$114,$BV$205^A66,IF(A66='Données projet'!$A$114,'Données projet'!$B$114,BY65+BX66-CG65)))</f>
        <v>300.3</v>
      </c>
      <c r="BZ66" s="13">
        <f>BY66*VLOOKUP('Données projet'!$B$12,Paramètres!$A$1:$I$89,3,0)*VLOOKUP('Données projet'!$B$12,Paramètres!$A$1:$I$89,5,0)</f>
        <v>234.23400000000001</v>
      </c>
      <c r="CA66" s="13">
        <f t="shared" si="39"/>
        <v>57.197197133603488</v>
      </c>
      <c r="CB66" s="20">
        <f t="shared" si="10"/>
        <v>507.57600167435936</v>
      </c>
      <c r="CC66" s="59">
        <f t="shared" si="11"/>
        <v>800.90933500769268</v>
      </c>
      <c r="CD66" s="59">
        <f ca="1">AVERAGE(OFFSET($CC$3,0,0,'Données projet'!$E$12+1,1))-AVERAGE(OFFSET($H$3,0,0,'Données projet'!$E$12+1,1))</f>
        <v>266.30229009596883</v>
      </c>
      <c r="CE66" s="59">
        <f t="shared" si="40"/>
        <v>270.19195828386046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0.75222280214072379</v>
      </c>
      <c r="CL66" s="21">
        <f>EXP(-LN(2)/25)*CL65+(1-EXP(-LN(2)/25))/(LN(2)/25)*Calculateur!CG66*Calculateur!CI66*VLOOKUP('Données projet'!$B$12,Paramètres!$A$1:$I$89,3,0)*0.475*44/12</f>
        <v>3.3527668365158836</v>
      </c>
      <c r="CM66" s="21">
        <f>EXP(-LN(2)/2)*CM65+(1-EXP(-LN(2)/2))/(LN(2)/2)*CG66*CJ66*VLOOKUP('Données projet'!$B$12,Paramètres!$A$1:$I$89,3,0)*0.475*44/12</f>
        <v>1.4103271073814558E-4</v>
      </c>
      <c r="CN66" s="22">
        <f t="shared" si="12"/>
        <v>4.1051306713673457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4.9000000000000004</v>
      </c>
      <c r="CT66" s="12">
        <f>IF('Données projet'!$A$140&gt;35,CT65+CS66-DB65,IF(A66&lt;'Données projet'!$A$140,$CQ$205^A66,IF(A66='Données projet'!$A$140,'Données projet'!$B$140,CT65+CS66-DB65)))</f>
        <v>294.69999999999987</v>
      </c>
      <c r="CU66" s="17">
        <f>CT66*VLOOKUP('Données projet'!$B$13,Paramètres!$A$1:$I$89,3,0)*VLOOKUP('Données projet'!$B$13,Paramètres!$A$1:$I$89,5,0)</f>
        <v>234.46331999999992</v>
      </c>
      <c r="CV66" s="13">
        <f t="shared" si="41"/>
        <v>57.24667349069928</v>
      </c>
      <c r="CW66" s="20">
        <f t="shared" si="13"/>
        <v>508.06157199630115</v>
      </c>
      <c r="CX66" s="59">
        <f t="shared" si="14"/>
        <v>801.39490532963441</v>
      </c>
      <c r="CY66" s="59">
        <f ca="1">AVERAGE(OFFSET($CX$3,0,0,'Données projet'!$E$13+1,1))-AVERAGE(OFFSET($H$3,0,0,'Données projet'!$E$13+1,1))</f>
        <v>260.20517190557814</v>
      </c>
      <c r="CZ66" s="59">
        <f t="shared" si="42"/>
        <v>307.22009971147133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1.6974129563869573</v>
      </c>
      <c r="DG66" s="21">
        <f>EXP(-LN(2)/25)*DG65+(1-EXP(-LN(2)/25))/(LN(2)/25)*Calculateur!DB66*Calculateur!DD66*VLOOKUP('Données projet'!$B$13,Paramètres!$A$1:$I$89,3,0)*0.475*44/12</f>
        <v>8.2188178214704042</v>
      </c>
      <c r="DH66" s="21">
        <f>EXP(-LN(2)/2)*DH65+(1-EXP(-LN(2)/2))/(LN(2)/2)*DB66*DE66*VLOOKUP('Données projet'!$B$13,Paramètres!$A$1:$I$89,3,0)*0.475*44/12</f>
        <v>2.5937140095978344E-4</v>
      </c>
      <c r="DI66" s="22">
        <f t="shared" si="15"/>
        <v>9.9164901492583208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8.5</v>
      </c>
      <c r="DO66" s="12">
        <f>IF('Données projet'!$A$166&gt;35,DO65+DN66-DW65,IF(A66&lt;'Données projet'!$A$166,$DL$205^A66,IF(A66='Données projet'!$A$166,'Données projet'!$B$166,DO65+DN66-DW65)))</f>
        <v>270.5</v>
      </c>
      <c r="DP66" s="17">
        <f>DO66*VLOOKUP('Données projet'!$B$14,Paramètres!$A$1:$I$89,3,0)*VLOOKUP('Données projet'!$B$14,Paramètres!$A$1:$I$89,5,0)</f>
        <v>261.62760000000003</v>
      </c>
      <c r="DQ66" s="13">
        <f t="shared" si="43"/>
        <v>63.06919039602851</v>
      </c>
      <c r="DR66" s="20">
        <f t="shared" si="16"/>
        <v>565.51357660641634</v>
      </c>
      <c r="DS66" s="59">
        <f t="shared" si="17"/>
        <v>858.84690993974959</v>
      </c>
      <c r="DT66" s="59">
        <f ca="1">AVERAGE(OFFSET($DS$3,0,0,'Données projet'!$E$14+1,1))-AVERAGE(OFFSET($H$3,0,0,'Données projet'!$E$14+1,1))</f>
        <v>347.8889410585312</v>
      </c>
      <c r="DU66" s="59">
        <f t="shared" si="44"/>
        <v>254.78167322479203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1.3393423430936375</v>
      </c>
      <c r="EB66" s="21">
        <f>EXP(-LN(2)/25)*EB65+(1-EXP(-LN(2)/25))/(LN(2)/25)*Calculateur!DW66*Calculateur!DY66*VLOOKUP('Données projet'!$B$14,Paramètres!$A$1:$I$89,3,0)*0.475*44/12</f>
        <v>4.8308293897212211</v>
      </c>
      <c r="EC66" s="21">
        <f>EXP(-LN(2)/2)*EC65+(1-EXP(-LN(2)/2))/(LN(2)/2)*DW66*DZ66*VLOOKUP('Données projet'!$B$14,Paramètres!$A$1:$I$89,3,0)*0.475*44/12</f>
        <v>2.4858978707949551E-4</v>
      </c>
      <c r="ED66" s="22">
        <f t="shared" si="18"/>
        <v>6.1704203226019381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8.5</v>
      </c>
      <c r="EJ66" s="12">
        <f>IF('Données projet'!$A$192&gt;35,EJ65+EI66-ER65,IF(A66&lt;'Données projet'!$A$192,$EG$205^A66,IF(A66='Données projet'!$A$192,'Données projet'!$B$192,EJ65+EI66-ER65)))</f>
        <v>270.5</v>
      </c>
      <c r="EK66" s="17">
        <f>EJ66*VLOOKUP('Données projet'!$B$15,Paramètres!$A$1:$I$89,3,0)*VLOOKUP('Données projet'!$B$15,Paramètres!$A$1:$I$89,5,0)</f>
        <v>291.1662</v>
      </c>
      <c r="EL66" s="13">
        <f t="shared" si="45"/>
        <v>69.321350643223582</v>
      </c>
      <c r="EM66" s="20">
        <f t="shared" si="19"/>
        <v>627.84915070361444</v>
      </c>
      <c r="EN66" s="59">
        <f t="shared" si="20"/>
        <v>921.1824840369477</v>
      </c>
      <c r="EO66" s="59">
        <f ca="1">AVERAGE(OFFSET($EN$3,0,0,'Données projet'!$E$15+1,1))-AVERAGE(OFFSET($H$3,0,0,'Données projet'!$E$15+1,1))</f>
        <v>399.38728019348088</v>
      </c>
      <c r="EP66" s="59">
        <f t="shared" si="46"/>
        <v>289.54922160039791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1.4905584140880799</v>
      </c>
      <c r="EW66" s="21">
        <f>EXP(-LN(2)/25)*EW65+(1-EXP(-LN(2)/25))/(LN(2)/25)*Calculateur!ER66*Calculateur!ET66*VLOOKUP('Données projet'!$B$15,Paramètres!$A$1:$I$89,3,0)*0.475*44/12</f>
        <v>5.3762456111413615</v>
      </c>
      <c r="EX66" s="21">
        <f>EXP(-LN(2)/2)*EX65+(1-EXP(-LN(2)/2))/(LN(2)/2)*ER66*EU66*VLOOKUP('Données projet'!$B$15,Paramètres!$A$1:$I$89,3,0)*0.475*44/12</f>
        <v>2.7665637594330954E-4</v>
      </c>
      <c r="EY66" s="22">
        <f t="shared" si="21"/>
        <v>6.8670806816053851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</v>
      </c>
      <c r="N67" s="13">
        <f>IF('Données projet'!$A$36&gt;35,N66+M67-V66,IF(A67&lt;'Données projet'!$A$36,$K$205^A67,IF(A67='Données projet'!$A$36,'Données projet'!$B$36,N66+M67-V66)))</f>
        <v>279</v>
      </c>
      <c r="O67" s="13">
        <f>N67*VLOOKUP('Données projet'!$B$9,Paramètres!$A$1:$I$89,3,0)*VLOOKUP('Données projet'!$B$9,Paramètres!$A$1:$I$89,5,0)</f>
        <v>252.4392</v>
      </c>
      <c r="P67" s="13">
        <f t="shared" si="33"/>
        <v>61.107963296116218</v>
      </c>
      <c r="Q67" s="20">
        <f t="shared" ref="Q67:Q98" si="54">(O67+P67)*0.475*44/12</f>
        <v>546.09464274073571</v>
      </c>
      <c r="R67" s="59">
        <f t="shared" ref="R67:R130" si="55">Q67+(I67+J67)*44/12</f>
        <v>839.42797607406897</v>
      </c>
      <c r="S67" s="59">
        <f ca="1">AVERAGE(OFFSET($R$3,0,0,'Données projet'!$E$9+1,1))-AVERAGE(OFFSET($H$3,0,0,'Données projet'!$E$9+1,1))</f>
        <v>318.40875902853116</v>
      </c>
      <c r="T67" s="59">
        <f t="shared" si="34"/>
        <v>234.87694492493506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1.2283639046209145</v>
      </c>
      <c r="AA67" s="21">
        <f>EXP(-LN(2)/25)*AA66+(1-EXP(-LN(2)/25))/(LN(2)/25)*Calculateur!V67*Calculateur!X67*VLOOKUP('Données projet'!$B$9,Paramètres!$A$1:$I$89,3,0)*0.475*44/12</f>
        <v>4.3955862282094671</v>
      </c>
      <c r="AB67" s="21">
        <f>EXP(-LN(2)/2)*AB66+(1-EXP(-LN(2)/2))/(LN(2)/2)*V67*Y67*VLOOKUP('Données projet'!$B$9,Paramètres!$A$1:$I$89,3,0)*0.475*44/12</f>
        <v>1.6443890971455866E-4</v>
      </c>
      <c r="AC67" s="22">
        <f t="shared" si="3"/>
        <v>5.6241145717400967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5.6</v>
      </c>
      <c r="AI67" s="13">
        <f>IF('Données projet'!$A$62&gt;35,AI66+AH67-AQ66,IF(A67&lt;'Données projet'!$A$62,$AF$205^A67,IF(A67='Données projet'!$A$62,'Données projet'!$B$62,AI66+AH67-AQ66)))</f>
        <v>238.39999999999995</v>
      </c>
      <c r="AJ67" s="13">
        <f>AI67*VLOOKUP('Données projet'!$B$10,Paramètres!$A$1:$I$89,3,0)*VLOOKUP('Données projet'!$B$10,Paramètres!$A$1:$I$89,5,0)</f>
        <v>208.26623999999998</v>
      </c>
      <c r="AK67" s="13">
        <f t="shared" si="35"/>
        <v>51.556532908951887</v>
      </c>
      <c r="AL67" s="20">
        <f t="shared" si="4"/>
        <v>452.5246628164245</v>
      </c>
      <c r="AM67" s="59">
        <f t="shared" si="5"/>
        <v>745.85799614975781</v>
      </c>
      <c r="AN67" s="59">
        <f ca="1">AVERAGE(OFFSET($AM$3,0,0,'Données projet'!$E$10+1,1))-AVERAGE(OFFSET($H$3,0,0,'Données projet'!$E$10+1,1))</f>
        <v>243.38048563215585</v>
      </c>
      <c r="AO67" s="59">
        <f t="shared" si="36"/>
        <v>372.1604147006675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3.7274490898841544</v>
      </c>
      <c r="AV67" s="21">
        <f>EXP(-LN(2)/25)*AV66+(1-EXP(-LN(2)/25))/(LN(2)/25)*Calculateur!AQ67*Calculateur!AS67*VLOOKUP('Données projet'!$B$10,Paramètres!$A$1:$I$89,3,0)*0.475*44/12</f>
        <v>7.543259245104621</v>
      </c>
      <c r="AW67" s="21">
        <f>EXP(-LN(2)/2)*AW66+(1-EXP(-LN(2)/2))/(LN(2)/2)*AQ67*AT67*VLOOKUP('Données projet'!$B$10,Paramètres!$A$1:$I$89,3,0)*0.475*44/12</f>
        <v>2.2365523691682558E-4</v>
      </c>
      <c r="AX67" s="21">
        <f t="shared" si="6"/>
        <v>11.270931990225693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4.9000000000000004</v>
      </c>
      <c r="BD67" s="12">
        <f>IF('Données projet'!$A$88&gt;35,BD66+BC67-BL66,IF(A67&lt;'Données projet'!$A$88,$BA$205^A67,IF(A67='Données projet'!$A$88,'Données projet'!$B$88,BD66+BC67-BL66)))</f>
        <v>299.59999999999985</v>
      </c>
      <c r="BE67" s="13">
        <f>BD67*VLOOKUP('Données projet'!$B$11,Paramètres!$A$1:$I$89,3,0)*VLOOKUP('Données projet'!$B$11,Paramètres!$A$1:$I$89,5,0)</f>
        <v>200.97167999999994</v>
      </c>
      <c r="BF67" s="13">
        <f t="shared" si="37"/>
        <v>49.957653306457651</v>
      </c>
      <c r="BG67" s="20">
        <f t="shared" si="7"/>
        <v>437.03525550874696</v>
      </c>
      <c r="BH67" s="59">
        <f t="shared" si="8"/>
        <v>730.36858884208027</v>
      </c>
      <c r="BI67" s="59">
        <f ca="1">AVERAGE(OFFSET($BH$3,0,0,'Données projet'!$E$11+1,1))-AVERAGE(OFFSET($H$3,0,0,'Données projet'!$E$11+1,1))</f>
        <v>207.93042467236967</v>
      </c>
      <c r="BJ67" s="59">
        <f t="shared" si="38"/>
        <v>250.70954318710835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1.4030880807092343</v>
      </c>
      <c r="BQ67" s="21">
        <f>EXP(-LN(2)/25)*BQ66+(1-EXP(-LN(2)/25))/(LN(2)/25)*Calculateur!BL67*Calculateur!BN67*VLOOKUP('Données projet'!$B$11,Paramètres!$A$1:$I$89,3,0)*0.475*44/12</f>
        <v>6.7401014526497782</v>
      </c>
      <c r="BR67" s="21">
        <f>EXP(-LN(2)/2)*BR66+(1-EXP(-LN(2)/2))/(LN(2)/2)*BL67*BO67*VLOOKUP('Données projet'!$B$11,Paramètres!$A$1:$I$89,3,0)*0.475*44/12</f>
        <v>1.5463413505831898E-4</v>
      </c>
      <c r="BS67" s="22">
        <f t="shared" si="9"/>
        <v>8.143344167494071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9.1</v>
      </c>
      <c r="BY67" s="12">
        <f>IF('Données projet'!$A$114&gt;35,BY66+BX67-CG66,IF(A67&lt;'Données projet'!$A$114,$BV$205^A67,IF(A67='Données projet'!$A$114,'Données projet'!$B$114,BY66+BX67-CG66)))</f>
        <v>309.40000000000003</v>
      </c>
      <c r="BZ67" s="13">
        <f>BY67*VLOOKUP('Données projet'!$B$12,Paramètres!$A$1:$I$89,3,0)*VLOOKUP('Données projet'!$B$12,Paramètres!$A$1:$I$89,5,0)</f>
        <v>241.33200000000002</v>
      </c>
      <c r="CA67" s="13">
        <f t="shared" si="39"/>
        <v>58.72602439130111</v>
      </c>
      <c r="CB67" s="20">
        <f t="shared" si="10"/>
        <v>522.6010591481828</v>
      </c>
      <c r="CC67" s="59">
        <f t="shared" si="11"/>
        <v>815.93439248151617</v>
      </c>
      <c r="CD67" s="59">
        <f ca="1">AVERAGE(OFFSET($CC$3,0,0,'Données projet'!$E$12+1,1))-AVERAGE(OFFSET($H$3,0,0,'Données projet'!$E$12+1,1))</f>
        <v>266.30229009596883</v>
      </c>
      <c r="CE67" s="59">
        <f t="shared" si="40"/>
        <v>270.19195828386046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0.73747217180134972</v>
      </c>
      <c r="CL67" s="21">
        <f>EXP(-LN(2)/25)*CL66+(1-EXP(-LN(2)/25))/(LN(2)/25)*Calculateur!CG67*Calculateur!CI67*VLOOKUP('Données projet'!$B$12,Paramètres!$A$1:$I$89,3,0)*0.475*44/12</f>
        <v>3.2610852510570116</v>
      </c>
      <c r="CM67" s="21">
        <f>EXP(-LN(2)/2)*CM66+(1-EXP(-LN(2)/2))/(LN(2)/2)*CG67*CJ67*VLOOKUP('Données projet'!$B$12,Paramètres!$A$1:$I$89,3,0)*0.475*44/12</f>
        <v>9.9725186132063563E-5</v>
      </c>
      <c r="CN67" s="22">
        <f t="shared" si="12"/>
        <v>3.9986571480444937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4.9000000000000004</v>
      </c>
      <c r="CT67" s="12">
        <f>IF('Données projet'!$A$140&gt;35,CT66+CS67-DB66,IF(A67&lt;'Données projet'!$A$140,$CQ$205^A67,IF(A67='Données projet'!$A$140,'Données projet'!$B$140,CT66+CS67-DB66)))</f>
        <v>299.59999999999985</v>
      </c>
      <c r="CU67" s="17">
        <f>CT67*VLOOKUP('Données projet'!$B$13,Paramètres!$A$1:$I$89,3,0)*VLOOKUP('Données projet'!$B$13,Paramètres!$A$1:$I$89,5,0)</f>
        <v>238.36175999999992</v>
      </c>
      <c r="CV67" s="13">
        <f t="shared" si="41"/>
        <v>58.086914779719031</v>
      </c>
      <c r="CW67" s="20">
        <f t="shared" si="13"/>
        <v>516.3147752413438</v>
      </c>
      <c r="CX67" s="59">
        <f t="shared" si="14"/>
        <v>809.64810857467705</v>
      </c>
      <c r="CY67" s="59">
        <f ca="1">AVERAGE(OFFSET($CX$3,0,0,'Données projet'!$E$13+1,1))-AVERAGE(OFFSET($H$3,0,0,'Données projet'!$E$13+1,1))</f>
        <v>260.20517190557814</v>
      </c>
      <c r="CZ67" s="59">
        <f t="shared" si="42"/>
        <v>307.22009971147133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1.6641277236318832</v>
      </c>
      <c r="DG67" s="21">
        <f>EXP(-LN(2)/25)*DG66+(1-EXP(-LN(2)/25))/(LN(2)/25)*Calculateur!DB67*Calculateur!DD67*VLOOKUP('Données projet'!$B$13,Paramètres!$A$1:$I$89,3,0)*0.475*44/12</f>
        <v>7.9940738159334508</v>
      </c>
      <c r="DH67" s="21">
        <f>EXP(-LN(2)/2)*DH66+(1-EXP(-LN(2)/2))/(LN(2)/2)*DB67*DE67*VLOOKUP('Données projet'!$B$13,Paramètres!$A$1:$I$89,3,0)*0.475*44/12</f>
        <v>1.8340327646451787E-4</v>
      </c>
      <c r="DI67" s="22">
        <f t="shared" si="15"/>
        <v>9.6583849428417992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8.5</v>
      </c>
      <c r="DO67" s="12">
        <f>IF('Données projet'!$A$166&gt;35,DO66+DN67-DW66,IF(A67&lt;'Données projet'!$A$166,$DL$205^A67,IF(A67='Données projet'!$A$166,'Données projet'!$B$166,DO66+DN67-DW66)))</f>
        <v>279</v>
      </c>
      <c r="DP67" s="17">
        <f>DO67*VLOOKUP('Données projet'!$B$14,Paramètres!$A$1:$I$89,3,0)*VLOOKUP('Données projet'!$B$14,Paramètres!$A$1:$I$89,5,0)</f>
        <v>269.84879999999998</v>
      </c>
      <c r="DQ67" s="13">
        <f t="shared" si="43"/>
        <v>64.817179785761795</v>
      </c>
      <c r="DR67" s="20">
        <f t="shared" si="16"/>
        <v>582.87658146020169</v>
      </c>
      <c r="DS67" s="59">
        <f t="shared" si="17"/>
        <v>876.20991479353506</v>
      </c>
      <c r="DT67" s="59">
        <f ca="1">AVERAGE(OFFSET($DS$3,0,0,'Données projet'!$E$14+1,1))-AVERAGE(OFFSET($H$3,0,0,'Données projet'!$E$14+1,1))</f>
        <v>347.8889410585312</v>
      </c>
      <c r="DU67" s="59">
        <f t="shared" si="44"/>
        <v>254.78167322479203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1.3130786566637367</v>
      </c>
      <c r="EB67" s="21">
        <f>EXP(-LN(2)/25)*EB66+(1-EXP(-LN(2)/25))/(LN(2)/25)*Calculateur!DW67*Calculateur!DY67*VLOOKUP('Données projet'!$B$14,Paramètres!$A$1:$I$89,3,0)*0.475*44/12</f>
        <v>4.6987301060170177</v>
      </c>
      <c r="EC67" s="21">
        <f>EXP(-LN(2)/2)*EC66+(1-EXP(-LN(2)/2))/(LN(2)/2)*DW67*DZ67*VLOOKUP('Données projet'!$B$14,Paramètres!$A$1:$I$89,3,0)*0.475*44/12</f>
        <v>1.7577952417763127E-4</v>
      </c>
      <c r="ED67" s="22">
        <f t="shared" si="18"/>
        <v>6.0119845422049316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8.5</v>
      </c>
      <c r="EJ67" s="12">
        <f>IF('Données projet'!$A$192&gt;35,EJ66+EI67-ER66,IF(A67&lt;'Données projet'!$A$192,$EG$205^A67,IF(A67='Données projet'!$A$192,'Données projet'!$B$192,EJ66+EI67-ER66)))</f>
        <v>279</v>
      </c>
      <c r="EK67" s="17">
        <f>EJ67*VLOOKUP('Données projet'!$B$15,Paramètres!$A$1:$I$89,3,0)*VLOOKUP('Données projet'!$B$15,Paramètres!$A$1:$I$89,5,0)</f>
        <v>300.31560000000002</v>
      </c>
      <c r="EL67" s="13">
        <f t="shared" si="45"/>
        <v>71.242621308749136</v>
      </c>
      <c r="EM67" s="20">
        <f t="shared" si="19"/>
        <v>647.1305687794046</v>
      </c>
      <c r="EN67" s="59">
        <f t="shared" si="20"/>
        <v>940.46390211273797</v>
      </c>
      <c r="EO67" s="59">
        <f ca="1">AVERAGE(OFFSET($EN$3,0,0,'Données projet'!$E$15+1,1))-AVERAGE(OFFSET($H$3,0,0,'Données projet'!$E$15+1,1))</f>
        <v>399.38728019348088</v>
      </c>
      <c r="EP67" s="59">
        <f t="shared" si="46"/>
        <v>289.54922160039791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1.4613294727386741</v>
      </c>
      <c r="EW67" s="21">
        <f>EXP(-LN(2)/25)*EW66+(1-EXP(-LN(2)/25))/(LN(2)/25)*Calculateur!ER67*Calculateur!ET67*VLOOKUP('Données projet'!$B$15,Paramètres!$A$1:$I$89,3,0)*0.475*44/12</f>
        <v>5.2292318921802314</v>
      </c>
      <c r="EX67" s="21">
        <f>EXP(-LN(2)/2)*EX66+(1-EXP(-LN(2)/2))/(LN(2)/2)*ER67*EU67*VLOOKUP('Données projet'!$B$15,Paramètres!$A$1:$I$89,3,0)*0.475*44/12</f>
        <v>1.9562559948800901E-4</v>
      </c>
      <c r="EY67" s="22">
        <f t="shared" si="21"/>
        <v>6.6907569905183939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</v>
      </c>
      <c r="N68" s="13">
        <f>IF('Données projet'!$A$36&gt;35,N67+M68-V67,IF(A68&lt;'Données projet'!$A$36,$K$205^A68,IF(A68='Données projet'!$A$36,'Données projet'!$B$36,N67+M68-V67)))</f>
        <v>287.5</v>
      </c>
      <c r="O68" s="13">
        <f>N68*VLOOKUP('Données projet'!$B$9,Paramètres!$A$1:$I$89,3,0)*VLOOKUP('Données projet'!$B$9,Paramètres!$A$1:$I$89,5,0)</f>
        <v>260.13</v>
      </c>
      <c r="P68" s="13">
        <f t="shared" si="33"/>
        <v>62.750087896510983</v>
      </c>
      <c r="Q68" s="20">
        <f t="shared" si="54"/>
        <v>562.34948641975654</v>
      </c>
      <c r="R68" s="59">
        <f t="shared" si="55"/>
        <v>855.68281975308992</v>
      </c>
      <c r="S68" s="59">
        <f ca="1">AVERAGE(OFFSET($R$3,0,0,'Données projet'!$E$9+1,1))-AVERAGE(OFFSET($H$3,0,0,'Données projet'!$E$9+1,1))</f>
        <v>318.40875902853116</v>
      </c>
      <c r="T68" s="59">
        <f t="shared" si="34"/>
        <v>234.87694492493506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1.2042764376793</v>
      </c>
      <c r="AA68" s="21">
        <f>EXP(-LN(2)/25)*AA67+(1-EXP(-LN(2)/25))/(LN(2)/25)*Calculateur!V68*Calculateur!X68*VLOOKUP('Données projet'!$B$9,Paramètres!$A$1:$I$89,3,0)*0.475*44/12</f>
        <v>4.2753886916452455</v>
      </c>
      <c r="AB68" s="21">
        <f>EXP(-LN(2)/2)*AB67+(1-EXP(-LN(2)/2))/(LN(2)/2)*V68*Y68*VLOOKUP('Données projet'!$B$9,Paramètres!$A$1:$I$89,3,0)*0.475*44/12</f>
        <v>1.1627586815008689E-4</v>
      </c>
      <c r="AC68" s="22">
        <f t="shared" ref="AC68:AC131" si="57">SUM(Z68:AB68)</f>
        <v>5.4797814051926954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5.6</v>
      </c>
      <c r="AI68" s="13">
        <f>IF('Données projet'!$A$62&gt;35,AI67+AH68-AQ67,IF(A68&lt;'Données projet'!$A$62,$AF$205^A68,IF(A68='Données projet'!$A$62,'Données projet'!$B$62,AI67+AH68-AQ67)))</f>
        <v>243.99999999999994</v>
      </c>
      <c r="AJ68" s="13">
        <f>AI68*VLOOKUP('Données projet'!$B$10,Paramètres!$A$1:$I$89,3,0)*VLOOKUP('Données projet'!$B$10,Paramètres!$A$1:$I$89,5,0)</f>
        <v>213.15839999999997</v>
      </c>
      <c r="AK68" s="13">
        <f t="shared" si="35"/>
        <v>52.62517477463237</v>
      </c>
      <c r="AL68" s="20">
        <f t="shared" ref="AL68:AL131" si="58">(AJ68+AK68)*0.475*44/12</f>
        <v>462.90639273248468</v>
      </c>
      <c r="AM68" s="59">
        <f t="shared" ref="AM68:AM131" si="59">AL68+(AD68+AE68)*44/12</f>
        <v>756.23972606581799</v>
      </c>
      <c r="AN68" s="59">
        <f ca="1">AVERAGE(OFFSET($AM$3,0,0,'Données projet'!$E$10+1,1))-AVERAGE(OFFSET($H$3,0,0,'Données projet'!$E$10+1,1))</f>
        <v>243.38048563215585</v>
      </c>
      <c r="AO68" s="59">
        <f t="shared" si="36"/>
        <v>372.1604147006675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3.6543560867509797</v>
      </c>
      <c r="AV68" s="21">
        <f>EXP(-LN(2)/25)*AV67+(1-EXP(-LN(2)/25))/(LN(2)/25)*Calculateur!AQ68*Calculateur!AS68*VLOOKUP('Données projet'!$B$10,Paramètres!$A$1:$I$89,3,0)*0.475*44/12</f>
        <v>7.3369884243644714</v>
      </c>
      <c r="AW68" s="21">
        <f>EXP(-LN(2)/2)*AW67+(1-EXP(-LN(2)/2))/(LN(2)/2)*AQ68*AT68*VLOOKUP('Données projet'!$B$10,Paramètres!$A$1:$I$89,3,0)*0.475*44/12</f>
        <v>1.5814813467177123E-4</v>
      </c>
      <c r="AX68" s="21">
        <f t="shared" ref="AX68:AX131" si="60">SUM(AU68:AW68)</f>
        <v>10.991502659250122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4.9000000000000004</v>
      </c>
      <c r="BD68" s="12">
        <f>IF('Données projet'!$A$88&gt;35,BD67+BC68-BL67,IF(A68&lt;'Données projet'!$A$88,$BA$205^A68,IF(A68='Données projet'!$A$88,'Données projet'!$B$88,BD67+BC68-BL67)))</f>
        <v>304.49999999999983</v>
      </c>
      <c r="BE68" s="13">
        <f>BD68*VLOOKUP('Données projet'!$B$11,Paramètres!$A$1:$I$89,3,0)*VLOOKUP('Données projet'!$B$11,Paramètres!$A$1:$I$89,5,0)</f>
        <v>204.25859999999989</v>
      </c>
      <c r="BF68" s="13">
        <f t="shared" si="37"/>
        <v>50.678928367887181</v>
      </c>
      <c r="BG68" s="20">
        <f t="shared" ref="BG68:BG131" si="61">(BE68+BF68)*0.475*44/12</f>
        <v>444.01619524073664</v>
      </c>
      <c r="BH68" s="59">
        <f t="shared" ref="BH68:BH131" si="62">BG68+(AY68+AZ68)*44/12</f>
        <v>737.34952857406995</v>
      </c>
      <c r="BI68" s="59">
        <f ca="1">AVERAGE(OFFSET($BH$3,0,0,'Données projet'!$E$11+1,1))-AVERAGE(OFFSET($H$3,0,0,'Données projet'!$E$11+1,1))</f>
        <v>207.93042467236967</v>
      </c>
      <c r="BJ68" s="59">
        <f t="shared" si="38"/>
        <v>250.70954318710835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1.3755743792457522</v>
      </c>
      <c r="BQ68" s="21">
        <f>EXP(-LN(2)/25)*BQ67+(1-EXP(-LN(2)/25))/(LN(2)/25)*Calculateur!BL68*Calculateur!BN68*VLOOKUP('Données projet'!$B$11,Paramètres!$A$1:$I$89,3,0)*0.475*44/12</f>
        <v>6.5557930239805398</v>
      </c>
      <c r="BR68" s="21">
        <f>EXP(-LN(2)/2)*BR67+(1-EXP(-LN(2)/2))/(LN(2)/2)*BL68*BO68*VLOOKUP('Données projet'!$B$11,Paramètres!$A$1:$I$89,3,0)*0.475*44/12</f>
        <v>1.093428455026538E-4</v>
      </c>
      <c r="BS68" s="22">
        <f t="shared" ref="BS68:BS131" si="63">SUM(BP68:BR68)</f>
        <v>7.9314767460717945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9.1</v>
      </c>
      <c r="BY68" s="12">
        <f>IF('Données projet'!$A$114&gt;35,BY67+BX68-CG67,IF(A68&lt;'Données projet'!$A$114,$BV$205^A68,IF(A68='Données projet'!$A$114,'Données projet'!$B$114,BY67+BX68-CG67)))</f>
        <v>318.50000000000006</v>
      </c>
      <c r="BZ68" s="13">
        <f>BY68*VLOOKUP('Données projet'!$B$12,Paramètres!$A$1:$I$89,3,0)*VLOOKUP('Données projet'!$B$12,Paramètres!$A$1:$I$89,5,0)</f>
        <v>248.43000000000006</v>
      </c>
      <c r="CA68" s="13">
        <f t="shared" si="39"/>
        <v>60.249625816963075</v>
      </c>
      <c r="CB68" s="20">
        <f t="shared" ref="CB68:CB131" si="64">(BZ68+CA68)*0.475*44/12</f>
        <v>537.61701496454418</v>
      </c>
      <c r="CC68" s="59">
        <f t="shared" ref="CC68:CC131" si="65">CB68+(BT68+BU68)*44/12</f>
        <v>830.95034829787755</v>
      </c>
      <c r="CD68" s="59">
        <f ca="1">AVERAGE(OFFSET($CC$3,0,0,'Données projet'!$E$12+1,1))-AVERAGE(OFFSET($H$3,0,0,'Données projet'!$E$12+1,1))</f>
        <v>266.30229009596883</v>
      </c>
      <c r="CE68" s="59">
        <f t="shared" si="40"/>
        <v>270.19195828386046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0.72301079232593468</v>
      </c>
      <c r="CL68" s="21">
        <f>EXP(-LN(2)/25)*CL67+(1-EXP(-LN(2)/25))/(LN(2)/25)*Calculateur!CG68*Calculateur!CI68*VLOOKUP('Données projet'!$B$12,Paramètres!$A$1:$I$89,3,0)*0.475*44/12</f>
        <v>3.1719107033738374</v>
      </c>
      <c r="CM68" s="21">
        <f>EXP(-LN(2)/2)*CM67+(1-EXP(-LN(2)/2))/(LN(2)/2)*CG68*CJ68*VLOOKUP('Données projet'!$B$12,Paramètres!$A$1:$I$89,3,0)*0.475*44/12</f>
        <v>7.0516355369072792E-5</v>
      </c>
      <c r="CN68" s="22">
        <f t="shared" ref="CN68:CN131" si="66">SUM(CK68:CM68)</f>
        <v>3.8949920120551411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4.9000000000000004</v>
      </c>
      <c r="CT68" s="12">
        <f>IF('Données projet'!$A$140&gt;35,CT67+CS68-DB67,IF(A68&lt;'Données projet'!$A$140,$CQ$205^A68,IF(A68='Données projet'!$A$140,'Données projet'!$B$140,CT67+CS68-DB67)))</f>
        <v>304.49999999999983</v>
      </c>
      <c r="CU68" s="17">
        <f>CT68*VLOOKUP('Données projet'!$B$13,Paramètres!$A$1:$I$89,3,0)*VLOOKUP('Données projet'!$B$13,Paramètres!$A$1:$I$89,5,0)</f>
        <v>242.26019999999986</v>
      </c>
      <c r="CV68" s="13">
        <f t="shared" si="41"/>
        <v>58.925557915516166</v>
      </c>
      <c r="CW68" s="20">
        <f t="shared" ref="CW68:CW131" si="67">(CU68+CV68)*0.475*44/12</f>
        <v>524.5651950361904</v>
      </c>
      <c r="CX68" s="59">
        <f t="shared" ref="CX68:CX131" si="68">CW68+(CO68+CP68)*44/12</f>
        <v>817.89852836952377</v>
      </c>
      <c r="CY68" s="59">
        <f ca="1">AVERAGE(OFFSET($CX$3,0,0,'Données projet'!$E$13+1,1))-AVERAGE(OFFSET($H$3,0,0,'Données projet'!$E$13+1,1))</f>
        <v>260.20517190557814</v>
      </c>
      <c r="CZ68" s="59">
        <f t="shared" si="42"/>
        <v>307.22009971147133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1.6314951939891487</v>
      </c>
      <c r="DG68" s="21">
        <f>EXP(-LN(2)/25)*DG67+(1-EXP(-LN(2)/25))/(LN(2)/25)*Calculateur!DB68*Calculateur!DD68*VLOOKUP('Données projet'!$B$13,Paramètres!$A$1:$I$89,3,0)*0.475*44/12</f>
        <v>7.7754754470466789</v>
      </c>
      <c r="DH68" s="21">
        <f>EXP(-LN(2)/2)*DH67+(1-EXP(-LN(2)/2))/(LN(2)/2)*DB68*DE68*VLOOKUP('Données projet'!$B$13,Paramètres!$A$1:$I$89,3,0)*0.475*44/12</f>
        <v>1.2968570047989172E-4</v>
      </c>
      <c r="DI68" s="22">
        <f t="shared" ref="DI68:DI131" si="69">SUM(DF68:DH68)</f>
        <v>9.4071003267363089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8.5</v>
      </c>
      <c r="DO68" s="12">
        <f>IF('Données projet'!$A$166&gt;35,DO67+DN68-DW67,IF(A68&lt;'Données projet'!$A$166,$DL$205^A68,IF(A68='Données projet'!$A$166,'Données projet'!$B$166,DO67+DN68-DW67)))</f>
        <v>287.5</v>
      </c>
      <c r="DP68" s="17">
        <f>DO68*VLOOKUP('Données projet'!$B$14,Paramètres!$A$1:$I$89,3,0)*VLOOKUP('Données projet'!$B$14,Paramètres!$A$1:$I$89,5,0)</f>
        <v>278.07</v>
      </c>
      <c r="DQ68" s="13">
        <f t="shared" si="43"/>
        <v>66.558980358276997</v>
      </c>
      <c r="DR68" s="20">
        <f t="shared" ref="DR68:DR131" si="70">(DP68+DQ68)*0.475*44/12</f>
        <v>600.22880745733244</v>
      </c>
      <c r="DS68" s="59">
        <f t="shared" ref="DS68:DS131" si="71">DR68+(DJ68+DK68)*44/12</f>
        <v>893.56214079066581</v>
      </c>
      <c r="DT68" s="59">
        <f ca="1">AVERAGE(OFFSET($DS$3,0,0,'Données projet'!$E$14+1,1))-AVERAGE(OFFSET($H$3,0,0,'Données projet'!$E$14+1,1))</f>
        <v>347.8889410585312</v>
      </c>
      <c r="DU68" s="59">
        <f t="shared" si="44"/>
        <v>254.78167322479203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1.2873299851054592</v>
      </c>
      <c r="EB68" s="21">
        <f>EXP(-LN(2)/25)*EB67+(1-EXP(-LN(2)/25))/(LN(2)/25)*Calculateur!DW68*Calculateur!DY68*VLOOKUP('Données projet'!$B$14,Paramètres!$A$1:$I$89,3,0)*0.475*44/12</f>
        <v>4.570243084172505</v>
      </c>
      <c r="EC68" s="21">
        <f>EXP(-LN(2)/2)*EC67+(1-EXP(-LN(2)/2))/(LN(2)/2)*DW68*DZ68*VLOOKUP('Données projet'!$B$14,Paramètres!$A$1:$I$89,3,0)*0.475*44/12</f>
        <v>1.2429489353974775E-4</v>
      </c>
      <c r="ED68" s="22">
        <f t="shared" ref="ED68:ED131" si="72">SUM(EA68:EC68)</f>
        <v>5.8576973641715036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8.5</v>
      </c>
      <c r="EJ68" s="12">
        <f>IF('Données projet'!$A$192&gt;35,EJ67+EI68-ER67,IF(A68&lt;'Données projet'!$A$192,$EG$205^A68,IF(A68='Données projet'!$A$192,'Données projet'!$B$192,EJ67+EI68-ER67)))</f>
        <v>287.5</v>
      </c>
      <c r="EK68" s="17">
        <f>EJ68*VLOOKUP('Données projet'!$B$15,Paramètres!$A$1:$I$89,3,0)*VLOOKUP('Données projet'!$B$15,Paramètres!$A$1:$I$89,5,0)</f>
        <v>309.46499999999997</v>
      </c>
      <c r="EL68" s="13">
        <f t="shared" si="45"/>
        <v>73.157089648673946</v>
      </c>
      <c r="EM68" s="20">
        <f t="shared" ref="EM68:EM131" si="73">(EK68+EL68)*0.475*44/12</f>
        <v>666.40013947144041</v>
      </c>
      <c r="EN68" s="59">
        <f t="shared" ref="EN68:EN131" si="74">EM68+(EE68+EF68)*44/12</f>
        <v>959.73347280477378</v>
      </c>
      <c r="EO68" s="59">
        <f ca="1">AVERAGE(OFFSET($EN$3,0,0,'Données projet'!$E$15+1,1))-AVERAGE(OFFSET($H$3,0,0,'Données projet'!$E$15+1,1))</f>
        <v>399.38728019348088</v>
      </c>
      <c r="EP68" s="59">
        <f t="shared" si="46"/>
        <v>289.54922160039791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1.4326736931012363</v>
      </c>
      <c r="EW68" s="21">
        <f>EXP(-LN(2)/25)*EW67+(1-EXP(-LN(2)/25))/(LN(2)/25)*Calculateur!ER68*Calculateur!ET68*VLOOKUP('Données projet'!$B$15,Paramètres!$A$1:$I$89,3,0)*0.475*44/12</f>
        <v>5.0862382710952092</v>
      </c>
      <c r="EX68" s="21">
        <f>EXP(-LN(2)/2)*EX67+(1-EXP(-LN(2)/2))/(LN(2)/2)*ER68*EU68*VLOOKUP('Données projet'!$B$15,Paramètres!$A$1:$I$89,3,0)*0.475*44/12</f>
        <v>1.3832818797165477E-4</v>
      </c>
      <c r="EY68" s="22">
        <f t="shared" ref="EY68:EY131" si="75">SUM(EV68:EX68)</f>
        <v>6.5190502923844171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</v>
      </c>
      <c r="N69" s="13">
        <f>IF('Données projet'!$A$36&gt;35,N68+M69-V68,IF(A69&lt;'Données projet'!$A$36,$K$205^A69,IF(A69='Données projet'!$A$36,'Données projet'!$B$36,N68+M69-V68)))</f>
        <v>296</v>
      </c>
      <c r="O69" s="13">
        <f>N69*VLOOKUP('Données projet'!$B$9,Paramètres!$A$1:$I$89,3,0)*VLOOKUP('Données projet'!$B$9,Paramètres!$A$1:$I$89,5,0)</f>
        <v>267.82079999999996</v>
      </c>
      <c r="P69" s="13">
        <f t="shared" ref="P69:P132" si="87">EXP(-1.0587+0.8836*LN(O69)+0.284)</f>
        <v>64.386570147897302</v>
      </c>
      <c r="Q69" s="20">
        <f t="shared" si="54"/>
        <v>578.59450300758772</v>
      </c>
      <c r="R69" s="59">
        <f t="shared" si="55"/>
        <v>871.92783634092098</v>
      </c>
      <c r="S69" s="59">
        <f ca="1">AVERAGE(OFFSET($R$3,0,0,'Données projet'!$E$9+1,1))-AVERAGE(OFFSET($H$3,0,0,'Données projet'!$E$9+1,1))</f>
        <v>318.40875902853116</v>
      </c>
      <c r="T69" s="59">
        <f t="shared" ref="T69:T132" si="88">$T$3</f>
        <v>234.87694492493506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1.1806613112725066</v>
      </c>
      <c r="AA69" s="21">
        <f>EXP(-LN(2)/25)*AA68+(1-EXP(-LN(2)/25))/(LN(2)/25)*Calculateur!V69*Calculateur!X69*VLOOKUP('Données projet'!$B$9,Paramètres!$A$1:$I$89,3,0)*0.475*44/12</f>
        <v>4.1584779630392861</v>
      </c>
      <c r="AB69" s="21">
        <f>EXP(-LN(2)/2)*AB68+(1-EXP(-LN(2)/2))/(LN(2)/2)*V69*Y69*VLOOKUP('Données projet'!$B$9,Paramètres!$A$1:$I$89,3,0)*0.475*44/12</f>
        <v>8.2219454857279344E-5</v>
      </c>
      <c r="AC69" s="22">
        <f t="shared" si="57"/>
        <v>5.3392214937666491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5.6</v>
      </c>
      <c r="AI69" s="13">
        <f>IF('Données projet'!$A$62&gt;35,AI68+AH69-AQ68,IF(A69&lt;'Données projet'!$A$62,$AF$205^A69,IF(A69='Données projet'!$A$62,'Données projet'!$B$62,AI68+AH69-AQ68)))</f>
        <v>249.59999999999994</v>
      </c>
      <c r="AJ69" s="13">
        <f>AI69*VLOOKUP('Données projet'!$B$10,Paramètres!$A$1:$I$89,3,0)*VLOOKUP('Données projet'!$B$10,Paramètres!$A$1:$I$89,5,0)</f>
        <v>218.05055999999999</v>
      </c>
      <c r="AK69" s="13">
        <f t="shared" ref="AK69:AK132" si="89">EXP(-1.0587+0.8836*LN(AJ69)+0.284)</f>
        <v>53.690965335220028</v>
      </c>
      <c r="AL69" s="20">
        <f t="shared" si="58"/>
        <v>473.28315662550813</v>
      </c>
      <c r="AM69" s="59">
        <f t="shared" si="59"/>
        <v>766.61648995884138</v>
      </c>
      <c r="AN69" s="59">
        <f ca="1">AVERAGE(OFFSET($AM$3,0,0,'Données projet'!$E$10+1,1))-AVERAGE(OFFSET($H$3,0,0,'Données projet'!$E$10+1,1))</f>
        <v>243.38048563215585</v>
      </c>
      <c r="AO69" s="59">
        <f t="shared" ref="AO69:AO132" si="90">$AO$3</f>
        <v>372.1604147006675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3.5826963928269167</v>
      </c>
      <c r="AV69" s="21">
        <f>EXP(-LN(2)/25)*AV68+(1-EXP(-LN(2)/25))/(LN(2)/25)*Calculateur!AQ69*Calculateur!AS69*VLOOKUP('Données projet'!$B$10,Paramètres!$A$1:$I$89,3,0)*0.475*44/12</f>
        <v>7.136358090064773</v>
      </c>
      <c r="AW69" s="21">
        <f>EXP(-LN(2)/2)*AW68+(1-EXP(-LN(2)/2))/(LN(2)/2)*AQ69*AT69*VLOOKUP('Données projet'!$B$10,Paramètres!$A$1:$I$89,3,0)*0.475*44/12</f>
        <v>1.1182761845841279E-4</v>
      </c>
      <c r="AX69" s="21">
        <f t="shared" si="60"/>
        <v>10.719166310510147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4.9000000000000004</v>
      </c>
      <c r="BD69" s="12">
        <f>IF('Données projet'!$A$88&gt;35,BD68+BC69-BL68,IF(A69&lt;'Données projet'!$A$88,$BA$205^A69,IF(A69='Données projet'!$A$88,'Données projet'!$B$88,BD68+BC69-BL68)))</f>
        <v>309.39999999999981</v>
      </c>
      <c r="BE69" s="13">
        <f>BD69*VLOOKUP('Données projet'!$B$11,Paramètres!$A$1:$I$89,3,0)*VLOOKUP('Données projet'!$B$11,Paramètres!$A$1:$I$89,5,0)</f>
        <v>207.54551999999987</v>
      </c>
      <c r="BF69" s="13">
        <f t="shared" ref="BF69:BF132" si="91">EXP(-1.0587+0.8836*LN(BE69)+0.284)</f>
        <v>51.398853609432223</v>
      </c>
      <c r="BG69" s="20">
        <f t="shared" si="61"/>
        <v>450.99478403642752</v>
      </c>
      <c r="BH69" s="59">
        <f t="shared" si="62"/>
        <v>744.32811736976078</v>
      </c>
      <c r="BI69" s="59">
        <f ca="1">AVERAGE(OFFSET($BH$3,0,0,'Données projet'!$E$11+1,1))-AVERAGE(OFFSET($H$3,0,0,'Données projet'!$E$11+1,1))</f>
        <v>207.93042467236967</v>
      </c>
      <c r="BJ69" s="59">
        <f t="shared" ref="BJ69:BJ132" si="92">$BJ$3</f>
        <v>250.70954318710835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1.3486002046862682</v>
      </c>
      <c r="BQ69" s="21">
        <f>EXP(-LN(2)/25)*BQ68+(1-EXP(-LN(2)/25))/(LN(2)/25)*Calculateur!BL69*Calculateur!BN69*VLOOKUP('Données projet'!$B$11,Paramètres!$A$1:$I$89,3,0)*0.475*44/12</f>
        <v>6.3765245189856206</v>
      </c>
      <c r="BR69" s="21">
        <f>EXP(-LN(2)/2)*BR68+(1-EXP(-LN(2)/2))/(LN(2)/2)*BL69*BO69*VLOOKUP('Données projet'!$B$11,Paramètres!$A$1:$I$89,3,0)*0.475*44/12</f>
        <v>7.7317067529159489E-5</v>
      </c>
      <c r="BS69" s="22">
        <f t="shared" si="63"/>
        <v>7.7252020407394175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9.1</v>
      </c>
      <c r="BY69" s="12">
        <f>IF('Données projet'!$A$114&gt;35,BY68+BX69-CG68,IF(A69&lt;'Données projet'!$A$114,$BV$205^A69,IF(A69='Données projet'!$A$114,'Données projet'!$B$114,BY68+BX69-CG68)))</f>
        <v>327.60000000000008</v>
      </c>
      <c r="BZ69" s="13">
        <f>BY69*VLOOKUP('Données projet'!$B$12,Paramètres!$A$1:$I$89,3,0)*VLOOKUP('Données projet'!$B$12,Paramètres!$A$1:$I$89,5,0)</f>
        <v>255.52800000000008</v>
      </c>
      <c r="CA69" s="13">
        <f t="shared" ref="CA69:CA132" si="93">EXP(-1.0587+0.8836*LN(BZ69)+0.284)</f>
        <v>61.768167868721527</v>
      </c>
      <c r="CB69" s="20">
        <f t="shared" si="64"/>
        <v>552.62415903802355</v>
      </c>
      <c r="CC69" s="59">
        <f t="shared" si="65"/>
        <v>845.95749237135692</v>
      </c>
      <c r="CD69" s="59">
        <f ca="1">AVERAGE(OFFSET($CC$3,0,0,'Données projet'!$E$12+1,1))-AVERAGE(OFFSET($H$3,0,0,'Données projet'!$E$12+1,1))</f>
        <v>266.30229009596883</v>
      </c>
      <c r="CE69" s="59">
        <f t="shared" ref="CE69:CE132" si="94">$CE$3</f>
        <v>270.19195828386046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0.70883299168146197</v>
      </c>
      <c r="CL69" s="21">
        <f>EXP(-LN(2)/25)*CL68+(1-EXP(-LN(2)/25))/(LN(2)/25)*Calculateur!CG69*Calculateur!CI69*VLOOKUP('Données projet'!$B$12,Paramètres!$A$1:$I$89,3,0)*0.475*44/12</f>
        <v>3.0851746383865453</v>
      </c>
      <c r="CM69" s="21">
        <f>EXP(-LN(2)/2)*CM68+(1-EXP(-LN(2)/2))/(LN(2)/2)*CG69*CJ69*VLOOKUP('Données projet'!$B$12,Paramètres!$A$1:$I$89,3,0)*0.475*44/12</f>
        <v>4.9862593066031782E-5</v>
      </c>
      <c r="CN69" s="22">
        <f t="shared" si="66"/>
        <v>3.7940574926610733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4.9000000000000004</v>
      </c>
      <c r="CT69" s="12">
        <f>IF('Données projet'!$A$140&gt;35,CT68+CS69-DB68,IF(A69&lt;'Données projet'!$A$140,$CQ$205^A69,IF(A69='Données projet'!$A$140,'Données projet'!$B$140,CT68+CS69-DB68)))</f>
        <v>309.39999999999981</v>
      </c>
      <c r="CU69" s="17">
        <f>CT69*VLOOKUP('Données projet'!$B$13,Paramètres!$A$1:$I$89,3,0)*VLOOKUP('Données projet'!$B$13,Paramètres!$A$1:$I$89,5,0)</f>
        <v>246.15863999999985</v>
      </c>
      <c r="CV69" s="13">
        <f t="shared" ref="CV69:CV132" si="95">EXP(-1.0587+0.8836*LN(CU69)+0.284)</f>
        <v>59.762631584626781</v>
      </c>
      <c r="CW69" s="20">
        <f t="shared" si="67"/>
        <v>532.8128813432246</v>
      </c>
      <c r="CX69" s="59">
        <f t="shared" si="68"/>
        <v>826.14621467655797</v>
      </c>
      <c r="CY69" s="59">
        <f ca="1">AVERAGE(OFFSET($CX$3,0,0,'Données projet'!$E$13+1,1))-AVERAGE(OFFSET($H$3,0,0,'Données projet'!$E$13+1,1))</f>
        <v>260.20517190557814</v>
      </c>
      <c r="CZ69" s="59">
        <f t="shared" ref="CZ69:CZ132" si="96">$CZ$3</f>
        <v>307.22009971147133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1.5995025683488304</v>
      </c>
      <c r="DG69" s="21">
        <f>EXP(-LN(2)/25)*DG68+(1-EXP(-LN(2)/25))/(LN(2)/25)*Calculateur!DB69*Calculateur!DD69*VLOOKUP('Données projet'!$B$13,Paramètres!$A$1:$I$89,3,0)*0.475*44/12</f>
        <v>7.5628546620527048</v>
      </c>
      <c r="DH69" s="21">
        <f>EXP(-LN(2)/2)*DH68+(1-EXP(-LN(2)/2))/(LN(2)/2)*DB69*DE69*VLOOKUP('Données projet'!$B$13,Paramètres!$A$1:$I$89,3,0)*0.475*44/12</f>
        <v>9.1701638232258935E-5</v>
      </c>
      <c r="DI69" s="22">
        <f t="shared" si="69"/>
        <v>9.1624489320397693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8.5</v>
      </c>
      <c r="DO69" s="12">
        <f>IF('Données projet'!$A$166&gt;35,DO68+DN69-DW68,IF(A69&lt;'Données projet'!$A$166,$DL$205^A69,IF(A69='Données projet'!$A$166,'Données projet'!$B$166,DO68+DN69-DW68)))</f>
        <v>296</v>
      </c>
      <c r="DP69" s="17">
        <f>DO69*VLOOKUP('Données projet'!$B$14,Paramètres!$A$1:$I$89,3,0)*VLOOKUP('Données projet'!$B$14,Paramètres!$A$1:$I$89,5,0)</f>
        <v>286.2912</v>
      </c>
      <c r="DQ69" s="13">
        <f t="shared" ref="DQ69:DQ132" si="97">EXP(-1.0587+0.8836*LN(DP69)+0.284)</f>
        <v>68.294796094604408</v>
      </c>
      <c r="DR69" s="20">
        <f t="shared" si="70"/>
        <v>617.57060986476927</v>
      </c>
      <c r="DS69" s="59">
        <f t="shared" si="71"/>
        <v>910.90394319810252</v>
      </c>
      <c r="DT69" s="59">
        <f ca="1">AVERAGE(OFFSET($DS$3,0,0,'Données projet'!$E$14+1,1))-AVERAGE(OFFSET($H$3,0,0,'Données projet'!$E$14+1,1))</f>
        <v>347.8889410585312</v>
      </c>
      <c r="DU69" s="59">
        <f t="shared" ref="DU69:DU132" si="98">$DU$3</f>
        <v>254.78167322479203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1.2620862292913007</v>
      </c>
      <c r="EB69" s="21">
        <f>EXP(-LN(2)/25)*EB68+(1-EXP(-LN(2)/25))/(LN(2)/25)*Calculateur!DW69*Calculateur!DY69*VLOOKUP('Données projet'!$B$14,Paramètres!$A$1:$I$89,3,0)*0.475*44/12</f>
        <v>4.4452695466971699</v>
      </c>
      <c r="EC69" s="21">
        <f>EXP(-LN(2)/2)*EC68+(1-EXP(-LN(2)/2))/(LN(2)/2)*DW69*DZ69*VLOOKUP('Données projet'!$B$14,Paramètres!$A$1:$I$89,3,0)*0.475*44/12</f>
        <v>8.7889762088815636E-5</v>
      </c>
      <c r="ED69" s="22">
        <f t="shared" si="72"/>
        <v>5.7074436657505592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8.5</v>
      </c>
      <c r="EJ69" s="12">
        <f>IF('Données projet'!$A$192&gt;35,EJ68+EI69-ER68,IF(A69&lt;'Données projet'!$A$192,$EG$205^A69,IF(A69='Données projet'!$A$192,'Données projet'!$B$192,EJ68+EI69-ER68)))</f>
        <v>296</v>
      </c>
      <c r="EK69" s="17">
        <f>EJ69*VLOOKUP('Données projet'!$B$15,Paramètres!$A$1:$I$89,3,0)*VLOOKUP('Données projet'!$B$15,Paramètres!$A$1:$I$89,5,0)</f>
        <v>318.61439999999999</v>
      </c>
      <c r="EL69" s="13">
        <f t="shared" ref="EL69:EL132" si="99">EXP(-1.0587+0.8836*LN(EK69)+0.284)</f>
        <v>75.06497986502842</v>
      </c>
      <c r="EM69" s="20">
        <f t="shared" si="73"/>
        <v>685.6582532649245</v>
      </c>
      <c r="EN69" s="59">
        <f t="shared" si="74"/>
        <v>978.99158659825775</v>
      </c>
      <c r="EO69" s="59">
        <f ca="1">AVERAGE(OFFSET($EN$3,0,0,'Données projet'!$E$15+1,1))-AVERAGE(OFFSET($H$3,0,0,'Données projet'!$E$15+1,1))</f>
        <v>399.38728019348088</v>
      </c>
      <c r="EP69" s="59">
        <f t="shared" ref="EP69:EP132" si="100">$EP$3</f>
        <v>289.54922160039791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1.4045798358241888</v>
      </c>
      <c r="EW69" s="21">
        <f>EXP(-LN(2)/25)*EW68+(1-EXP(-LN(2)/25))/(LN(2)/25)*Calculateur!ER69*Calculateur!ET69*VLOOKUP('Données projet'!$B$15,Paramètres!$A$1:$I$89,3,0)*0.475*44/12</f>
        <v>4.9471548180984648</v>
      </c>
      <c r="EX69" s="21">
        <f>EXP(-LN(2)/2)*EX68+(1-EXP(-LN(2)/2))/(LN(2)/2)*ER69*EU69*VLOOKUP('Données projet'!$B$15,Paramètres!$A$1:$I$89,3,0)*0.475*44/12</f>
        <v>9.7812799744004505E-5</v>
      </c>
      <c r="EY69" s="22">
        <f t="shared" si="75"/>
        <v>6.3518324667223975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8.5</v>
      </c>
      <c r="N70" s="13">
        <f>IF('Données projet'!$A$36&gt;35,N69+M70-V69,IF(A70&lt;'Données projet'!$A$36,$K$205^A70,IF(A70='Données projet'!$A$36,'Données projet'!$B$36,N69+M70-V69)))</f>
        <v>304.5</v>
      </c>
      <c r="O70" s="13">
        <f>N70*VLOOKUP('Données projet'!$B$9,Paramètres!$A$1:$I$89,3,0)*VLOOKUP('Données projet'!$B$9,Paramètres!$A$1:$I$89,5,0)</f>
        <v>275.51159999999999</v>
      </c>
      <c r="P70" s="13">
        <f t="shared" si="87"/>
        <v>66.017590685458188</v>
      </c>
      <c r="Q70" s="20">
        <f t="shared" si="54"/>
        <v>594.83000711050624</v>
      </c>
      <c r="R70" s="59">
        <f t="shared" si="55"/>
        <v>888.16334044383962</v>
      </c>
      <c r="S70" s="59">
        <f ca="1">AVERAGE(OFFSET($R$3,0,0,'Données projet'!$E$9+1,1))-AVERAGE(OFFSET($H$3,0,0,'Données projet'!$E$9+1,1))</f>
        <v>318.40875902853116</v>
      </c>
      <c r="T70" s="59">
        <f t="shared" si="88"/>
        <v>234.87694492493506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1.1575092630907455</v>
      </c>
      <c r="AA70" s="21">
        <f>EXP(-LN(2)/25)*AA69+(1-EXP(-LN(2)/25))/(LN(2)/25)*Calculateur!V70*Calculateur!X70*VLOOKUP('Données projet'!$B$9,Paramètres!$A$1:$I$89,3,0)*0.475*44/12</f>
        <v>4.0447641644551249</v>
      </c>
      <c r="AB70" s="21">
        <f>EXP(-LN(2)/2)*AB69+(1-EXP(-LN(2)/2))/(LN(2)/2)*V70*Y70*VLOOKUP('Données projet'!$B$9,Paramètres!$A$1:$I$89,3,0)*0.475*44/12</f>
        <v>5.8137934075043451E-5</v>
      </c>
      <c r="AC70" s="22">
        <f t="shared" si="57"/>
        <v>5.2023315654799456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5.6</v>
      </c>
      <c r="AI70" s="13">
        <f>IF('Données projet'!$A$62&gt;35,AI69+AH70-AQ69,IF(A70&lt;'Données projet'!$A$62,$AF$205^A70,IF(A70='Données projet'!$A$62,'Données projet'!$B$62,AI69+AH70-AQ69)))</f>
        <v>255.19999999999993</v>
      </c>
      <c r="AJ70" s="13">
        <f>AI70*VLOOKUP('Données projet'!$B$10,Paramètres!$A$1:$I$89,3,0)*VLOOKUP('Données projet'!$B$10,Paramètres!$A$1:$I$89,5,0)</f>
        <v>222.94271999999998</v>
      </c>
      <c r="AK70" s="13">
        <f t="shared" si="89"/>
        <v>54.753975927514929</v>
      </c>
      <c r="AL70" s="20">
        <f t="shared" si="58"/>
        <v>483.65507874042174</v>
      </c>
      <c r="AM70" s="59">
        <f t="shared" si="59"/>
        <v>776.98841207375506</v>
      </c>
      <c r="AN70" s="59">
        <f ca="1">AVERAGE(OFFSET($AM$3,0,0,'Données projet'!$E$10+1,1))-AVERAGE(OFFSET($H$3,0,0,'Données projet'!$E$10+1,1))</f>
        <v>243.38048563215585</v>
      </c>
      <c r="AO70" s="59">
        <f t="shared" si="90"/>
        <v>372.1604147006675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3.5124419017926072</v>
      </c>
      <c r="AV70" s="21">
        <f>EXP(-LN(2)/25)*AV69+(1-EXP(-LN(2)/25))/(LN(2)/25)*Calculateur!AQ70*Calculateur!AS70*VLOOKUP('Données projet'!$B$10,Paramètres!$A$1:$I$89,3,0)*0.475*44/12</f>
        <v>6.9412140028071905</v>
      </c>
      <c r="AW70" s="21">
        <f>EXP(-LN(2)/2)*AW69+(1-EXP(-LN(2)/2))/(LN(2)/2)*AQ70*AT70*VLOOKUP('Données projet'!$B$10,Paramètres!$A$1:$I$89,3,0)*0.475*44/12</f>
        <v>7.9074067335885615E-5</v>
      </c>
      <c r="AX70" s="21">
        <f t="shared" si="60"/>
        <v>10.453734978667134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4.9000000000000004</v>
      </c>
      <c r="BD70" s="12">
        <f>IF('Données projet'!$A$88&gt;35,BD69+BC70-BL69,IF(A70&lt;'Données projet'!$A$88,$BA$205^A70,IF(A70='Données projet'!$A$88,'Données projet'!$B$88,BD69+BC70-BL69)))</f>
        <v>314.29999999999978</v>
      </c>
      <c r="BE70" s="13">
        <f>BD70*VLOOKUP('Données projet'!$B$11,Paramètres!$A$1:$I$89,3,0)*VLOOKUP('Données projet'!$B$11,Paramètres!$A$1:$I$89,5,0)</f>
        <v>210.83243999999988</v>
      </c>
      <c r="BF70" s="13">
        <f t="shared" si="91"/>
        <v>52.117452876665347</v>
      </c>
      <c r="BG70" s="20">
        <f t="shared" si="61"/>
        <v>457.97106342685856</v>
      </c>
      <c r="BH70" s="59">
        <f t="shared" si="62"/>
        <v>751.30439676019182</v>
      </c>
      <c r="BI70" s="59">
        <f ca="1">AVERAGE(OFFSET($BH$3,0,0,'Données projet'!$E$11+1,1))-AVERAGE(OFFSET($H$3,0,0,'Données projet'!$E$11+1,1))</f>
        <v>207.93042467236967</v>
      </c>
      <c r="BJ70" s="59">
        <f t="shared" si="92"/>
        <v>250.70954318710835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1.3221549772372738</v>
      </c>
      <c r="BQ70" s="21">
        <f>EXP(-LN(2)/25)*BQ69+(1-EXP(-LN(2)/25))/(LN(2)/25)*Calculateur!BL70*Calculateur!BN70*VLOOKUP('Données projet'!$B$11,Paramètres!$A$1:$I$89,3,0)*0.475*44/12</f>
        <v>6.2021581206871081</v>
      </c>
      <c r="BR70" s="21">
        <f>EXP(-LN(2)/2)*BR69+(1-EXP(-LN(2)/2))/(LN(2)/2)*BL70*BO70*VLOOKUP('Données projet'!$B$11,Paramètres!$A$1:$I$89,3,0)*0.475*44/12</f>
        <v>5.4671422751326898E-5</v>
      </c>
      <c r="BS70" s="22">
        <f t="shared" si="63"/>
        <v>7.5243677693471334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9.1</v>
      </c>
      <c r="BY70" s="12">
        <f>IF('Données projet'!$A$114&gt;35,BY69+BX70-CG69,IF(A70&lt;'Données projet'!$A$114,$BV$205^A70,IF(A70='Données projet'!$A$114,'Données projet'!$B$114,BY69+BX70-CG69)))</f>
        <v>336.7000000000001</v>
      </c>
      <c r="BZ70" s="13">
        <f>BY70*VLOOKUP('Données projet'!$B$12,Paramètres!$A$1:$I$89,3,0)*VLOOKUP('Données projet'!$B$12,Paramètres!$A$1:$I$89,5,0)</f>
        <v>262.62600000000009</v>
      </c>
      <c r="CA70" s="13">
        <f t="shared" si="93"/>
        <v>63.281807230823453</v>
      </c>
      <c r="CB70" s="20">
        <f t="shared" si="64"/>
        <v>567.622764260351</v>
      </c>
      <c r="CC70" s="59">
        <f t="shared" si="65"/>
        <v>860.95609759368426</v>
      </c>
      <c r="CD70" s="59">
        <f ca="1">AVERAGE(OFFSET($CC$3,0,0,'Données projet'!$E$12+1,1))-AVERAGE(OFFSET($H$3,0,0,'Données projet'!$E$12+1,1))</f>
        <v>266.30229009596883</v>
      </c>
      <c r="CE70" s="59">
        <f t="shared" si="94"/>
        <v>270.19195828386046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0.69493320906002287</v>
      </c>
      <c r="CL70" s="21">
        <f>EXP(-LN(2)/25)*CL69+(1-EXP(-LN(2)/25))/(LN(2)/25)*Calculateur!CG70*Calculateur!CI70*VLOOKUP('Données projet'!$B$12,Paramètres!$A$1:$I$89,3,0)*0.475*44/12</f>
        <v>3.0008103756575824</v>
      </c>
      <c r="CM70" s="21">
        <f>EXP(-LN(2)/2)*CM69+(1-EXP(-LN(2)/2))/(LN(2)/2)*CG70*CJ70*VLOOKUP('Données projet'!$B$12,Paramètres!$A$1:$I$89,3,0)*0.475*44/12</f>
        <v>3.5258177684536396E-5</v>
      </c>
      <c r="CN70" s="22">
        <f t="shared" si="66"/>
        <v>3.6957788428952898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4.9000000000000004</v>
      </c>
      <c r="CT70" s="12">
        <f>IF('Données projet'!$A$140&gt;35,CT69+CS70-DB69,IF(A70&lt;'Données projet'!$A$140,$CQ$205^A70,IF(A70='Données projet'!$A$140,'Données projet'!$B$140,CT69+CS70-DB69)))</f>
        <v>314.29999999999978</v>
      </c>
      <c r="CU70" s="17">
        <f>CT70*VLOOKUP('Données projet'!$B$13,Paramètres!$A$1:$I$89,3,0)*VLOOKUP('Données projet'!$B$13,Paramètres!$A$1:$I$89,5,0)</f>
        <v>250.05707999999984</v>
      </c>
      <c r="CV70" s="13">
        <f t="shared" si="95"/>
        <v>60.598163512847748</v>
      </c>
      <c r="CW70" s="20">
        <f t="shared" si="67"/>
        <v>541.05788245154292</v>
      </c>
      <c r="CX70" s="59">
        <f t="shared" si="68"/>
        <v>834.39121578487629</v>
      </c>
      <c r="CY70" s="59">
        <f ca="1">AVERAGE(OFFSET($CX$3,0,0,'Données projet'!$E$13+1,1))-AVERAGE(OFFSET($H$3,0,0,'Données projet'!$E$13+1,1))</f>
        <v>260.20517190557814</v>
      </c>
      <c r="CZ70" s="59">
        <f t="shared" si="96"/>
        <v>307.22009971147133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1.5681372985837441</v>
      </c>
      <c r="DG70" s="21">
        <f>EXP(-LN(2)/25)*DG69+(1-EXP(-LN(2)/25))/(LN(2)/25)*Calculateur!DB70*Calculateur!DD70*VLOOKUP('Données projet'!$B$13,Paramètres!$A$1:$I$89,3,0)*0.475*44/12</f>
        <v>7.3560480036056317</v>
      </c>
      <c r="DH70" s="21">
        <f>EXP(-LN(2)/2)*DH69+(1-EXP(-LN(2)/2))/(LN(2)/2)*DB70*DE70*VLOOKUP('Données projet'!$B$13,Paramètres!$A$1:$I$89,3,0)*0.475*44/12</f>
        <v>6.4842850239945859E-5</v>
      </c>
      <c r="DI70" s="22">
        <f t="shared" si="69"/>
        <v>8.9242501450396148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8.5</v>
      </c>
      <c r="DO70" s="12">
        <f>IF('Données projet'!$A$166&gt;35,DO69+DN70-DW69,IF(A70&lt;'Données projet'!$A$166,$DL$205^A70,IF(A70='Données projet'!$A$166,'Données projet'!$B$166,DO69+DN70-DW69)))</f>
        <v>304.5</v>
      </c>
      <c r="DP70" s="17">
        <f>DO70*VLOOKUP('Données projet'!$B$14,Paramètres!$A$1:$I$89,3,0)*VLOOKUP('Données projet'!$B$14,Paramètres!$A$1:$I$89,5,0)</f>
        <v>294.51240000000001</v>
      </c>
      <c r="DQ70" s="13">
        <f t="shared" si="97"/>
        <v>70.024818594373571</v>
      </c>
      <c r="DR70" s="20">
        <f t="shared" si="70"/>
        <v>634.9023223852007</v>
      </c>
      <c r="DS70" s="59">
        <f t="shared" si="71"/>
        <v>928.23565571853396</v>
      </c>
      <c r="DT70" s="59">
        <f ca="1">AVERAGE(OFFSET($DS$3,0,0,'Données projet'!$E$14+1,1))-AVERAGE(OFFSET($H$3,0,0,'Données projet'!$E$14+1,1))</f>
        <v>347.8889410585312</v>
      </c>
      <c r="DU70" s="59">
        <f t="shared" si="98"/>
        <v>254.78167322479203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1.2373374881314869</v>
      </c>
      <c r="EB70" s="21">
        <f>EXP(-LN(2)/25)*EB69+(1-EXP(-LN(2)/25))/(LN(2)/25)*Calculateur!DW70*Calculateur!DY70*VLOOKUP('Données projet'!$B$14,Paramètres!$A$1:$I$89,3,0)*0.475*44/12</f>
        <v>4.3237134171761697</v>
      </c>
      <c r="EC70" s="21">
        <f>EXP(-LN(2)/2)*EC69+(1-EXP(-LN(2)/2))/(LN(2)/2)*DW70*DZ70*VLOOKUP('Données projet'!$B$14,Paramètres!$A$1:$I$89,3,0)*0.475*44/12</f>
        <v>6.2147446769873877E-5</v>
      </c>
      <c r="ED70" s="22">
        <f t="shared" si="72"/>
        <v>5.5611130527544264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8.5</v>
      </c>
      <c r="EJ70" s="12">
        <f>IF('Données projet'!$A$192&gt;35,EJ69+EI70-ER69,IF(A70&lt;'Données projet'!$A$192,$EG$205^A70,IF(A70='Données projet'!$A$192,'Données projet'!$B$192,EJ69+EI70-ER69)))</f>
        <v>304.5</v>
      </c>
      <c r="EK70" s="17">
        <f>EJ70*VLOOKUP('Données projet'!$B$15,Paramètres!$A$1:$I$89,3,0)*VLOOKUP('Données projet'!$B$15,Paramètres!$A$1:$I$89,5,0)</f>
        <v>327.7638</v>
      </c>
      <c r="EL70" s="13">
        <f t="shared" si="99"/>
        <v>76.96650255105169</v>
      </c>
      <c r="EM70" s="20">
        <f t="shared" si="73"/>
        <v>704.90527694308173</v>
      </c>
      <c r="EN70" s="59">
        <f t="shared" si="74"/>
        <v>998.2386102764151</v>
      </c>
      <c r="EO70" s="59">
        <f ca="1">AVERAGE(OFFSET($EN$3,0,0,'Données projet'!$E$15+1,1))-AVERAGE(OFFSET($H$3,0,0,'Données projet'!$E$15+1,1))</f>
        <v>399.38728019348088</v>
      </c>
      <c r="EP70" s="59">
        <f t="shared" si="100"/>
        <v>289.54922160039791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1.3770368819527832</v>
      </c>
      <c r="EW70" s="21">
        <f>EXP(-LN(2)/25)*EW69+(1-EXP(-LN(2)/25))/(LN(2)/25)*Calculateur!ER70*Calculateur!ET70*VLOOKUP('Données projet'!$B$15,Paramètres!$A$1:$I$89,3,0)*0.475*44/12</f>
        <v>4.8118746094379974</v>
      </c>
      <c r="EX70" s="21">
        <f>EXP(-LN(2)/2)*EX69+(1-EXP(-LN(2)/2))/(LN(2)/2)*ER70*EU70*VLOOKUP('Données projet'!$B$15,Paramètres!$A$1:$I$89,3,0)*0.475*44/12</f>
        <v>6.9164093985827385E-5</v>
      </c>
      <c r="EY70" s="22">
        <f t="shared" si="75"/>
        <v>6.1889806554847659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8.5</v>
      </c>
      <c r="N71" s="13">
        <f>IF('Données projet'!$A$36&gt;35,N70+M71-V70,IF(A71&lt;'Données projet'!$A$36,$K$205^A71,IF(A71='Données projet'!$A$36,'Données projet'!$B$36,N70+M71-V70)))</f>
        <v>313</v>
      </c>
      <c r="O71" s="13">
        <f>N71*VLOOKUP('Données projet'!$B$9,Paramètres!$A$1:$I$89,3,0)*VLOOKUP('Données projet'!$B$9,Paramètres!$A$1:$I$89,5,0)</f>
        <v>283.20240000000001</v>
      </c>
      <c r="P71" s="13">
        <f t="shared" si="87"/>
        <v>67.643319485855841</v>
      </c>
      <c r="Q71" s="20">
        <f t="shared" si="54"/>
        <v>611.05629477119896</v>
      </c>
      <c r="R71" s="59">
        <f t="shared" si="55"/>
        <v>904.38962810453222</v>
      </c>
      <c r="S71" s="59">
        <f ca="1">AVERAGE(OFFSET($R$3,0,0,'Données projet'!$E$9+1,1))-AVERAGE(OFFSET($H$3,0,0,'Données projet'!$E$9+1,1))</f>
        <v>318.40875902853116</v>
      </c>
      <c r="T71" s="59">
        <f t="shared" si="88"/>
        <v>234.87694492493506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1.1348112124524736</v>
      </c>
      <c r="AA71" s="21">
        <f>EXP(-LN(2)/25)*AA70+(1-EXP(-LN(2)/25))/(LN(2)/25)*Calculateur!V71*Calculateur!X71*VLOOKUP('Données projet'!$B$9,Paramètres!$A$1:$I$89,3,0)*0.475*44/12</f>
        <v>3.9341598756731964</v>
      </c>
      <c r="AB71" s="21">
        <f>EXP(-LN(2)/2)*AB70+(1-EXP(-LN(2)/2))/(LN(2)/2)*V71*Y71*VLOOKUP('Données projet'!$B$9,Paramètres!$A$1:$I$89,3,0)*0.475*44/12</f>
        <v>4.1109727428639679E-5</v>
      </c>
      <c r="AC71" s="22">
        <f t="shared" si="57"/>
        <v>5.0690121978530982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</v>
      </c>
      <c r="AI71" s="13">
        <f>IF('Données projet'!$A$62&gt;35,AI70+AH71-AQ70,IF(A71&lt;'Données projet'!$A$62,$AF$205^A71,IF(A71='Données projet'!$A$62,'Données projet'!$B$62,AI70+AH71-AQ70)))</f>
        <v>260.79999999999995</v>
      </c>
      <c r="AJ71" s="13">
        <f>AI71*VLOOKUP('Données projet'!$B$10,Paramètres!$A$1:$I$89,3,0)*VLOOKUP('Données projet'!$B$10,Paramètres!$A$1:$I$89,5,0)</f>
        <v>227.83488</v>
      </c>
      <c r="AK71" s="13">
        <f t="shared" si="89"/>
        <v>55.814274578766934</v>
      </c>
      <c r="AL71" s="20">
        <f t="shared" si="58"/>
        <v>494.02227755801908</v>
      </c>
      <c r="AM71" s="59">
        <f t="shared" si="59"/>
        <v>787.3556108913524</v>
      </c>
      <c r="AN71" s="59">
        <f ca="1">AVERAGE(OFFSET($AM$3,0,0,'Données projet'!$E$10+1,1))-AVERAGE(OFFSET($H$3,0,0,'Données projet'!$E$10+1,1))</f>
        <v>243.38048563215585</v>
      </c>
      <c r="AO71" s="59">
        <f t="shared" si="90"/>
        <v>372.1604147006675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3.4435650584764721</v>
      </c>
      <c r="AV71" s="21">
        <f>EXP(-LN(2)/25)*AV70+(1-EXP(-LN(2)/25))/(LN(2)/25)*Calculateur!AQ71*Calculateur!AS71*VLOOKUP('Données projet'!$B$10,Paramètres!$A$1:$I$89,3,0)*0.475*44/12</f>
        <v>6.7514061408778474</v>
      </c>
      <c r="AW71" s="21">
        <f>EXP(-LN(2)/2)*AW70+(1-EXP(-LN(2)/2))/(LN(2)/2)*AQ71*AT71*VLOOKUP('Données projet'!$B$10,Paramètres!$A$1:$I$89,3,0)*0.475*44/12</f>
        <v>5.5913809229206395E-5</v>
      </c>
      <c r="AX71" s="21">
        <f t="shared" si="60"/>
        <v>10.195027113163549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4.9000000000000004</v>
      </c>
      <c r="BD71" s="12">
        <f>IF('Données projet'!$A$88&gt;35,BD70+BC71-BL70,IF(A71&lt;'Données projet'!$A$88,$BA$205^A71,IF(A71='Données projet'!$A$88,'Données projet'!$B$88,BD70+BC71-BL70)))</f>
        <v>319.19999999999976</v>
      </c>
      <c r="BE71" s="13">
        <f>BD71*VLOOKUP('Données projet'!$B$11,Paramètres!$A$1:$I$89,3,0)*VLOOKUP('Données projet'!$B$11,Paramètres!$A$1:$I$89,5,0)</f>
        <v>214.11935999999983</v>
      </c>
      <c r="BF71" s="13">
        <f t="shared" si="91"/>
        <v>52.834749228990347</v>
      </c>
      <c r="BG71" s="20">
        <f t="shared" si="61"/>
        <v>464.94507357382457</v>
      </c>
      <c r="BH71" s="59">
        <f t="shared" si="62"/>
        <v>758.27840690715789</v>
      </c>
      <c r="BI71" s="59">
        <f ca="1">AVERAGE(OFFSET($BH$3,0,0,'Données projet'!$E$11+1,1))-AVERAGE(OFFSET($H$3,0,0,'Données projet'!$E$11+1,1))</f>
        <v>207.93042467236967</v>
      </c>
      <c r="BJ71" s="59">
        <f t="shared" si="92"/>
        <v>250.70954318710835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1.2962283245685582</v>
      </c>
      <c r="BQ71" s="21">
        <f>EXP(-LN(2)/25)*BQ70+(1-EXP(-LN(2)/25))/(LN(2)/25)*Calculateur!BL71*Calculateur!BN71*VLOOKUP('Données projet'!$B$11,Paramètres!$A$1:$I$89,3,0)*0.475*44/12</f>
        <v>6.0325597807195992</v>
      </c>
      <c r="BR71" s="21">
        <f>EXP(-LN(2)/2)*BR70+(1-EXP(-LN(2)/2))/(LN(2)/2)*BL71*BO71*VLOOKUP('Données projet'!$B$11,Paramètres!$A$1:$I$89,3,0)*0.475*44/12</f>
        <v>3.8658533764579744E-5</v>
      </c>
      <c r="BS71" s="22">
        <f t="shared" si="63"/>
        <v>7.3288267638219216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9.1</v>
      </c>
      <c r="BY71" s="12">
        <f>IF('Données projet'!$A$114&gt;35,BY70+BX71-CG70,IF(A71&lt;'Données projet'!$A$114,$BV$205^A71,IF(A71='Données projet'!$A$114,'Données projet'!$B$114,BY70+BX71-CG70)))</f>
        <v>345.80000000000013</v>
      </c>
      <c r="BZ71" s="13">
        <f>BY71*VLOOKUP('Données projet'!$B$12,Paramètres!$A$1:$I$89,3,0)*VLOOKUP('Données projet'!$B$12,Paramètres!$A$1:$I$89,5,0)</f>
        <v>269.7240000000001</v>
      </c>
      <c r="CA71" s="13">
        <f t="shared" si="93"/>
        <v>64.790691635967463</v>
      </c>
      <c r="CB71" s="20">
        <f t="shared" si="64"/>
        <v>582.61308793264345</v>
      </c>
      <c r="CC71" s="59">
        <f t="shared" si="65"/>
        <v>875.94642126597682</v>
      </c>
      <c r="CD71" s="59">
        <f ca="1">AVERAGE(OFFSET($CC$3,0,0,'Données projet'!$E$12+1,1))-AVERAGE(OFFSET($H$3,0,0,'Données projet'!$E$12+1,1))</f>
        <v>266.30229009596883</v>
      </c>
      <c r="CE71" s="59">
        <f t="shared" si="94"/>
        <v>270.19195828386046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0.68130599269775993</v>
      </c>
      <c r="CL71" s="21">
        <f>EXP(-LN(2)/25)*CL70+(1-EXP(-LN(2)/25))/(LN(2)/25)*Calculateur!CG71*Calculateur!CI71*VLOOKUP('Données projet'!$B$12,Paramètres!$A$1:$I$89,3,0)*0.475*44/12</f>
        <v>2.9187530581294667</v>
      </c>
      <c r="CM71" s="21">
        <f>EXP(-LN(2)/2)*CM70+(1-EXP(-LN(2)/2))/(LN(2)/2)*CG71*CJ71*VLOOKUP('Données projet'!$B$12,Paramètres!$A$1:$I$89,3,0)*0.475*44/12</f>
        <v>2.4931296533015891E-5</v>
      </c>
      <c r="CN71" s="22">
        <f t="shared" si="66"/>
        <v>3.6000839821237598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4.9000000000000004</v>
      </c>
      <c r="CT71" s="12">
        <f>IF('Données projet'!$A$140&gt;35,CT70+CS71-DB70,IF(A71&lt;'Données projet'!$A$140,$CQ$205^A71,IF(A71='Données projet'!$A$140,'Données projet'!$B$140,CT70+CS71-DB70)))</f>
        <v>319.19999999999976</v>
      </c>
      <c r="CU71" s="17">
        <f>CT71*VLOOKUP('Données projet'!$B$13,Paramètres!$A$1:$I$89,3,0)*VLOOKUP('Données projet'!$B$13,Paramètres!$A$1:$I$89,5,0)</f>
        <v>253.95551999999984</v>
      </c>
      <c r="CV71" s="13">
        <f t="shared" si="95"/>
        <v>61.432180511879196</v>
      </c>
      <c r="CW71" s="20">
        <f t="shared" si="67"/>
        <v>549.30024505818926</v>
      </c>
      <c r="CX71" s="59">
        <f t="shared" si="68"/>
        <v>842.63357839152263</v>
      </c>
      <c r="CY71" s="59">
        <f ca="1">AVERAGE(OFFSET($CX$3,0,0,'Données projet'!$E$13+1,1))-AVERAGE(OFFSET($H$3,0,0,'Données projet'!$E$13+1,1))</f>
        <v>260.20517190557814</v>
      </c>
      <c r="CZ71" s="59">
        <f t="shared" si="96"/>
        <v>307.22009971147133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1.5373870826278255</v>
      </c>
      <c r="DG71" s="21">
        <f>EXP(-LN(2)/25)*DG70+(1-EXP(-LN(2)/25))/(LN(2)/25)*Calculateur!DB71*Calculateur!DD71*VLOOKUP('Données projet'!$B$13,Paramètres!$A$1:$I$89,3,0)*0.475*44/12</f>
        <v>7.1548964841092833</v>
      </c>
      <c r="DH71" s="21">
        <f>EXP(-LN(2)/2)*DH70+(1-EXP(-LN(2)/2))/(LN(2)/2)*DB71*DE71*VLOOKUP('Données projet'!$B$13,Paramètres!$A$1:$I$89,3,0)*0.475*44/12</f>
        <v>4.5850819116129467E-5</v>
      </c>
      <c r="DI71" s="22">
        <f t="shared" si="69"/>
        <v>8.6923294175562251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8.5</v>
      </c>
      <c r="DO71" s="12">
        <f>IF('Données projet'!$A$166&gt;35,DO70+DN71-DW70,IF(A71&lt;'Données projet'!$A$166,$DL$205^A71,IF(A71='Données projet'!$A$166,'Données projet'!$B$166,DO70+DN71-DW70)))</f>
        <v>313</v>
      </c>
      <c r="DP71" s="17">
        <f>DO71*VLOOKUP('Données projet'!$B$14,Paramètres!$A$1:$I$89,3,0)*VLOOKUP('Données projet'!$B$14,Paramètres!$A$1:$I$89,5,0)</f>
        <v>302.73360000000002</v>
      </c>
      <c r="DQ71" s="13">
        <f t="shared" si="97"/>
        <v>71.74922815172765</v>
      </c>
      <c r="DR71" s="20">
        <f t="shared" si="70"/>
        <v>652.22425903092574</v>
      </c>
      <c r="DS71" s="59">
        <f t="shared" si="71"/>
        <v>945.55759236425911</v>
      </c>
      <c r="DT71" s="59">
        <f ca="1">AVERAGE(OFFSET($DS$3,0,0,'Données projet'!$E$14+1,1))-AVERAGE(OFFSET($H$3,0,0,'Données projet'!$E$14+1,1))</f>
        <v>347.8889410585312</v>
      </c>
      <c r="DU71" s="59">
        <f t="shared" si="98"/>
        <v>254.78167322479203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1.2130740546905756</v>
      </c>
      <c r="EB71" s="21">
        <f>EXP(-LN(2)/25)*EB70+(1-EXP(-LN(2)/25))/(LN(2)/25)*Calculateur!DW71*Calculateur!DY71*VLOOKUP('Données projet'!$B$14,Paramètres!$A$1:$I$89,3,0)*0.475*44/12</f>
        <v>4.2054812464092803</v>
      </c>
      <c r="EC71" s="21">
        <f>EXP(-LN(2)/2)*EC70+(1-EXP(-LN(2)/2))/(LN(2)/2)*DW71*DZ71*VLOOKUP('Données projet'!$B$14,Paramètres!$A$1:$I$89,3,0)*0.475*44/12</f>
        <v>4.3944881044407818E-5</v>
      </c>
      <c r="ED71" s="22">
        <f t="shared" si="72"/>
        <v>5.4185992459809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8.5</v>
      </c>
      <c r="EJ71" s="12">
        <f>IF('Données projet'!$A$192&gt;35,EJ70+EI71-ER70,IF(A71&lt;'Données projet'!$A$192,$EG$205^A71,IF(A71='Données projet'!$A$192,'Données projet'!$B$192,EJ70+EI71-ER70)))</f>
        <v>313</v>
      </c>
      <c r="EK71" s="17">
        <f>EJ71*VLOOKUP('Données projet'!$B$15,Paramètres!$A$1:$I$89,3,0)*VLOOKUP('Données projet'!$B$15,Paramètres!$A$1:$I$89,5,0)</f>
        <v>336.91319999999996</v>
      </c>
      <c r="EL71" s="13">
        <f t="shared" si="99"/>
        <v>78.861855873763687</v>
      </c>
      <c r="EM71" s="20">
        <f t="shared" si="73"/>
        <v>724.14155564680505</v>
      </c>
      <c r="EN71" s="59">
        <f t="shared" si="74"/>
        <v>1017.4748889801383</v>
      </c>
      <c r="EO71" s="59">
        <f ca="1">AVERAGE(OFFSET($EN$3,0,0,'Données projet'!$E$15+1,1))-AVERAGE(OFFSET($H$3,0,0,'Données projet'!$E$15+1,1))</f>
        <v>399.38728019348088</v>
      </c>
      <c r="EP71" s="59">
        <f t="shared" si="100"/>
        <v>289.54922160039791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1.350034028607253</v>
      </c>
      <c r="EW71" s="21">
        <f>EXP(-LN(2)/25)*EW70+(1-EXP(-LN(2)/25))/(LN(2)/25)*Calculateur!ER71*Calculateur!ET71*VLOOKUP('Données projet'!$B$15,Paramètres!$A$1:$I$89,3,0)*0.475*44/12</f>
        <v>4.6802936451974277</v>
      </c>
      <c r="EX71" s="21">
        <f>EXP(-LN(2)/2)*EX70+(1-EXP(-LN(2)/2))/(LN(2)/2)*ER71*EU71*VLOOKUP('Données projet'!$B$15,Paramètres!$A$1:$I$89,3,0)*0.475*44/12</f>
        <v>4.8906399872002252E-5</v>
      </c>
      <c r="EY71" s="22">
        <f t="shared" si="75"/>
        <v>6.0303765802045532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8.5</v>
      </c>
      <c r="N72" s="13">
        <f>IF('Données projet'!$A$36&gt;35,N71+M72-V71,IF(A72&lt;'Données projet'!$A$36,$K$205^A72,IF(A72='Données projet'!$A$36,'Données projet'!$B$36,N71+M72-V71)))</f>
        <v>321.5</v>
      </c>
      <c r="O72" s="13">
        <f>N72*VLOOKUP('Données projet'!$B$9,Paramètres!$A$1:$I$89,3,0)*VLOOKUP('Données projet'!$B$9,Paramètres!$A$1:$I$89,5,0)</f>
        <v>290.89320000000004</v>
      </c>
      <c r="P72" s="13">
        <f t="shared" si="87"/>
        <v>69.263916768293996</v>
      </c>
      <c r="Q72" s="20">
        <f t="shared" si="54"/>
        <v>627.27364503811202</v>
      </c>
      <c r="R72" s="59">
        <f t="shared" si="55"/>
        <v>920.60697837144539</v>
      </c>
      <c r="S72" s="59">
        <f ca="1">AVERAGE(OFFSET($R$3,0,0,'Données projet'!$E$9+1,1))-AVERAGE(OFFSET($H$3,0,0,'Données projet'!$E$9+1,1))</f>
        <v>318.40875902853116</v>
      </c>
      <c r="T72" s="59">
        <f t="shared" si="88"/>
        <v>234.87694492493506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1.1125582567427745</v>
      </c>
      <c r="AA72" s="21">
        <f>EXP(-LN(2)/25)*AA71+(1-EXP(-LN(2)/25))/(LN(2)/25)*Calculateur!V72*Calculateur!X72*VLOOKUP('Données projet'!$B$9,Paramètres!$A$1:$I$89,3,0)*0.475*44/12</f>
        <v>3.8265800669844365</v>
      </c>
      <c r="AB72" s="21">
        <f>EXP(-LN(2)/2)*AB71+(1-EXP(-LN(2)/2))/(LN(2)/2)*V72*Y72*VLOOKUP('Données projet'!$B$9,Paramètres!$A$1:$I$89,3,0)*0.475*44/12</f>
        <v>2.9068967037521732E-5</v>
      </c>
      <c r="AC72" s="22">
        <f t="shared" si="57"/>
        <v>4.939167392694249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</v>
      </c>
      <c r="AI72" s="13">
        <f>IF('Données projet'!$A$62&gt;35,AI71+AH72-AQ71,IF(A72&lt;'Données projet'!$A$62,$AF$205^A72,IF(A72='Données projet'!$A$62,'Données projet'!$B$62,AI71+AH72-AQ71)))</f>
        <v>266.39999999999998</v>
      </c>
      <c r="AJ72" s="13">
        <f>AI72*VLOOKUP('Données projet'!$B$10,Paramètres!$A$1:$I$89,3,0)*VLOOKUP('Données projet'!$B$10,Paramètres!$A$1:$I$89,5,0)</f>
        <v>232.72704000000002</v>
      </c>
      <c r="AK72" s="13">
        <f t="shared" si="89"/>
        <v>56.871926227931105</v>
      </c>
      <c r="AL72" s="20">
        <f t="shared" si="58"/>
        <v>504.38486618031328</v>
      </c>
      <c r="AM72" s="59">
        <f t="shared" si="59"/>
        <v>797.7181995136466</v>
      </c>
      <c r="AN72" s="59">
        <f ca="1">AVERAGE(OFFSET($AM$3,0,0,'Données projet'!$E$10+1,1))-AVERAGE(OFFSET($H$3,0,0,'Données projet'!$E$10+1,1))</f>
        <v>243.38048563215585</v>
      </c>
      <c r="AO72" s="59">
        <f t="shared" si="90"/>
        <v>372.1604147006675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3.37603884804704</v>
      </c>
      <c r="AV72" s="21">
        <f>EXP(-LN(2)/25)*AV71+(1-EXP(-LN(2)/25))/(LN(2)/25)*Calculateur!AQ72*Calculateur!AS72*VLOOKUP('Données projet'!$B$10,Paramètres!$A$1:$I$89,3,0)*0.475*44/12</f>
        <v>6.5667885849145247</v>
      </c>
      <c r="AW72" s="21">
        <f>EXP(-LN(2)/2)*AW71+(1-EXP(-LN(2)/2))/(LN(2)/2)*AQ72*AT72*VLOOKUP('Données projet'!$B$10,Paramètres!$A$1:$I$89,3,0)*0.475*44/12</f>
        <v>3.9537033667942807E-5</v>
      </c>
      <c r="AX72" s="21">
        <f t="shared" si="60"/>
        <v>9.942866969995233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4.9000000000000004</v>
      </c>
      <c r="BD72" s="12">
        <f>IF('Données projet'!$A$88&gt;35,BD71+BC72-BL71,IF(A72&lt;'Données projet'!$A$88,$BA$205^A72,IF(A72='Données projet'!$A$88,'Données projet'!$B$88,BD71+BC72-BL71)))</f>
        <v>324.09999999999974</v>
      </c>
      <c r="BE72" s="13">
        <f>BD72*VLOOKUP('Données projet'!$B$11,Paramètres!$A$1:$I$89,3,0)*VLOOKUP('Données projet'!$B$11,Paramètres!$A$1:$I$89,5,0)</f>
        <v>217.40627999999984</v>
      </c>
      <c r="BF72" s="13">
        <f t="shared" si="91"/>
        <v>53.550764977224674</v>
      </c>
      <c r="BG72" s="20">
        <f t="shared" si="61"/>
        <v>471.91685333533269</v>
      </c>
      <c r="BH72" s="59">
        <f t="shared" si="62"/>
        <v>765.25018666866595</v>
      </c>
      <c r="BI72" s="59">
        <f ca="1">AVERAGE(OFFSET($BH$3,0,0,'Données projet'!$E$11+1,1))-AVERAGE(OFFSET($H$3,0,0,'Données projet'!$E$11+1,1))</f>
        <v>207.93042467236967</v>
      </c>
      <c r="BJ72" s="59">
        <f t="shared" si="92"/>
        <v>250.70954318710835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1.2708100777449793</v>
      </c>
      <c r="BQ72" s="21">
        <f>EXP(-LN(2)/25)*BQ71+(1-EXP(-LN(2)/25))/(LN(2)/25)*Calculateur!BL72*Calculateur!BN72*VLOOKUP('Données projet'!$B$11,Paramètres!$A$1:$I$89,3,0)*0.475*44/12</f>
        <v>5.8675991162772902</v>
      </c>
      <c r="BR72" s="21">
        <f>EXP(-LN(2)/2)*BR71+(1-EXP(-LN(2)/2))/(LN(2)/2)*BL72*BO72*VLOOKUP('Données projet'!$B$11,Paramètres!$A$1:$I$89,3,0)*0.475*44/12</f>
        <v>2.7335711375663449E-5</v>
      </c>
      <c r="BS72" s="22">
        <f t="shared" si="63"/>
        <v>7.138436529733645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9.1</v>
      </c>
      <c r="BY72" s="12">
        <f>IF('Données projet'!$A$114&gt;35,BY71+BX72-CG71,IF(A72&lt;'Données projet'!$A$114,$BV$205^A72,IF(A72='Données projet'!$A$114,'Données projet'!$B$114,BY71+BX72-CG71)))</f>
        <v>354.90000000000015</v>
      </c>
      <c r="BZ72" s="13">
        <f>BY72*VLOOKUP('Données projet'!$B$12,Paramètres!$A$1:$I$89,3,0)*VLOOKUP('Données projet'!$B$12,Paramètres!$A$1:$I$89,5,0)</f>
        <v>276.82200000000012</v>
      </c>
      <c r="CA72" s="13">
        <f t="shared" si="93"/>
        <v>66.294960598643797</v>
      </c>
      <c r="CB72" s="20">
        <f t="shared" si="64"/>
        <v>597.59537304263813</v>
      </c>
      <c r="CC72" s="59">
        <f t="shared" si="65"/>
        <v>890.92870637597139</v>
      </c>
      <c r="CD72" s="59">
        <f ca="1">AVERAGE(OFFSET($CC$3,0,0,'Données projet'!$E$12+1,1))-AVERAGE(OFFSET($H$3,0,0,'Données projet'!$E$12+1,1))</f>
        <v>266.30229009596883</v>
      </c>
      <c r="CE72" s="59">
        <f t="shared" si="94"/>
        <v>270.19195828386046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0.6679459977365797</v>
      </c>
      <c r="CL72" s="21">
        <f>EXP(-LN(2)/25)*CL71+(1-EXP(-LN(2)/25))/(LN(2)/25)*Calculateur!CG72*Calculateur!CI72*VLOOKUP('Données projet'!$B$12,Paramètres!$A$1:$I$89,3,0)*0.475*44/12</f>
        <v>2.838939602264364</v>
      </c>
      <c r="CM72" s="21">
        <f>EXP(-LN(2)/2)*CM71+(1-EXP(-LN(2)/2))/(LN(2)/2)*CG72*CJ72*VLOOKUP('Données projet'!$B$12,Paramètres!$A$1:$I$89,3,0)*0.475*44/12</f>
        <v>1.7629088842268198E-5</v>
      </c>
      <c r="CN72" s="22">
        <f t="shared" si="66"/>
        <v>3.5069032290897857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4.9000000000000004</v>
      </c>
      <c r="CT72" s="12">
        <f>IF('Données projet'!$A$140&gt;35,CT71+CS72-DB71,IF(A72&lt;'Données projet'!$A$140,$CQ$205^A72,IF(A72='Données projet'!$A$140,'Données projet'!$B$140,CT71+CS72-DB71)))</f>
        <v>324.09999999999974</v>
      </c>
      <c r="CU72" s="17">
        <f>CT72*VLOOKUP('Données projet'!$B$13,Paramètres!$A$1:$I$89,3,0)*VLOOKUP('Données projet'!$B$13,Paramètres!$A$1:$I$89,5,0)</f>
        <v>257.8539599999998</v>
      </c>
      <c r="CV72" s="13">
        <f t="shared" si="95"/>
        <v>62.26470852302274</v>
      </c>
      <c r="CW72" s="20">
        <f t="shared" si="67"/>
        <v>557.54001434426425</v>
      </c>
      <c r="CX72" s="59">
        <f t="shared" si="68"/>
        <v>850.87334767759762</v>
      </c>
      <c r="CY72" s="59">
        <f ca="1">AVERAGE(OFFSET($CX$3,0,0,'Données projet'!$E$13+1,1))-AVERAGE(OFFSET($H$3,0,0,'Données projet'!$E$13+1,1))</f>
        <v>260.20517190557814</v>
      </c>
      <c r="CZ72" s="59">
        <f t="shared" si="96"/>
        <v>307.22009971147133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1.5072398596510228</v>
      </c>
      <c r="DG72" s="21">
        <f>EXP(-LN(2)/25)*DG71+(1-EXP(-LN(2)/25))/(LN(2)/25)*Calculateur!DB72*Calculateur!DD72*VLOOKUP('Données projet'!$B$13,Paramètres!$A$1:$I$89,3,0)*0.475*44/12</f>
        <v>6.9592454634916612</v>
      </c>
      <c r="DH72" s="21">
        <f>EXP(-LN(2)/2)*DH71+(1-EXP(-LN(2)/2))/(LN(2)/2)*DB72*DE72*VLOOKUP('Données projet'!$B$13,Paramètres!$A$1:$I$89,3,0)*0.475*44/12</f>
        <v>3.2421425119972929E-5</v>
      </c>
      <c r="DI72" s="22">
        <f t="shared" si="69"/>
        <v>8.4665177445678044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8.5</v>
      </c>
      <c r="DO72" s="12">
        <f>IF('Données projet'!$A$166&gt;35,DO71+DN72-DW71,IF(A72&lt;'Données projet'!$A$166,$DL$205^A72,IF(A72='Données projet'!$A$166,'Données projet'!$B$166,DO71+DN72-DW71)))</f>
        <v>321.5</v>
      </c>
      <c r="DP72" s="17">
        <f>DO72*VLOOKUP('Données projet'!$B$14,Paramètres!$A$1:$I$89,3,0)*VLOOKUP('Données projet'!$B$14,Paramètres!$A$1:$I$89,5,0)</f>
        <v>310.95480000000003</v>
      </c>
      <c r="DQ72" s="13">
        <f t="shared" si="97"/>
        <v>73.468194711079221</v>
      </c>
      <c r="DR72" s="20">
        <f t="shared" si="70"/>
        <v>669.53671578846297</v>
      </c>
      <c r="DS72" s="59">
        <f t="shared" si="71"/>
        <v>962.87004912179623</v>
      </c>
      <c r="DT72" s="59">
        <f ca="1">AVERAGE(OFFSET($DS$3,0,0,'Données projet'!$E$14+1,1))-AVERAGE(OFFSET($H$3,0,0,'Données projet'!$E$14+1,1))</f>
        <v>347.8889410585312</v>
      </c>
      <c r="DU72" s="59">
        <f t="shared" si="98"/>
        <v>254.78167322479203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1.1892864123802076</v>
      </c>
      <c r="EB72" s="21">
        <f>EXP(-LN(2)/25)*EB71+(1-EXP(-LN(2)/25))/(LN(2)/25)*Calculateur!DW72*Calculateur!DY72*VLOOKUP('Données projet'!$B$14,Paramètres!$A$1:$I$89,3,0)*0.475*44/12</f>
        <v>4.0904821405695717</v>
      </c>
      <c r="EC72" s="21">
        <f>EXP(-LN(2)/2)*EC71+(1-EXP(-LN(2)/2))/(LN(2)/2)*DW72*DZ72*VLOOKUP('Données projet'!$B$14,Paramètres!$A$1:$I$89,3,0)*0.475*44/12</f>
        <v>3.1073723384936938E-5</v>
      </c>
      <c r="ED72" s="22">
        <f t="shared" si="72"/>
        <v>5.2797996266731637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8.5</v>
      </c>
      <c r="EJ72" s="12">
        <f>IF('Données projet'!$A$192&gt;35,EJ71+EI72-ER71,IF(A72&lt;'Données projet'!$A$192,$EG$205^A72,IF(A72='Données projet'!$A$192,'Données projet'!$B$192,EJ71+EI72-ER71)))</f>
        <v>321.5</v>
      </c>
      <c r="EK72" s="17">
        <f>EJ72*VLOOKUP('Données projet'!$B$15,Paramètres!$A$1:$I$89,3,0)*VLOOKUP('Données projet'!$B$15,Paramètres!$A$1:$I$89,5,0)</f>
        <v>346.06259999999997</v>
      </c>
      <c r="EL72" s="13">
        <f t="shared" si="99"/>
        <v>80.751226624466867</v>
      </c>
      <c r="EM72" s="20">
        <f t="shared" si="73"/>
        <v>743.36741470427978</v>
      </c>
      <c r="EN72" s="59">
        <f t="shared" si="74"/>
        <v>1036.700748037613</v>
      </c>
      <c r="EO72" s="59">
        <f ca="1">AVERAGE(OFFSET($EN$3,0,0,'Données projet'!$E$15+1,1))-AVERAGE(OFFSET($H$3,0,0,'Données projet'!$E$15+1,1))</f>
        <v>399.38728019348088</v>
      </c>
      <c r="EP72" s="59">
        <f t="shared" si="100"/>
        <v>289.54922160039791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1.3235606847457142</v>
      </c>
      <c r="EW72" s="21">
        <f>EXP(-LN(2)/25)*EW71+(1-EXP(-LN(2)/25))/(LN(2)/25)*Calculateur!ER72*Calculateur!ET72*VLOOKUP('Données projet'!$B$15,Paramètres!$A$1:$I$89,3,0)*0.475*44/12</f>
        <v>4.5523107693435581</v>
      </c>
      <c r="EX72" s="21">
        <f>EXP(-LN(2)/2)*EX71+(1-EXP(-LN(2)/2))/(LN(2)/2)*ER72*EU72*VLOOKUP('Données projet'!$B$15,Paramètres!$A$1:$I$89,3,0)*0.475*44/12</f>
        <v>3.4582046992913692E-5</v>
      </c>
      <c r="EY72" s="22">
        <f t="shared" si="75"/>
        <v>5.8759060361362652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330</v>
      </c>
      <c r="L73" s="12">
        <f>VLOOKUP(A73,'Données projet'!$A$35:$I$55,9,0)</f>
        <v>8.5</v>
      </c>
      <c r="M73" s="12">
        <f t="array" ref="M73">INDEX(L:L,MIN(IF(ISNUMBER(L73:L269),ROW(L73:L269),"")))</f>
        <v>8.5</v>
      </c>
      <c r="N73" s="13">
        <f>IF('Données projet'!$A$36&gt;35,N72+M73-V72,IF(A73&lt;'Données projet'!$A$36,$K$205^A73,IF(A73='Données projet'!$A$36,'Données projet'!$B$36,N72+M73-V72)))</f>
        <v>330</v>
      </c>
      <c r="O73" s="13">
        <f>N73*VLOOKUP('Données projet'!$B$9,Paramètres!$A$1:$I$89,3,0)*VLOOKUP('Données projet'!$B$9,Paramètres!$A$1:$I$89,5,0)</f>
        <v>298.58399999999995</v>
      </c>
      <c r="P73" s="13">
        <f t="shared" si="87"/>
        <v>70.879533797607607</v>
      </c>
      <c r="Q73" s="20">
        <f t="shared" si="54"/>
        <v>643.48232136416652</v>
      </c>
      <c r="R73" s="59">
        <f t="shared" si="55"/>
        <v>936.81565469749989</v>
      </c>
      <c r="S73" s="59">
        <f ca="1">AVERAGE(OFFSET($R$3,0,0,'Données projet'!$E$9+1,1))-AVERAGE(OFFSET($H$3,0,0,'Données projet'!$E$9+1,1))</f>
        <v>318.40875902853116</v>
      </c>
      <c r="T73" s="59">
        <f t="shared" si="88"/>
        <v>234.87694492493506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1.0907416679215798</v>
      </c>
      <c r="AA73" s="21">
        <f>EXP(-LN(2)/25)*AA72+(1-EXP(-LN(2)/25))/(LN(2)/25)*Calculateur!V73*Calculateur!X73*VLOOKUP('Données projet'!$B$9,Paramètres!$A$1:$I$89,3,0)*0.475*44/12</f>
        <v>3.7219420338216471</v>
      </c>
      <c r="AB73" s="21">
        <f>EXP(-LN(2)/2)*AB72+(1-EXP(-LN(2)/2))/(LN(2)/2)*V73*Y73*VLOOKUP('Données projet'!$B$9,Paramètres!$A$1:$I$89,3,0)*0.475*44/12</f>
        <v>2.0554863714319843E-5</v>
      </c>
      <c r="AC73" s="22">
        <f t="shared" si="57"/>
        <v>4.8127042566069411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272</v>
      </c>
      <c r="AG73" s="12">
        <f>VLOOKUP(A73,'Données projet'!$A$61:$I$81,9,0)</f>
        <v>5.6</v>
      </c>
      <c r="AH73" s="12">
        <f t="array" ref="AH73">INDEX(AG:AG,MIN(IF(ISNUMBER(AG73:AG269),ROW(AG73:AG269),"")))</f>
        <v>5.6</v>
      </c>
      <c r="AI73" s="13">
        <f>IF('Données projet'!$A$62&gt;35,AI72+AH73-AQ72,IF(A73&lt;'Données projet'!$A$62,$AF$205^A73,IF(A73='Données projet'!$A$62,'Données projet'!$B$62,AI72+AH73-AQ72)))</f>
        <v>272</v>
      </c>
      <c r="AJ73" s="13">
        <f>AI73*VLOOKUP('Données projet'!$B$10,Paramètres!$A$1:$I$89,3,0)*VLOOKUP('Données projet'!$B$10,Paramètres!$A$1:$I$89,5,0)</f>
        <v>237.61920000000003</v>
      </c>
      <c r="AK73" s="13">
        <f t="shared" si="89"/>
        <v>57.926992927794117</v>
      </c>
      <c r="AL73" s="20">
        <f t="shared" si="58"/>
        <v>514.74295268257481</v>
      </c>
      <c r="AM73" s="59">
        <f t="shared" si="59"/>
        <v>808.07628601590818</v>
      </c>
      <c r="AN73" s="59">
        <f ca="1">AVERAGE(OFFSET($AM$3,0,0,'Données projet'!$E$10+1,1))-AVERAGE(OFFSET($H$3,0,0,'Données projet'!$E$10+1,1))</f>
        <v>243.38048563215585</v>
      </c>
      <c r="AO73" s="59">
        <f t="shared" si="90"/>
        <v>372.1604147006675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272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3.3098367854172075</v>
      </c>
      <c r="AV73" s="21">
        <f>EXP(-LN(2)/25)*AV72+(1-EXP(-LN(2)/25))/(LN(2)/25)*Calculateur!AQ73*Calculateur!AS73*VLOOKUP('Données projet'!$B$10,Paramètres!$A$1:$I$89,3,0)*0.475*44/12</f>
        <v>6.3872194057276337</v>
      </c>
      <c r="AW73" s="21">
        <f>EXP(-LN(2)/2)*AW72+(1-EXP(-LN(2)/2))/(LN(2)/2)*AQ73*AT73*VLOOKUP('Données projet'!$B$10,Paramètres!$A$1:$I$89,3,0)*0.475*44/12</f>
        <v>2.7956904614603198E-5</v>
      </c>
      <c r="AX73" s="21">
        <f t="shared" si="60"/>
        <v>9.6970841480494574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329</v>
      </c>
      <c r="BB73" s="12">
        <f>VLOOKUP(A73,'Données projet'!$A$87:$I$107,9,0)</f>
        <v>4.9000000000000004</v>
      </c>
      <c r="BC73" s="12">
        <f t="array" ref="BC73">INDEX(BB:BB,MIN(IF(ISNUMBER(BB73:BB269),ROW(BB73:BB269),"")))</f>
        <v>4.9000000000000004</v>
      </c>
      <c r="BD73" s="12">
        <f>IF('Données projet'!$A$88&gt;35,BD72+BC73-BL72,IF(A73&lt;'Données projet'!$A$88,$BA$205^A73,IF(A73='Données projet'!$A$88,'Données projet'!$B$88,BD72+BC73-BL72)))</f>
        <v>328.99999999999972</v>
      </c>
      <c r="BE73" s="13">
        <f>BD73*VLOOKUP('Données projet'!$B$11,Paramètres!$A$1:$I$89,3,0)*VLOOKUP('Données projet'!$B$11,Paramètres!$A$1:$I$89,5,0)</f>
        <v>220.69319999999982</v>
      </c>
      <c r="BF73" s="13">
        <f t="shared" si="91"/>
        <v>54.265521718843871</v>
      </c>
      <c r="BG73" s="20">
        <f t="shared" si="61"/>
        <v>478.88644032698608</v>
      </c>
      <c r="BH73" s="59">
        <f t="shared" si="62"/>
        <v>772.21977366031933</v>
      </c>
      <c r="BI73" s="59">
        <f ca="1">AVERAGE(OFFSET($BH$3,0,0,'Données projet'!$E$11+1,1))-AVERAGE(OFFSET($H$3,0,0,'Données projet'!$E$11+1,1))</f>
        <v>207.93042467236967</v>
      </c>
      <c r="BJ73" s="59">
        <f t="shared" si="92"/>
        <v>250.70954318710835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1.2458902672380112</v>
      </c>
      <c r="BQ73" s="21">
        <f>EXP(-LN(2)/25)*BQ72+(1-EXP(-LN(2)/25))/(LN(2)/25)*Calculateur!BL73*Calculateur!BN73*VLOOKUP('Données projet'!$B$11,Paramètres!$A$1:$I$89,3,0)*0.475*44/12</f>
        <v>5.7071493098790604</v>
      </c>
      <c r="BR73" s="21">
        <f>EXP(-LN(2)/2)*BR72+(1-EXP(-LN(2)/2))/(LN(2)/2)*BL73*BO73*VLOOKUP('Données projet'!$B$11,Paramètres!$A$1:$I$89,3,0)*0.475*44/12</f>
        <v>1.9329266882289872E-5</v>
      </c>
      <c r="BS73" s="22">
        <f t="shared" si="63"/>
        <v>6.9530589063839541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364</v>
      </c>
      <c r="BW73" s="12">
        <f>VLOOKUP(A73,'Données projet'!$A$113:$I$133,9,0)</f>
        <v>9.1</v>
      </c>
      <c r="BX73" s="12">
        <f t="array" ref="BX73">INDEX(BW:BW,MIN(IF(ISNUMBER(BW73:BW269),ROW(BW73:BW269),"")))</f>
        <v>9.1</v>
      </c>
      <c r="BY73" s="12">
        <f>IF('Données projet'!$A$114&gt;35,BY72+BX73-CG72,IF(A73&lt;'Données projet'!$A$114,$BV$205^A73,IF(A73='Données projet'!$A$114,'Données projet'!$B$114,BY72+BX73-CG72)))</f>
        <v>364.00000000000017</v>
      </c>
      <c r="BZ73" s="13">
        <f>BY73*VLOOKUP('Données projet'!$B$12,Paramètres!$A$1:$I$89,3,0)*VLOOKUP('Données projet'!$B$12,Paramètres!$A$1:$I$89,5,0)</f>
        <v>283.92000000000013</v>
      </c>
      <c r="CA73" s="13">
        <f t="shared" si="93"/>
        <v>67.794746071143635</v>
      </c>
      <c r="CB73" s="20">
        <f t="shared" si="64"/>
        <v>612.56984940724203</v>
      </c>
      <c r="CC73" s="59">
        <f t="shared" si="65"/>
        <v>905.9031827405754</v>
      </c>
      <c r="CD73" s="59">
        <f ca="1">AVERAGE(OFFSET($CC$3,0,0,'Données projet'!$E$12+1,1))-AVERAGE(OFFSET($H$3,0,0,'Données projet'!$E$12+1,1))</f>
        <v>266.30229009596883</v>
      </c>
      <c r="CE73" s="59">
        <f t="shared" si="94"/>
        <v>270.19195828386046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69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0.65484798412779588</v>
      </c>
      <c r="CL73" s="21">
        <f>EXP(-LN(2)/25)*CL72+(1-EXP(-LN(2)/25))/(LN(2)/25)*Calculateur!CG73*Calculateur!CI73*VLOOKUP('Données projet'!$B$12,Paramètres!$A$1:$I$89,3,0)*0.475*44/12</f>
        <v>2.7613086495470998</v>
      </c>
      <c r="CM73" s="21">
        <f>EXP(-LN(2)/2)*CM72+(1-EXP(-LN(2)/2))/(LN(2)/2)*CG73*CJ73*VLOOKUP('Données projet'!$B$12,Paramètres!$A$1:$I$89,3,0)*0.475*44/12</f>
        <v>1.2465648266507945E-5</v>
      </c>
      <c r="CN73" s="22">
        <f t="shared" si="66"/>
        <v>3.4161690993231622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329</v>
      </c>
      <c r="CR73" s="12">
        <f>VLOOKUP(A73,'Données projet'!$A$139:$I$159,9,0)</f>
        <v>4.9000000000000004</v>
      </c>
      <c r="CS73" s="12">
        <f t="array" ref="CS73">INDEX(CR:CR,MIN(IF(ISNUMBER(CR73:CR269),ROW(CR73:CR269),"")))</f>
        <v>4.9000000000000004</v>
      </c>
      <c r="CT73" s="12">
        <f>IF('Données projet'!$A$140&gt;35,CT72+CS73-DB72,IF(A73&lt;'Données projet'!$A$140,$CQ$205^A73,IF(A73='Données projet'!$A$140,'Données projet'!$B$140,CT72+CS73-DB72)))</f>
        <v>328.99999999999972</v>
      </c>
      <c r="CU73" s="17">
        <f>CT73*VLOOKUP('Données projet'!$B$13,Paramètres!$A$1:$I$89,3,0)*VLOOKUP('Données projet'!$B$13,Paramètres!$A$1:$I$89,5,0)</f>
        <v>261.7523999999998</v>
      </c>
      <c r="CV73" s="13">
        <f t="shared" si="95"/>
        <v>63.095772658160975</v>
      </c>
      <c r="CW73" s="20">
        <f t="shared" si="67"/>
        <v>565.7772340462966</v>
      </c>
      <c r="CX73" s="59">
        <f t="shared" si="68"/>
        <v>859.11056737962986</v>
      </c>
      <c r="CY73" s="59">
        <f ca="1">AVERAGE(OFFSET($CX$3,0,0,'Données projet'!$E$13+1,1))-AVERAGE(OFFSET($H$3,0,0,'Données projet'!$E$13+1,1))</f>
        <v>260.20517190557814</v>
      </c>
      <c r="CZ73" s="59">
        <f t="shared" si="96"/>
        <v>307.22009971147133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26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1.4776838053288048</v>
      </c>
      <c r="DG73" s="21">
        <f>EXP(-LN(2)/25)*DG72+(1-EXP(-LN(2)/25))/(LN(2)/25)*Calculateur!DB73*Calculateur!DD73*VLOOKUP('Données projet'!$B$13,Paramètres!$A$1:$I$89,3,0)*0.475*44/12</f>
        <v>6.7689445303216687</v>
      </c>
      <c r="DH73" s="21">
        <f>EXP(-LN(2)/2)*DH72+(1-EXP(-LN(2)/2))/(LN(2)/2)*DB73*DE73*VLOOKUP('Données projet'!$B$13,Paramètres!$A$1:$I$89,3,0)*0.475*44/12</f>
        <v>2.2925409558064734E-5</v>
      </c>
      <c r="DI73" s="22">
        <f t="shared" si="69"/>
        <v>8.2466512610600322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330</v>
      </c>
      <c r="DM73" s="12">
        <f>VLOOKUP(A73,'Données projet'!$A$165:$I$185,9,0)</f>
        <v>8.5</v>
      </c>
      <c r="DN73" s="12">
        <f t="array" ref="DN73">INDEX(DM:DM,MIN(IF(ISNUMBER(DM73:DM269),ROW(DM73:DM269),"")))</f>
        <v>8.5</v>
      </c>
      <c r="DO73" s="12">
        <f>IF('Données projet'!$A$166&gt;35,DO72+DN73-DW72,IF(A73&lt;'Données projet'!$A$166,$DL$205^A73,IF(A73='Données projet'!$A$166,'Données projet'!$B$166,DO72+DN73-DW72)))</f>
        <v>330</v>
      </c>
      <c r="DP73" s="17">
        <f>DO73*VLOOKUP('Données projet'!$B$14,Paramètres!$A$1:$I$89,3,0)*VLOOKUP('Données projet'!$B$14,Paramètres!$A$1:$I$89,5,0)</f>
        <v>319.17599999999999</v>
      </c>
      <c r="DQ73" s="13">
        <f t="shared" si="97"/>
        <v>75.181878718947672</v>
      </c>
      <c r="DR73" s="20">
        <f t="shared" si="70"/>
        <v>686.83997210216705</v>
      </c>
      <c r="DS73" s="59">
        <f t="shared" si="71"/>
        <v>980.17330543550042</v>
      </c>
      <c r="DT73" s="59">
        <f ca="1">AVERAGE(OFFSET($DS$3,0,0,'Données projet'!$E$14+1,1))-AVERAGE(OFFSET($H$3,0,0,'Données projet'!$E$14+1,1))</f>
        <v>347.8889410585312</v>
      </c>
      <c r="DU73" s="59">
        <f t="shared" si="98"/>
        <v>254.78167322479203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56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1.1659652312265167</v>
      </c>
      <c r="EB73" s="21">
        <f>EXP(-LN(2)/25)*EB72+(1-EXP(-LN(2)/25))/(LN(2)/25)*Calculateur!DW73*Calculateur!DY73*VLOOKUP('Données projet'!$B$14,Paramètres!$A$1:$I$89,3,0)*0.475*44/12</f>
        <v>3.9786276913265901</v>
      </c>
      <c r="EC73" s="21">
        <f>EXP(-LN(2)/2)*EC72+(1-EXP(-LN(2)/2))/(LN(2)/2)*DW73*DZ73*VLOOKUP('Données projet'!$B$14,Paramètres!$A$1:$I$89,3,0)*0.475*44/12</f>
        <v>2.1972440522203909E-5</v>
      </c>
      <c r="ED73" s="22">
        <f t="shared" si="72"/>
        <v>5.1446148949936292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330</v>
      </c>
      <c r="EH73" s="12">
        <f>VLOOKUP(A73,'Données projet'!$A$191:$I$211,9,0)</f>
        <v>8.5</v>
      </c>
      <c r="EI73" s="12">
        <f t="array" ref="EI73">INDEX(EH:EH,MIN(IF(ISNUMBER(EH73:EH269),ROW(EH73:EH269),"")))</f>
        <v>8.5</v>
      </c>
      <c r="EJ73" s="12">
        <f>IF('Données projet'!$A$192&gt;35,EJ72+EI73-ER72,IF(A73&lt;'Données projet'!$A$192,$EG$205^A73,IF(A73='Données projet'!$A$192,'Données projet'!$B$192,EJ72+EI73-ER72)))</f>
        <v>330</v>
      </c>
      <c r="EK73" s="17">
        <f>EJ73*VLOOKUP('Données projet'!$B$15,Paramètres!$A$1:$I$89,3,0)*VLOOKUP('Données projet'!$B$15,Paramètres!$A$1:$I$89,5,0)</f>
        <v>355.21199999999999</v>
      </c>
      <c r="EL73" s="13">
        <f t="shared" si="99"/>
        <v>82.634791155027401</v>
      </c>
      <c r="EM73" s="20">
        <f t="shared" si="73"/>
        <v>762.58316126167267</v>
      </c>
      <c r="EN73" s="59">
        <f t="shared" si="74"/>
        <v>1055.916494595006</v>
      </c>
      <c r="EO73" s="59">
        <f ca="1">AVERAGE(OFFSET($EN$3,0,0,'Données projet'!$E$15+1,1))-AVERAGE(OFFSET($H$3,0,0,'Données projet'!$E$15+1,1))</f>
        <v>399.38728019348088</v>
      </c>
      <c r="EP73" s="59">
        <f t="shared" si="100"/>
        <v>289.54922160039791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56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1.297606467010155</v>
      </c>
      <c r="EW73" s="21">
        <f>EXP(-LN(2)/25)*EW72+(1-EXP(-LN(2)/25))/(LN(2)/25)*Calculateur!ER73*Calculateur!ET73*VLOOKUP('Données projet'!$B$15,Paramètres!$A$1:$I$89,3,0)*0.475*44/12</f>
        <v>4.4278275919602397</v>
      </c>
      <c r="EX73" s="21">
        <f>EXP(-LN(2)/2)*EX72+(1-EXP(-LN(2)/2))/(LN(2)/2)*ER73*EU73*VLOOKUP('Données projet'!$B$15,Paramètres!$A$1:$I$89,3,0)*0.475*44/12</f>
        <v>2.4453199936001126E-5</v>
      </c>
      <c r="EY73" s="22">
        <f t="shared" si="75"/>
        <v>5.7254585121703307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7.4</v>
      </c>
      <c r="N74" s="13">
        <f>IF('Données projet'!$A$36&gt;35,N73+M74-V73,IF(A74&lt;'Données projet'!$A$36,$K$205^A74,IF(A74='Données projet'!$A$36,'Données projet'!$B$36,N73+M74-V73)))</f>
        <v>281.39999999999998</v>
      </c>
      <c r="O74" s="13">
        <f>N74*VLOOKUP('Données projet'!$B$9,Paramètres!$A$1:$I$89,3,0)*VLOOKUP('Données projet'!$B$9,Paramètres!$A$1:$I$89,5,0)</f>
        <v>254.61071999999999</v>
      </c>
      <c r="P74" s="13">
        <f t="shared" si="87"/>
        <v>61.572204587965679</v>
      </c>
      <c r="Q74" s="20">
        <f t="shared" si="54"/>
        <v>550.68526032404009</v>
      </c>
      <c r="R74" s="59">
        <f t="shared" si="55"/>
        <v>844.01859365737346</v>
      </c>
      <c r="S74" s="59">
        <f ca="1">AVERAGE(OFFSET($R$3,0,0,'Données projet'!$E$9+1,1))-AVERAGE(OFFSET($H$3,0,0,'Données projet'!$E$9+1,1))</f>
        <v>318.40875902853116</v>
      </c>
      <c r="T74" s="59">
        <f t="shared" si="88"/>
        <v>234.87694492493506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1.0693528891003634</v>
      </c>
      <c r="AA74" s="21">
        <f>EXP(-LN(2)/25)*AA73+(1-EXP(-LN(2)/25))/(LN(2)/25)*Calculateur!V74*Calculateur!X74*VLOOKUP('Données projet'!$B$9,Paramètres!$A$1:$I$89,3,0)*0.475*44/12</f>
        <v>3.6201653331783694</v>
      </c>
      <c r="AB74" s="21">
        <f>EXP(-LN(2)/2)*AB73+(1-EXP(-LN(2)/2))/(LN(2)/2)*V74*Y74*VLOOKUP('Données projet'!$B$9,Paramètres!$A$1:$I$89,3,0)*0.475*44/12</f>
        <v>1.4534483518760868E-5</v>
      </c>
      <c r="AC74" s="22">
        <f t="shared" si="57"/>
        <v>4.6895327567622518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243.38048563215585</v>
      </c>
      <c r="AO74" s="59">
        <f t="shared" si="90"/>
        <v>372.1604147006675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3.2449329048562752</v>
      </c>
      <c r="AV74" s="21">
        <f>EXP(-LN(2)/25)*AV73+(1-EXP(-LN(2)/25))/(LN(2)/25)*Calculateur!AQ74*Calculateur!AS74*VLOOKUP('Données projet'!$B$10,Paramètres!$A$1:$I$89,3,0)*0.475*44/12</f>
        <v>6.2125605551887411</v>
      </c>
      <c r="AW74" s="21">
        <f>EXP(-LN(2)/2)*AW73+(1-EXP(-LN(2)/2))/(LN(2)/2)*AQ74*AT74*VLOOKUP('Données projet'!$B$10,Paramètres!$A$1:$I$89,3,0)*0.475*44/12</f>
        <v>1.9768516833971404E-5</v>
      </c>
      <c r="AX74" s="21">
        <f t="shared" si="60"/>
        <v>9.4575132285618508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3.9</v>
      </c>
      <c r="BD74" s="12">
        <f>IF('Données projet'!$A$88&gt;35,BD73+BC74-BL73,IF(A74&lt;'Données projet'!$A$88,$BA$205^A74,IF(A74='Données projet'!$A$88,'Données projet'!$B$88,BD73+BC74-BL73)))</f>
        <v>306.89999999999969</v>
      </c>
      <c r="BE74" s="13">
        <f>BD74*VLOOKUP('Données projet'!$B$11,Paramètres!$A$1:$I$89,3,0)*VLOOKUP('Données projet'!$B$11,Paramètres!$A$1:$I$89,5,0)</f>
        <v>205.86851999999982</v>
      </c>
      <c r="BF74" s="13">
        <f t="shared" si="91"/>
        <v>51.031711971467665</v>
      </c>
      <c r="BG74" s="20">
        <f t="shared" si="61"/>
        <v>447.43457068363909</v>
      </c>
      <c r="BH74" s="59">
        <f t="shared" si="62"/>
        <v>740.76790401697235</v>
      </c>
      <c r="BI74" s="59">
        <f ca="1">AVERAGE(OFFSET($BH$3,0,0,'Données projet'!$E$11+1,1))-AVERAGE(OFFSET($H$3,0,0,'Données projet'!$E$11+1,1))</f>
        <v>207.93042467236967</v>
      </c>
      <c r="BJ74" s="59">
        <f t="shared" si="92"/>
        <v>250.70954318710835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1.2214591190155011</v>
      </c>
      <c r="BQ74" s="21">
        <f>EXP(-LN(2)/25)*BQ73+(1-EXP(-LN(2)/25))/(LN(2)/25)*Calculateur!BL74*Calculateur!BN74*VLOOKUP('Données projet'!$B$11,Paramètres!$A$1:$I$89,3,0)*0.475*44/12</f>
        <v>5.5510870118744791</v>
      </c>
      <c r="BR74" s="21">
        <f>EXP(-LN(2)/2)*BR73+(1-EXP(-LN(2)/2))/(LN(2)/2)*BL74*BO74*VLOOKUP('Données projet'!$B$11,Paramètres!$A$1:$I$89,3,0)*0.475*44/12</f>
        <v>1.3667855687831724E-5</v>
      </c>
      <c r="BS74" s="22">
        <f t="shared" si="63"/>
        <v>6.772559798745668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8.5</v>
      </c>
      <c r="BY74" s="12">
        <f>IF('Données projet'!$A$114&gt;35,BY73+BX74-CG73,IF(A74&lt;'Données projet'!$A$114,$BV$205^A74,IF(A74='Données projet'!$A$114,'Données projet'!$B$114,BY73+BX74-CG73)))</f>
        <v>303.50000000000017</v>
      </c>
      <c r="BZ74" s="13">
        <f>BY74*VLOOKUP('Données projet'!$B$12,Paramètres!$A$1:$I$89,3,0)*VLOOKUP('Données projet'!$B$12,Paramètres!$A$1:$I$89,5,0)</f>
        <v>236.73000000000013</v>
      </c>
      <c r="CA74" s="13">
        <f t="shared" si="93"/>
        <v>57.735413300792672</v>
      </c>
      <c r="CB74" s="20">
        <f t="shared" si="64"/>
        <v>512.86059483221413</v>
      </c>
      <c r="CC74" s="59">
        <f t="shared" si="65"/>
        <v>806.1939281655475</v>
      </c>
      <c r="CD74" s="59">
        <f ca="1">AVERAGE(OFFSET($CC$3,0,0,'Données projet'!$E$12+1,1))-AVERAGE(OFFSET($H$3,0,0,'Données projet'!$E$12+1,1))</f>
        <v>266.30229009596883</v>
      </c>
      <c r="CE74" s="59">
        <f t="shared" si="94"/>
        <v>270.19195828386046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0.64200681457688091</v>
      </c>
      <c r="CL74" s="21">
        <f>EXP(-LN(2)/25)*CL73+(1-EXP(-LN(2)/25))/(LN(2)/25)*Calculateur!CG74*Calculateur!CI74*VLOOKUP('Données projet'!$B$12,Paramètres!$A$1:$I$89,3,0)*0.475*44/12</f>
        <v>2.6858005193143235</v>
      </c>
      <c r="CM74" s="21">
        <f>EXP(-LN(2)/2)*CM73+(1-EXP(-LN(2)/2))/(LN(2)/2)*CG74*CJ74*VLOOKUP('Données projet'!$B$12,Paramètres!$A$1:$I$89,3,0)*0.475*44/12</f>
        <v>8.814544421134099E-6</v>
      </c>
      <c r="CN74" s="22">
        <f t="shared" si="66"/>
        <v>3.3278161484356255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3.9</v>
      </c>
      <c r="CT74" s="12">
        <f>IF('Données projet'!$A$140&gt;35,CT73+CS74-DB73,IF(A74&lt;'Données projet'!$A$140,$CQ$205^A74,IF(A74='Données projet'!$A$140,'Données projet'!$B$140,CT73+CS74-DB73)))</f>
        <v>306.89999999999969</v>
      </c>
      <c r="CU74" s="17">
        <f>CT74*VLOOKUP('Données projet'!$B$13,Paramètres!$A$1:$I$89,3,0)*VLOOKUP('Données projet'!$B$13,Paramètres!$A$1:$I$89,5,0)</f>
        <v>244.16963999999976</v>
      </c>
      <c r="CV74" s="13">
        <f t="shared" si="95"/>
        <v>59.335747541340979</v>
      </c>
      <c r="CW74" s="20">
        <f t="shared" si="67"/>
        <v>528.60521663450174</v>
      </c>
      <c r="CX74" s="59">
        <f t="shared" si="68"/>
        <v>821.93854996783512</v>
      </c>
      <c r="CY74" s="59">
        <f ca="1">AVERAGE(OFFSET($CX$3,0,0,'Données projet'!$E$13+1,1))-AVERAGE(OFFSET($H$3,0,0,'Données projet'!$E$13+1,1))</f>
        <v>260.20517190557814</v>
      </c>
      <c r="CZ74" s="59">
        <f t="shared" si="96"/>
        <v>307.22009971147133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1.4487073272044324</v>
      </c>
      <c r="DG74" s="21">
        <f>EXP(-LN(2)/25)*DG73+(1-EXP(-LN(2)/25))/(LN(2)/25)*Calculateur!DB74*Calculateur!DD74*VLOOKUP('Données projet'!$B$13,Paramètres!$A$1:$I$89,3,0)*0.475*44/12</f>
        <v>6.5838473861767008</v>
      </c>
      <c r="DH74" s="21">
        <f>EXP(-LN(2)/2)*DH73+(1-EXP(-LN(2)/2))/(LN(2)/2)*DB74*DE74*VLOOKUP('Données projet'!$B$13,Paramètres!$A$1:$I$89,3,0)*0.475*44/12</f>
        <v>1.6210712559986465E-5</v>
      </c>
      <c r="DI74" s="22">
        <f t="shared" si="69"/>
        <v>8.0325709240936938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7.4</v>
      </c>
      <c r="DO74" s="12">
        <f>IF('Données projet'!$A$166&gt;35,DO73+DN74-DW73,IF(A74&lt;'Données projet'!$A$166,$DL$205^A74,IF(A74='Données projet'!$A$166,'Données projet'!$B$166,DO73+DN74-DW73)))</f>
        <v>281.39999999999998</v>
      </c>
      <c r="DP74" s="17">
        <f>DO74*VLOOKUP('Données projet'!$B$14,Paramètres!$A$1:$I$89,3,0)*VLOOKUP('Données projet'!$B$14,Paramètres!$A$1:$I$89,5,0)</f>
        <v>272.17007999999998</v>
      </c>
      <c r="DQ74" s="13">
        <f t="shared" si="97"/>
        <v>65.309600243828299</v>
      </c>
      <c r="DR74" s="20">
        <f t="shared" si="70"/>
        <v>587.77710975800085</v>
      </c>
      <c r="DS74" s="59">
        <f t="shared" si="71"/>
        <v>881.11044309133422</v>
      </c>
      <c r="DT74" s="59">
        <f ca="1">AVERAGE(OFFSET($DS$3,0,0,'Données projet'!$E$14+1,1))-AVERAGE(OFFSET($H$3,0,0,'Données projet'!$E$14+1,1))</f>
        <v>347.8889410585312</v>
      </c>
      <c r="DU74" s="59">
        <f t="shared" si="98"/>
        <v>254.78167322479203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1.1431013642107337</v>
      </c>
      <c r="EB74" s="21">
        <f>EXP(-LN(2)/25)*EB73+(1-EXP(-LN(2)/25))/(LN(2)/25)*Calculateur!DW74*Calculateur!DY74*VLOOKUP('Données projet'!$B$14,Paramètres!$A$1:$I$89,3,0)*0.475*44/12</f>
        <v>3.8698319078803274</v>
      </c>
      <c r="EC74" s="21">
        <f>EXP(-LN(2)/2)*EC73+(1-EXP(-LN(2)/2))/(LN(2)/2)*DW74*DZ74*VLOOKUP('Données projet'!$B$14,Paramètres!$A$1:$I$89,3,0)*0.475*44/12</f>
        <v>1.5536861692468469E-5</v>
      </c>
      <c r="ED74" s="22">
        <f t="shared" si="72"/>
        <v>5.0129488089527534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7.4</v>
      </c>
      <c r="EJ74" s="12">
        <f>IF('Données projet'!$A$192&gt;35,EJ73+EI74-ER73,IF(A74&lt;'Données projet'!$A$192,$EG$205^A74,IF(A74='Données projet'!$A$192,'Données projet'!$B$192,EJ73+EI74-ER73)))</f>
        <v>281.39999999999998</v>
      </c>
      <c r="EK74" s="17">
        <f>EJ74*VLOOKUP('Données projet'!$B$15,Paramètres!$A$1:$I$89,3,0)*VLOOKUP('Données projet'!$B$15,Paramètres!$A$1:$I$89,5,0)</f>
        <v>302.89895999999999</v>
      </c>
      <c r="EL74" s="13">
        <f t="shared" si="99"/>
        <v>71.783856276618167</v>
      </c>
      <c r="EM74" s="20">
        <f t="shared" si="73"/>
        <v>652.57257168177659</v>
      </c>
      <c r="EN74" s="59">
        <f t="shared" si="74"/>
        <v>945.90590501510997</v>
      </c>
      <c r="EO74" s="59">
        <f ca="1">AVERAGE(OFFSET($EN$3,0,0,'Données projet'!$E$15+1,1))-AVERAGE(OFFSET($H$3,0,0,'Données projet'!$E$15+1,1))</f>
        <v>399.38728019348088</v>
      </c>
      <c r="EP74" s="59">
        <f t="shared" si="100"/>
        <v>289.54922160039791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1.2721611956538803</v>
      </c>
      <c r="EW74" s="21">
        <f>EXP(-LN(2)/25)*EW73+(1-EXP(-LN(2)/25))/(LN(2)/25)*Calculateur!ER74*Calculateur!ET74*VLOOKUP('Données projet'!$B$15,Paramètres!$A$1:$I$89,3,0)*0.475*44/12</f>
        <v>4.3067484136087542</v>
      </c>
      <c r="EX74" s="21">
        <f>EXP(-LN(2)/2)*EX73+(1-EXP(-LN(2)/2))/(LN(2)/2)*ER74*EU74*VLOOKUP('Données projet'!$B$15,Paramètres!$A$1:$I$89,3,0)*0.475*44/12</f>
        <v>1.7291023496456846E-5</v>
      </c>
      <c r="EY74" s="22">
        <f t="shared" si="75"/>
        <v>5.578926900286131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7.4</v>
      </c>
      <c r="N75" s="13">
        <f>IF('Données projet'!$A$36&gt;35,N74+M75-V74,IF(A75&lt;'Données projet'!$A$36,$K$205^A75,IF(A75='Données projet'!$A$36,'Données projet'!$B$36,N74+M75-V74)))</f>
        <v>288.79999999999995</v>
      </c>
      <c r="O75" s="13">
        <f>N75*VLOOKUP('Données projet'!$B$9,Paramètres!$A$1:$I$89,3,0)*VLOOKUP('Données projet'!$B$9,Paramètres!$A$1:$I$89,5,0)</f>
        <v>261.30623999999995</v>
      </c>
      <c r="P75" s="13">
        <f t="shared" si="87"/>
        <v>63.000734275359598</v>
      </c>
      <c r="Q75" s="20">
        <f t="shared" si="54"/>
        <v>564.83464686291791</v>
      </c>
      <c r="R75" s="59">
        <f t="shared" si="55"/>
        <v>858.16798019625116</v>
      </c>
      <c r="S75" s="59">
        <f ca="1">AVERAGE(OFFSET($R$3,0,0,'Données projet'!$E$9+1,1))-AVERAGE(OFFSET($H$3,0,0,'Données projet'!$E$9+1,1))</f>
        <v>318.40875902853116</v>
      </c>
      <c r="T75" s="59">
        <f t="shared" si="88"/>
        <v>234.87694492493506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1.0483835311859642</v>
      </c>
      <c r="AA75" s="21">
        <f>EXP(-LN(2)/25)*AA74+(1-EXP(-LN(2)/25))/(LN(2)/25)*Calculateur!V75*Calculateur!X75*VLOOKUP('Données projet'!$B$9,Paramètres!$A$1:$I$89,3,0)*0.475*44/12</f>
        <v>3.521171721766386</v>
      </c>
      <c r="AB75" s="21">
        <f>EXP(-LN(2)/2)*AB74+(1-EXP(-LN(2)/2))/(LN(2)/2)*V75*Y75*VLOOKUP('Données projet'!$B$9,Paramètres!$A$1:$I$89,3,0)*0.475*44/12</f>
        <v>1.0277431857159923E-5</v>
      </c>
      <c r="AC75" s="22">
        <f t="shared" si="57"/>
        <v>4.5695655303842075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243.38048563215585</v>
      </c>
      <c r="AO75" s="59">
        <f t="shared" si="90"/>
        <v>372.1604147006675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3.1813017498056846</v>
      </c>
      <c r="AV75" s="21">
        <f>EXP(-LN(2)/25)*AV74+(1-EXP(-LN(2)/25))/(LN(2)/25)*Calculateur!AQ75*Calculateur!AS75*VLOOKUP('Données projet'!$B$10,Paramètres!$A$1:$I$89,3,0)*0.475*44/12</f>
        <v>6.0426777601027446</v>
      </c>
      <c r="AW75" s="21">
        <f>EXP(-LN(2)/2)*AW74+(1-EXP(-LN(2)/2))/(LN(2)/2)*AQ75*AT75*VLOOKUP('Données projet'!$B$10,Paramètres!$A$1:$I$89,3,0)*0.475*44/12</f>
        <v>1.3978452307301599E-5</v>
      </c>
      <c r="AX75" s="21">
        <f t="shared" si="60"/>
        <v>9.2239934883607351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3.9</v>
      </c>
      <c r="BD75" s="12">
        <f>IF('Données projet'!$A$88&gt;35,BD74+BC75-BL74,IF(A75&lt;'Données projet'!$A$88,$BA$205^A75,IF(A75='Données projet'!$A$88,'Données projet'!$B$88,BD74+BC75-BL74)))</f>
        <v>310.79999999999967</v>
      </c>
      <c r="BE75" s="13">
        <f>BD75*VLOOKUP('Données projet'!$B$11,Paramètres!$A$1:$I$89,3,0)*VLOOKUP('Données projet'!$B$11,Paramètres!$A$1:$I$89,5,0)</f>
        <v>208.48463999999979</v>
      </c>
      <c r="BF75" s="13">
        <f t="shared" si="91"/>
        <v>51.60430196645391</v>
      </c>
      <c r="BG75" s="20">
        <f t="shared" si="61"/>
        <v>452.98824059157351</v>
      </c>
      <c r="BH75" s="59">
        <f t="shared" si="62"/>
        <v>746.32157392490683</v>
      </c>
      <c r="BI75" s="59">
        <f ca="1">AVERAGE(OFFSET($BH$3,0,0,'Données projet'!$E$11+1,1))-AVERAGE(OFFSET($H$3,0,0,'Données projet'!$E$11+1,1))</f>
        <v>207.93042467236967</v>
      </c>
      <c r="BJ75" s="59">
        <f t="shared" si="92"/>
        <v>250.70954318710835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1.1975070507081054</v>
      </c>
      <c r="BQ75" s="21">
        <f>EXP(-LN(2)/25)*BQ74+(1-EXP(-LN(2)/25))/(LN(2)/25)*Calculateur!BL75*Calculateur!BN75*VLOOKUP('Données projet'!$B$11,Paramètres!$A$1:$I$89,3,0)*0.475*44/12</f>
        <v>5.3992922456157926</v>
      </c>
      <c r="BR75" s="21">
        <f>EXP(-LN(2)/2)*BR74+(1-EXP(-LN(2)/2))/(LN(2)/2)*BL75*BO75*VLOOKUP('Données projet'!$B$11,Paramètres!$A$1:$I$89,3,0)*0.475*44/12</f>
        <v>9.6646334411449361E-6</v>
      </c>
      <c r="BS75" s="22">
        <f t="shared" si="63"/>
        <v>6.5968089609573388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8.5</v>
      </c>
      <c r="BY75" s="12">
        <f>IF('Données projet'!$A$114&gt;35,BY74+BX75-CG74,IF(A75&lt;'Données projet'!$A$114,$BV$205^A75,IF(A75='Données projet'!$A$114,'Données projet'!$B$114,BY74+BX75-CG74)))</f>
        <v>312.00000000000017</v>
      </c>
      <c r="BZ75" s="13">
        <f>BY75*VLOOKUP('Données projet'!$B$12,Paramètres!$A$1:$I$89,3,0)*VLOOKUP('Données projet'!$B$12,Paramètres!$A$1:$I$89,5,0)</f>
        <v>243.36000000000013</v>
      </c>
      <c r="CA75" s="13">
        <f t="shared" si="93"/>
        <v>59.161864860837184</v>
      </c>
      <c r="CB75" s="20">
        <f t="shared" si="64"/>
        <v>526.89224796595829</v>
      </c>
      <c r="CC75" s="59">
        <f t="shared" si="65"/>
        <v>820.22558129929166</v>
      </c>
      <c r="CD75" s="59">
        <f ca="1">AVERAGE(OFFSET($CC$3,0,0,'Données projet'!$E$12+1,1))-AVERAGE(OFFSET($H$3,0,0,'Données projet'!$E$12+1,1))</f>
        <v>266.30229009596883</v>
      </c>
      <c r="CE75" s="59">
        <f t="shared" si="94"/>
        <v>270.19195828386046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0.62941745252851933</v>
      </c>
      <c r="CL75" s="21">
        <f>EXP(-LN(2)/25)*CL74+(1-EXP(-LN(2)/25))/(LN(2)/25)*Calculateur!CG75*Calculateur!CI75*VLOOKUP('Données projet'!$B$12,Paramètres!$A$1:$I$89,3,0)*0.475*44/12</f>
        <v>2.6123571628735625</v>
      </c>
      <c r="CM75" s="21">
        <f>EXP(-LN(2)/2)*CM74+(1-EXP(-LN(2)/2))/(LN(2)/2)*CG75*CJ75*VLOOKUP('Données projet'!$B$12,Paramètres!$A$1:$I$89,3,0)*0.475*44/12</f>
        <v>6.2328241332539727E-6</v>
      </c>
      <c r="CN75" s="22">
        <f t="shared" si="66"/>
        <v>3.2417808482262149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3.9</v>
      </c>
      <c r="CT75" s="12">
        <f>IF('Données projet'!$A$140&gt;35,CT74+CS75-DB74,IF(A75&lt;'Données projet'!$A$140,$CQ$205^A75,IF(A75='Données projet'!$A$140,'Données projet'!$B$140,CT74+CS75-DB74)))</f>
        <v>310.79999999999967</v>
      </c>
      <c r="CU75" s="17">
        <f>CT75*VLOOKUP('Données projet'!$B$13,Paramètres!$A$1:$I$89,3,0)*VLOOKUP('Données projet'!$B$13,Paramètres!$A$1:$I$89,5,0)</f>
        <v>247.27247999999975</v>
      </c>
      <c r="CV75" s="13">
        <f t="shared" si="95"/>
        <v>60.001511123918704</v>
      </c>
      <c r="CW75" s="20">
        <f t="shared" si="67"/>
        <v>535.16886787415797</v>
      </c>
      <c r="CX75" s="59">
        <f t="shared" si="68"/>
        <v>828.50220120749123</v>
      </c>
      <c r="CY75" s="59">
        <f ca="1">AVERAGE(OFFSET($CX$3,0,0,'Données projet'!$E$13+1,1))-AVERAGE(OFFSET($H$3,0,0,'Données projet'!$E$13+1,1))</f>
        <v>260.20517190557814</v>
      </c>
      <c r="CZ75" s="59">
        <f t="shared" si="96"/>
        <v>307.22009971147133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1.4202990601421723</v>
      </c>
      <c r="DG75" s="21">
        <f>EXP(-LN(2)/25)*DG74+(1-EXP(-LN(2)/25))/(LN(2)/25)*Calculateur!DB75*Calculateur!DD75*VLOOKUP('Données projet'!$B$13,Paramètres!$A$1:$I$89,3,0)*0.475*44/12</f>
        <v>6.4038117331722129</v>
      </c>
      <c r="DH75" s="21">
        <f>EXP(-LN(2)/2)*DH74+(1-EXP(-LN(2)/2))/(LN(2)/2)*DB75*DE75*VLOOKUP('Données projet'!$B$13,Paramètres!$A$1:$I$89,3,0)*0.475*44/12</f>
        <v>1.1462704779032367E-5</v>
      </c>
      <c r="DI75" s="22">
        <f t="shared" si="69"/>
        <v>7.8241222560191641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7.4</v>
      </c>
      <c r="DO75" s="12">
        <f>IF('Données projet'!$A$166&gt;35,DO74+DN75-DW74,IF(A75&lt;'Données projet'!$A$166,$DL$205^A75,IF(A75='Données projet'!$A$166,'Données projet'!$B$166,DO74+DN75-DW74)))</f>
        <v>288.79999999999995</v>
      </c>
      <c r="DP75" s="17">
        <f>DO75*VLOOKUP('Données projet'!$B$14,Paramètres!$A$1:$I$89,3,0)*VLOOKUP('Données projet'!$B$14,Paramètres!$A$1:$I$89,5,0)</f>
        <v>279.32736</v>
      </c>
      <c r="DQ75" s="13">
        <f t="shared" si="97"/>
        <v>66.824840821041093</v>
      </c>
      <c r="DR75" s="20">
        <f t="shared" si="70"/>
        <v>602.88174976331322</v>
      </c>
      <c r="DS75" s="59">
        <f t="shared" si="71"/>
        <v>896.21508309664659</v>
      </c>
      <c r="DT75" s="59">
        <f ca="1">AVERAGE(OFFSET($DS$3,0,0,'Données projet'!$E$14+1,1))-AVERAGE(OFFSET($H$3,0,0,'Données projet'!$E$14+1,1))</f>
        <v>347.8889410585312</v>
      </c>
      <c r="DU75" s="59">
        <f t="shared" si="98"/>
        <v>254.78167322479203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1.1206858436815483</v>
      </c>
      <c r="EB75" s="21">
        <f>EXP(-LN(2)/25)*EB74+(1-EXP(-LN(2)/25))/(LN(2)/25)*Calculateur!DW75*Calculateur!DY75*VLOOKUP('Données projet'!$B$14,Paramètres!$A$1:$I$89,3,0)*0.475*44/12</f>
        <v>3.7640111508537246</v>
      </c>
      <c r="EC75" s="21">
        <f>EXP(-LN(2)/2)*EC74+(1-EXP(-LN(2)/2))/(LN(2)/2)*DW75*DZ75*VLOOKUP('Données projet'!$B$14,Paramètres!$A$1:$I$89,3,0)*0.475*44/12</f>
        <v>1.0986220261101954E-5</v>
      </c>
      <c r="ED75" s="22">
        <f t="shared" si="72"/>
        <v>4.8847079807555343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7.4</v>
      </c>
      <c r="EJ75" s="12">
        <f>IF('Données projet'!$A$192&gt;35,EJ74+EI75-ER74,IF(A75&lt;'Données projet'!$A$192,$EG$205^A75,IF(A75='Données projet'!$A$192,'Données projet'!$B$192,EJ74+EI75-ER74)))</f>
        <v>288.79999999999995</v>
      </c>
      <c r="EK75" s="17">
        <f>EJ75*VLOOKUP('Données projet'!$B$15,Paramètres!$A$1:$I$89,3,0)*VLOOKUP('Données projet'!$B$15,Paramètres!$A$1:$I$89,5,0)</f>
        <v>310.86431999999996</v>
      </c>
      <c r="EL75" s="13">
        <f t="shared" si="99"/>
        <v>73.449305328718694</v>
      </c>
      <c r="EM75" s="20">
        <f t="shared" si="73"/>
        <v>669.34623078085167</v>
      </c>
      <c r="EN75" s="59">
        <f t="shared" si="74"/>
        <v>962.67956411418504</v>
      </c>
      <c r="EO75" s="59">
        <f ca="1">AVERAGE(OFFSET($EN$3,0,0,'Données projet'!$E$15+1,1))-AVERAGE(OFFSET($H$3,0,0,'Données projet'!$E$15+1,1))</f>
        <v>399.38728019348088</v>
      </c>
      <c r="EP75" s="59">
        <f t="shared" si="100"/>
        <v>289.54922160039791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1.2472148905488192</v>
      </c>
      <c r="EW75" s="21">
        <f>EXP(-LN(2)/25)*EW74+(1-EXP(-LN(2)/25))/(LN(2)/25)*Calculateur!ER75*Calculateur!ET75*VLOOKUP('Données projet'!$B$15,Paramètres!$A$1:$I$89,3,0)*0.475*44/12</f>
        <v>4.1889801517565672</v>
      </c>
      <c r="EX75" s="21">
        <f>EXP(-LN(2)/2)*EX74+(1-EXP(-LN(2)/2))/(LN(2)/2)*ER75*EU75*VLOOKUP('Données projet'!$B$15,Paramètres!$A$1:$I$89,3,0)*0.475*44/12</f>
        <v>1.2226599968000563E-5</v>
      </c>
      <c r="EY75" s="22">
        <f t="shared" si="75"/>
        <v>5.4362072689053544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7.4</v>
      </c>
      <c r="N76" s="13">
        <f>IF('Données projet'!$A$36&gt;35,N75+M76-V75,IF(A76&lt;'Données projet'!$A$36,$K$205^A76,IF(A76='Données projet'!$A$36,'Données projet'!$B$36,N75+M76-V75)))</f>
        <v>296.19999999999993</v>
      </c>
      <c r="O76" s="13">
        <f>N76*VLOOKUP('Données projet'!$B$9,Paramètres!$A$1:$I$89,3,0)*VLOOKUP('Données projet'!$B$9,Paramètres!$A$1:$I$89,5,0)</f>
        <v>268.00175999999993</v>
      </c>
      <c r="P76" s="13">
        <f t="shared" si="87"/>
        <v>64.425009159185578</v>
      </c>
      <c r="Q76" s="20">
        <f t="shared" si="54"/>
        <v>578.97662295224802</v>
      </c>
      <c r="R76" s="59">
        <f t="shared" si="55"/>
        <v>872.30995628558139</v>
      </c>
      <c r="S76" s="59">
        <f ca="1">AVERAGE(OFFSET($R$3,0,0,'Données projet'!$E$9+1,1))-AVERAGE(OFFSET($H$3,0,0,'Données projet'!$E$9+1,1))</f>
        <v>318.40875902853116</v>
      </c>
      <c r="T76" s="59">
        <f t="shared" si="88"/>
        <v>234.87694492493506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1.0278253695902209</v>
      </c>
      <c r="AA76" s="21">
        <f>EXP(-LN(2)/25)*AA75+(1-EXP(-LN(2)/25))/(LN(2)/25)*Calculateur!V76*Calculateur!X76*VLOOKUP('Données projet'!$B$9,Paramètres!$A$1:$I$89,3,0)*0.475*44/12</f>
        <v>3.4248850958643113</v>
      </c>
      <c r="AB76" s="21">
        <f>EXP(-LN(2)/2)*AB75+(1-EXP(-LN(2)/2))/(LN(2)/2)*V76*Y76*VLOOKUP('Données projet'!$B$9,Paramètres!$A$1:$I$89,3,0)*0.475*44/12</f>
        <v>7.2672417593804347E-6</v>
      </c>
      <c r="AC76" s="22">
        <f t="shared" si="57"/>
        <v>4.4527177326962919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243.38048563215585</v>
      </c>
      <c r="AO76" s="59">
        <f t="shared" si="90"/>
        <v>372.1604147006675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3.1189183628944637</v>
      </c>
      <c r="AV76" s="21">
        <f>EXP(-LN(2)/25)*AV75+(1-EXP(-LN(2)/25))/(LN(2)/25)*Calculateur!AQ76*Calculateur!AS76*VLOOKUP('Données projet'!$B$10,Paramètres!$A$1:$I$89,3,0)*0.475*44/12</f>
        <v>5.8774404189821228</v>
      </c>
      <c r="AW76" s="21">
        <f>EXP(-LN(2)/2)*AW75+(1-EXP(-LN(2)/2))/(LN(2)/2)*AQ76*AT76*VLOOKUP('Données projet'!$B$10,Paramètres!$A$1:$I$89,3,0)*0.475*44/12</f>
        <v>9.8842584169857019E-6</v>
      </c>
      <c r="AX76" s="21">
        <f t="shared" si="60"/>
        <v>8.9963686661350035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3.9</v>
      </c>
      <c r="BD76" s="12">
        <f>IF('Données projet'!$A$88&gt;35,BD75+BC76-BL75,IF(A76&lt;'Données projet'!$A$88,$BA$205^A76,IF(A76='Données projet'!$A$88,'Données projet'!$B$88,BD75+BC76-BL75)))</f>
        <v>314.69999999999965</v>
      </c>
      <c r="BE76" s="13">
        <f>BD76*VLOOKUP('Données projet'!$B$11,Paramètres!$A$1:$I$89,3,0)*VLOOKUP('Données projet'!$B$11,Paramètres!$A$1:$I$89,5,0)</f>
        <v>211.10075999999978</v>
      </c>
      <c r="BF76" s="13">
        <f t="shared" si="91"/>
        <v>52.176056213616526</v>
      </c>
      <c r="BG76" s="20">
        <f t="shared" si="61"/>
        <v>458.54045490538175</v>
      </c>
      <c r="BH76" s="59">
        <f t="shared" si="62"/>
        <v>751.87378823871506</v>
      </c>
      <c r="BI76" s="59">
        <f ca="1">AVERAGE(OFFSET($BH$3,0,0,'Données projet'!$E$11+1,1))-AVERAGE(OFFSET($H$3,0,0,'Données projet'!$E$11+1,1))</f>
        <v>207.93042467236967</v>
      </c>
      <c r="BJ76" s="59">
        <f t="shared" si="92"/>
        <v>250.70954318710835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1.1740246678508985</v>
      </c>
      <c r="BQ76" s="21">
        <f>EXP(-LN(2)/25)*BQ75+(1-EXP(-LN(2)/25))/(LN(2)/25)*Calculateur!BL76*Calculateur!BN76*VLOOKUP('Données projet'!$B$11,Paramètres!$A$1:$I$89,3,0)*0.475*44/12</f>
        <v>5.2516483152229894</v>
      </c>
      <c r="BR76" s="21">
        <f>EXP(-LN(2)/2)*BR75+(1-EXP(-LN(2)/2))/(LN(2)/2)*BL76*BO76*VLOOKUP('Données projet'!$B$11,Paramètres!$A$1:$I$89,3,0)*0.475*44/12</f>
        <v>6.8339278439158622E-6</v>
      </c>
      <c r="BS76" s="22">
        <f t="shared" si="63"/>
        <v>6.4256798170017317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8.5</v>
      </c>
      <c r="BY76" s="12">
        <f>IF('Données projet'!$A$114&gt;35,BY75+BX76-CG75,IF(A76&lt;'Données projet'!$A$114,$BV$205^A76,IF(A76='Données projet'!$A$114,'Données projet'!$B$114,BY75+BX76-CG75)))</f>
        <v>320.50000000000017</v>
      </c>
      <c r="BZ76" s="13">
        <f>BY76*VLOOKUP('Données projet'!$B$12,Paramètres!$A$1:$I$89,3,0)*VLOOKUP('Données projet'!$B$12,Paramètres!$A$1:$I$89,5,0)</f>
        <v>249.99000000000015</v>
      </c>
      <c r="CA76" s="13">
        <f t="shared" si="93"/>
        <v>60.583799497866167</v>
      </c>
      <c r="CB76" s="20">
        <f t="shared" si="64"/>
        <v>540.91603412545055</v>
      </c>
      <c r="CC76" s="59">
        <f t="shared" si="65"/>
        <v>834.24936745878381</v>
      </c>
      <c r="CD76" s="59">
        <f ca="1">AVERAGE(OFFSET($CC$3,0,0,'Données projet'!$E$12+1,1))-AVERAGE(OFFSET($H$3,0,0,'Données projet'!$E$12+1,1))</f>
        <v>266.30229009596883</v>
      </c>
      <c r="CE76" s="59">
        <f t="shared" si="94"/>
        <v>270.19195828386046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0.61707496019117347</v>
      </c>
      <c r="CL76" s="21">
        <f>EXP(-LN(2)/25)*CL75+(1-EXP(-LN(2)/25))/(LN(2)/25)*Calculateur!CG76*Calculateur!CI76*VLOOKUP('Données projet'!$B$12,Paramètres!$A$1:$I$89,3,0)*0.475*44/12</f>
        <v>2.5409221188768925</v>
      </c>
      <c r="CM76" s="21">
        <f>EXP(-LN(2)/2)*CM75+(1-EXP(-LN(2)/2))/(LN(2)/2)*CG76*CJ76*VLOOKUP('Données projet'!$B$12,Paramètres!$A$1:$I$89,3,0)*0.475*44/12</f>
        <v>4.4072722105670495E-6</v>
      </c>
      <c r="CN76" s="22">
        <f t="shared" si="66"/>
        <v>3.1580014863402766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3.9</v>
      </c>
      <c r="CT76" s="12">
        <f>IF('Données projet'!$A$140&gt;35,CT75+CS76-DB75,IF(A76&lt;'Données projet'!$A$140,$CQ$205^A76,IF(A76='Données projet'!$A$140,'Données projet'!$B$140,CT75+CS76-DB75)))</f>
        <v>314.69999999999965</v>
      </c>
      <c r="CU76" s="17">
        <f>CT76*VLOOKUP('Données projet'!$B$13,Paramètres!$A$1:$I$89,3,0)*VLOOKUP('Données projet'!$B$13,Paramètres!$A$1:$I$89,5,0)</f>
        <v>250.37531999999973</v>
      </c>
      <c r="CV76" s="13">
        <f t="shared" si="95"/>
        <v>60.666302963242082</v>
      </c>
      <c r="CW76" s="20">
        <f t="shared" si="67"/>
        <v>541.73082666097946</v>
      </c>
      <c r="CX76" s="59">
        <f t="shared" si="68"/>
        <v>835.06415999431283</v>
      </c>
      <c r="CY76" s="59">
        <f ca="1">AVERAGE(OFFSET($CX$3,0,0,'Données projet'!$E$13+1,1))-AVERAGE(OFFSET($H$3,0,0,'Données projet'!$E$13+1,1))</f>
        <v>260.20517190557814</v>
      </c>
      <c r="CZ76" s="59">
        <f t="shared" si="96"/>
        <v>307.22009971147133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1.3924478618696714</v>
      </c>
      <c r="DG76" s="21">
        <f>EXP(-LN(2)/25)*DG75+(1-EXP(-LN(2)/25))/(LN(2)/25)*Calculateur!DB76*Calculateur!DD76*VLOOKUP('Données projet'!$B$13,Paramètres!$A$1:$I$89,3,0)*0.475*44/12</f>
        <v>6.2286991645667955</v>
      </c>
      <c r="DH76" s="21">
        <f>EXP(-LN(2)/2)*DH75+(1-EXP(-LN(2)/2))/(LN(2)/2)*DB76*DE76*VLOOKUP('Données projet'!$B$13,Paramètres!$A$1:$I$89,3,0)*0.475*44/12</f>
        <v>8.1053562799932324E-6</v>
      </c>
      <c r="DI76" s="22">
        <f t="shared" si="69"/>
        <v>7.6211551317927473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7.4</v>
      </c>
      <c r="DO76" s="12">
        <f>IF('Données projet'!$A$166&gt;35,DO75+DN76-DW75,IF(A76&lt;'Données projet'!$A$166,$DL$205^A76,IF(A76='Données projet'!$A$166,'Données projet'!$B$166,DO75+DN76-DW75)))</f>
        <v>296.19999999999993</v>
      </c>
      <c r="DP76" s="17">
        <f>DO76*VLOOKUP('Données projet'!$B$14,Paramètres!$A$1:$I$89,3,0)*VLOOKUP('Données projet'!$B$14,Paramètres!$A$1:$I$89,5,0)</f>
        <v>286.48463999999996</v>
      </c>
      <c r="DQ76" s="13">
        <f t="shared" si="97"/>
        <v>68.335568330677489</v>
      </c>
      <c r="DR76" s="20">
        <f t="shared" si="70"/>
        <v>617.97852950926324</v>
      </c>
      <c r="DS76" s="59">
        <f t="shared" si="71"/>
        <v>911.31186284259661</v>
      </c>
      <c r="DT76" s="59">
        <f ca="1">AVERAGE(OFFSET($DS$3,0,0,'Données projet'!$E$14+1,1))-AVERAGE(OFFSET($H$3,0,0,'Données projet'!$E$14+1,1))</f>
        <v>347.8889410585312</v>
      </c>
      <c r="DU76" s="59">
        <f t="shared" si="98"/>
        <v>254.78167322479203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1.0987098778378228</v>
      </c>
      <c r="EB76" s="21">
        <f>EXP(-LN(2)/25)*EB75+(1-EXP(-LN(2)/25))/(LN(2)/25)*Calculateur!DW76*Calculateur!DY76*VLOOKUP('Données projet'!$B$14,Paramètres!$A$1:$I$89,3,0)*0.475*44/12</f>
        <v>3.6610840679928858</v>
      </c>
      <c r="EC76" s="21">
        <f>EXP(-LN(2)/2)*EC75+(1-EXP(-LN(2)/2))/(LN(2)/2)*DW76*DZ76*VLOOKUP('Données projet'!$B$14,Paramètres!$A$1:$I$89,3,0)*0.475*44/12</f>
        <v>7.7684308462342346E-6</v>
      </c>
      <c r="ED76" s="22">
        <f t="shared" si="72"/>
        <v>4.7598017142615543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7.4</v>
      </c>
      <c r="EJ76" s="12">
        <f>IF('Données projet'!$A$192&gt;35,EJ75+EI76-ER75,IF(A76&lt;'Données projet'!$A$192,$EG$205^A76,IF(A76='Données projet'!$A$192,'Données projet'!$B$192,EJ75+EI76-ER75)))</f>
        <v>296.19999999999993</v>
      </c>
      <c r="EK76" s="17">
        <f>EJ76*VLOOKUP('Données projet'!$B$15,Paramètres!$A$1:$I$89,3,0)*VLOOKUP('Données projet'!$B$15,Paramètres!$A$1:$I$89,5,0)</f>
        <v>318.82967999999988</v>
      </c>
      <c r="EL76" s="13">
        <f t="shared" si="99"/>
        <v>75.109793924882112</v>
      </c>
      <c r="EM76" s="20">
        <f t="shared" si="73"/>
        <v>686.11125041916955</v>
      </c>
      <c r="EN76" s="59">
        <f t="shared" si="74"/>
        <v>979.44458375250292</v>
      </c>
      <c r="EO76" s="59">
        <f ca="1">AVERAGE(OFFSET($EN$3,0,0,'Données projet'!$E$15+1,1))-AVERAGE(OFFSET($H$3,0,0,'Données projet'!$E$15+1,1))</f>
        <v>399.38728019348088</v>
      </c>
      <c r="EP76" s="59">
        <f t="shared" si="100"/>
        <v>289.54922160039791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1.2227577672711245</v>
      </c>
      <c r="EW76" s="21">
        <f>EXP(-LN(2)/25)*EW75+(1-EXP(-LN(2)/25))/(LN(2)/25)*Calculateur!ER76*Calculateur!ET76*VLOOKUP('Données projet'!$B$15,Paramètres!$A$1:$I$89,3,0)*0.475*44/12</f>
        <v>4.0744322692178914</v>
      </c>
      <c r="EX76" s="21">
        <f>EXP(-LN(2)/2)*EX75+(1-EXP(-LN(2)/2))/(LN(2)/2)*ER76*EU76*VLOOKUP('Données projet'!$B$15,Paramètres!$A$1:$I$89,3,0)*0.475*44/12</f>
        <v>8.6455117482284231E-6</v>
      </c>
      <c r="EY76" s="22">
        <f t="shared" si="75"/>
        <v>5.2971986820007642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7.4</v>
      </c>
      <c r="N77" s="13">
        <f>IF('Données projet'!$A$36&gt;35,N76+M77-V76,IF(A77&lt;'Données projet'!$A$36,$K$205^A77,IF(A77='Données projet'!$A$36,'Données projet'!$B$36,N76+M77-V76)))</f>
        <v>303.59999999999991</v>
      </c>
      <c r="O77" s="13">
        <f>N77*VLOOKUP('Données projet'!$B$9,Paramètres!$A$1:$I$89,3,0)*VLOOKUP('Données projet'!$B$9,Paramètres!$A$1:$I$89,5,0)</f>
        <v>274.69727999999992</v>
      </c>
      <c r="P77" s="13">
        <f t="shared" si="87"/>
        <v>65.845147763387502</v>
      </c>
      <c r="Q77" s="20">
        <f t="shared" si="54"/>
        <v>593.11139502123308</v>
      </c>
      <c r="R77" s="59">
        <f t="shared" si="55"/>
        <v>886.44472835456645</v>
      </c>
      <c r="S77" s="59">
        <f ca="1">AVERAGE(OFFSET($R$3,0,0,'Données projet'!$E$9+1,1))-AVERAGE(OFFSET($H$3,0,0,'Données projet'!$E$9+1,1))</f>
        <v>318.40875902853116</v>
      </c>
      <c r="T77" s="59">
        <f t="shared" si="88"/>
        <v>234.87694492493506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1.0076703410041297</v>
      </c>
      <c r="AA77" s="21">
        <f>EXP(-LN(2)/25)*AA76+(1-EXP(-LN(2)/25))/(LN(2)/25)*Calculateur!V77*Calculateur!X77*VLOOKUP('Données projet'!$B$9,Paramètres!$A$1:$I$89,3,0)*0.475*44/12</f>
        <v>3.3312314328110224</v>
      </c>
      <c r="AB77" s="21">
        <f>EXP(-LN(2)/2)*AB76+(1-EXP(-LN(2)/2))/(LN(2)/2)*V77*Y77*VLOOKUP('Données projet'!$B$9,Paramètres!$A$1:$I$89,3,0)*0.475*44/12</f>
        <v>5.1387159285799624E-6</v>
      </c>
      <c r="AC77" s="22">
        <f t="shared" si="57"/>
        <v>4.3389069125310806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243.38048563215585</v>
      </c>
      <c r="AO77" s="59">
        <f t="shared" si="90"/>
        <v>372.1604147006675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3.0577582761504627</v>
      </c>
      <c r="AV77" s="21">
        <f>EXP(-LN(2)/25)*AV76+(1-EXP(-LN(2)/25))/(LN(2)/25)*Calculateur!AQ77*Calculateur!AS77*VLOOKUP('Données projet'!$B$10,Paramètres!$A$1:$I$89,3,0)*0.475*44/12</f>
        <v>5.7167215016438977</v>
      </c>
      <c r="AW77" s="21">
        <f>EXP(-LN(2)/2)*AW76+(1-EXP(-LN(2)/2))/(LN(2)/2)*AQ77*AT77*VLOOKUP('Données projet'!$B$10,Paramètres!$A$1:$I$89,3,0)*0.475*44/12</f>
        <v>6.9892261536507994E-6</v>
      </c>
      <c r="AX77" s="21">
        <f t="shared" si="60"/>
        <v>8.7744867670205142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3.9</v>
      </c>
      <c r="BD77" s="12">
        <f>IF('Données projet'!$A$88&gt;35,BD76+BC77-BL76,IF(A77&lt;'Données projet'!$A$88,$BA$205^A77,IF(A77='Données projet'!$A$88,'Données projet'!$B$88,BD76+BC77-BL76)))</f>
        <v>318.59999999999962</v>
      </c>
      <c r="BE77" s="13">
        <f>BD77*VLOOKUP('Données projet'!$B$11,Paramètres!$A$1:$I$89,3,0)*VLOOKUP('Données projet'!$B$11,Paramètres!$A$1:$I$89,5,0)</f>
        <v>213.71687999999978</v>
      </c>
      <c r="BF77" s="13">
        <f t="shared" si="91"/>
        <v>52.746986268012868</v>
      </c>
      <c r="BG77" s="20">
        <f t="shared" si="61"/>
        <v>464.09123375012194</v>
      </c>
      <c r="BH77" s="59">
        <f t="shared" si="62"/>
        <v>757.42456708345526</v>
      </c>
      <c r="BI77" s="59">
        <f ca="1">AVERAGE(OFFSET($BH$3,0,0,'Données projet'!$E$11+1,1))-AVERAGE(OFFSET($H$3,0,0,'Données projet'!$E$11+1,1))</f>
        <v>207.93042467236967</v>
      </c>
      <c r="BJ77" s="59">
        <f t="shared" si="92"/>
        <v>250.70954318710835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1.1510027601986823</v>
      </c>
      <c r="BQ77" s="21">
        <f>EXP(-LN(2)/25)*BQ76+(1-EXP(-LN(2)/25))/(LN(2)/25)*Calculateur!BL77*Calculateur!BN77*VLOOKUP('Données projet'!$B$11,Paramètres!$A$1:$I$89,3,0)*0.475*44/12</f>
        <v>5.1080417158710345</v>
      </c>
      <c r="BR77" s="21">
        <f>EXP(-LN(2)/2)*BR76+(1-EXP(-LN(2)/2))/(LN(2)/2)*BL77*BO77*VLOOKUP('Données projet'!$B$11,Paramètres!$A$1:$I$89,3,0)*0.475*44/12</f>
        <v>4.832316720572468E-6</v>
      </c>
      <c r="BS77" s="22">
        <f t="shared" si="63"/>
        <v>6.2590493083864374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8.5</v>
      </c>
      <c r="BY77" s="12">
        <f>IF('Données projet'!$A$114&gt;35,BY76+BX77-CG76,IF(A77&lt;'Données projet'!$A$114,$BV$205^A77,IF(A77='Données projet'!$A$114,'Données projet'!$B$114,BY76+BX77-CG76)))</f>
        <v>329.00000000000017</v>
      </c>
      <c r="BZ77" s="13">
        <f>BY77*VLOOKUP('Données projet'!$B$12,Paramètres!$A$1:$I$89,3,0)*VLOOKUP('Données projet'!$B$12,Paramètres!$A$1:$I$89,5,0)</f>
        <v>256.62000000000012</v>
      </c>
      <c r="CA77" s="13">
        <f t="shared" si="93"/>
        <v>62.001350774926571</v>
      </c>
      <c r="CB77" s="20">
        <f t="shared" si="64"/>
        <v>554.9321859329973</v>
      </c>
      <c r="CC77" s="59">
        <f t="shared" si="65"/>
        <v>848.26551926633056</v>
      </c>
      <c r="CD77" s="59">
        <f ca="1">AVERAGE(OFFSET($CC$3,0,0,'Données projet'!$E$12+1,1))-AVERAGE(OFFSET($H$3,0,0,'Données projet'!$E$12+1,1))</f>
        <v>266.30229009596883</v>
      </c>
      <c r="CE77" s="59">
        <f t="shared" si="94"/>
        <v>270.19195828386046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0.60497449660038594</v>
      </c>
      <c r="CL77" s="21">
        <f>EXP(-LN(2)/25)*CL76+(1-EXP(-LN(2)/25))/(LN(2)/25)*Calculateur!CG77*Calculateur!CI77*VLOOKUP('Données projet'!$B$12,Paramètres!$A$1:$I$89,3,0)*0.475*44/12</f>
        <v>2.4714404699149171</v>
      </c>
      <c r="CM77" s="21">
        <f>EXP(-LN(2)/2)*CM76+(1-EXP(-LN(2)/2))/(LN(2)/2)*CG77*CJ77*VLOOKUP('Données projet'!$B$12,Paramètres!$A$1:$I$89,3,0)*0.475*44/12</f>
        <v>3.1164120666269864E-6</v>
      </c>
      <c r="CN77" s="22">
        <f t="shared" si="66"/>
        <v>3.0764180829273697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3.9</v>
      </c>
      <c r="CT77" s="12">
        <f>IF('Données projet'!$A$140&gt;35,CT76+CS77-DB76,IF(A77&lt;'Données projet'!$A$140,$CQ$205^A77,IF(A77='Données projet'!$A$140,'Données projet'!$B$140,CT76+CS77-DB76)))</f>
        <v>318.59999999999962</v>
      </c>
      <c r="CU77" s="17">
        <f>CT77*VLOOKUP('Données projet'!$B$13,Paramètres!$A$1:$I$89,3,0)*VLOOKUP('Données projet'!$B$13,Paramètres!$A$1:$I$89,5,0)</f>
        <v>253.47815999999972</v>
      </c>
      <c r="CV77" s="13">
        <f t="shared" si="95"/>
        <v>61.330136494642396</v>
      </c>
      <c r="CW77" s="20">
        <f t="shared" si="67"/>
        <v>548.29111639483494</v>
      </c>
      <c r="CX77" s="59">
        <f t="shared" si="68"/>
        <v>841.6244497281682</v>
      </c>
      <c r="CY77" s="59">
        <f ca="1">AVERAGE(OFFSET($CX$3,0,0,'Données projet'!$E$13+1,1))-AVERAGE(OFFSET($H$3,0,0,'Données projet'!$E$13+1,1))</f>
        <v>260.20517190557814</v>
      </c>
      <c r="CZ77" s="59">
        <f t="shared" si="96"/>
        <v>307.22009971147133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1.3651428086077406</v>
      </c>
      <c r="DG77" s="21">
        <f>EXP(-LN(2)/25)*DG76+(1-EXP(-LN(2)/25))/(LN(2)/25)*Calculateur!DB77*Calculateur!DD77*VLOOKUP('Données projet'!$B$13,Paramètres!$A$1:$I$89,3,0)*0.475*44/12</f>
        <v>6.0583750583586635</v>
      </c>
      <c r="DH77" s="21">
        <f>EXP(-LN(2)/2)*DH76+(1-EXP(-LN(2)/2))/(LN(2)/2)*DB77*DE77*VLOOKUP('Données projet'!$B$13,Paramètres!$A$1:$I$89,3,0)*0.475*44/12</f>
        <v>5.7313523895161834E-6</v>
      </c>
      <c r="DI77" s="22">
        <f t="shared" si="69"/>
        <v>7.423523598318793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7.4</v>
      </c>
      <c r="DO77" s="12">
        <f>IF('Données projet'!$A$166&gt;35,DO76+DN77-DW76,IF(A77&lt;'Données projet'!$A$166,$DL$205^A77,IF(A77='Données projet'!$A$166,'Données projet'!$B$166,DO76+DN77-DW76)))</f>
        <v>303.59999999999991</v>
      </c>
      <c r="DP77" s="17">
        <f>DO77*VLOOKUP('Données projet'!$B$14,Paramètres!$A$1:$I$89,3,0)*VLOOKUP('Données projet'!$B$14,Paramètres!$A$1:$I$89,5,0)</f>
        <v>293.64191999999991</v>
      </c>
      <c r="DQ77" s="13">
        <f t="shared" si="97"/>
        <v>69.841908491013143</v>
      </c>
      <c r="DR77" s="20">
        <f t="shared" si="70"/>
        <v>633.06766795518104</v>
      </c>
      <c r="DS77" s="59">
        <f t="shared" si="71"/>
        <v>926.40100128851441</v>
      </c>
      <c r="DT77" s="59">
        <f ca="1">AVERAGE(OFFSET($DS$3,0,0,'Données projet'!$E$14+1,1))-AVERAGE(OFFSET($H$3,0,0,'Données projet'!$E$14+1,1))</f>
        <v>347.8889410585312</v>
      </c>
      <c r="DU77" s="59">
        <f t="shared" si="98"/>
        <v>254.78167322479203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1.0771648472802771</v>
      </c>
      <c r="EB77" s="21">
        <f>EXP(-LN(2)/25)*EB76+(1-EXP(-LN(2)/25))/(LN(2)/25)*Calculateur!DW77*Calculateur!DY77*VLOOKUP('Données projet'!$B$14,Paramètres!$A$1:$I$89,3,0)*0.475*44/12</f>
        <v>3.5609715316255768</v>
      </c>
      <c r="EC77" s="21">
        <f>EXP(-LN(2)/2)*EC76+(1-EXP(-LN(2)/2))/(LN(2)/2)*DW77*DZ77*VLOOKUP('Données projet'!$B$14,Paramètres!$A$1:$I$89,3,0)*0.475*44/12</f>
        <v>5.4931101305509772E-6</v>
      </c>
      <c r="ED77" s="22">
        <f t="shared" si="72"/>
        <v>4.6381418720159839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7.4</v>
      </c>
      <c r="EJ77" s="12">
        <f>IF('Données projet'!$A$192&gt;35,EJ76+EI77-ER76,IF(A77&lt;'Données projet'!$A$192,$EG$205^A77,IF(A77='Données projet'!$A$192,'Données projet'!$B$192,EJ76+EI77-ER76)))</f>
        <v>303.59999999999991</v>
      </c>
      <c r="EK77" s="17">
        <f>EJ77*VLOOKUP('Données projet'!$B$15,Paramètres!$A$1:$I$89,3,0)*VLOOKUP('Données projet'!$B$15,Paramètres!$A$1:$I$89,5,0)</f>
        <v>326.79503999999991</v>
      </c>
      <c r="EL77" s="13">
        <f t="shared" si="99"/>
        <v>76.765460246059064</v>
      </c>
      <c r="EM77" s="20">
        <f t="shared" si="73"/>
        <v>702.86787126188608</v>
      </c>
      <c r="EN77" s="59">
        <f t="shared" si="74"/>
        <v>996.20120459521945</v>
      </c>
      <c r="EO77" s="59">
        <f ca="1">AVERAGE(OFFSET($EN$3,0,0,'Données projet'!$E$15+1,1))-AVERAGE(OFFSET($H$3,0,0,'Données projet'!$E$15+1,1))</f>
        <v>399.38728019348088</v>
      </c>
      <c r="EP77" s="59">
        <f t="shared" si="100"/>
        <v>289.54922160039791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1.1987802332635333</v>
      </c>
      <c r="EW77" s="21">
        <f>EXP(-LN(2)/25)*EW76+(1-EXP(-LN(2)/25))/(LN(2)/25)*Calculateur!ER77*Calculateur!ET77*VLOOKUP('Données projet'!$B$15,Paramètres!$A$1:$I$89,3,0)*0.475*44/12</f>
        <v>3.9630167045510474</v>
      </c>
      <c r="EX77" s="21">
        <f>EXP(-LN(2)/2)*EX76+(1-EXP(-LN(2)/2))/(LN(2)/2)*ER77*EU77*VLOOKUP('Données projet'!$B$15,Paramètres!$A$1:$I$89,3,0)*0.475*44/12</f>
        <v>6.1132999840002816E-6</v>
      </c>
      <c r="EY77" s="22">
        <f t="shared" si="75"/>
        <v>5.1618030511145641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7.4</v>
      </c>
      <c r="N78" s="13">
        <f>IF('Données projet'!$A$36&gt;35,N77+M78-V77,IF(A78&lt;'Données projet'!$A$36,$K$205^A78,IF(A78='Données projet'!$A$36,'Données projet'!$B$36,N77+M78-V77)))</f>
        <v>310.99999999999989</v>
      </c>
      <c r="O78" s="13">
        <f>N78*VLOOKUP('Données projet'!$B$9,Paramètres!$A$1:$I$89,3,0)*VLOOKUP('Données projet'!$B$9,Paramètres!$A$1:$I$89,5,0)</f>
        <v>281.39279999999985</v>
      </c>
      <c r="P78" s="13">
        <f t="shared" si="87"/>
        <v>67.261262504634658</v>
      </c>
      <c r="Q78" s="20">
        <f t="shared" si="54"/>
        <v>607.23915886223847</v>
      </c>
      <c r="R78" s="59">
        <f t="shared" si="55"/>
        <v>900.57249219557184</v>
      </c>
      <c r="S78" s="59">
        <f ca="1">AVERAGE(OFFSET($R$3,0,0,'Données projet'!$E$9+1,1))-AVERAGE(OFFSET($H$3,0,0,'Données projet'!$E$9+1,1))</f>
        <v>318.40875902853116</v>
      </c>
      <c r="T78" s="59">
        <f t="shared" si="88"/>
        <v>234.87694492493506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0.98791054023525815</v>
      </c>
      <c r="AA78" s="21">
        <f>EXP(-LN(2)/25)*AA77+(1-EXP(-LN(2)/25))/(LN(2)/25)*Calculateur!V78*Calculateur!X78*VLOOKUP('Données projet'!$B$9,Paramètres!$A$1:$I$89,3,0)*0.475*44/12</f>
        <v>3.2401387340989576</v>
      </c>
      <c r="AB78" s="21">
        <f>EXP(-LN(2)/2)*AB77+(1-EXP(-LN(2)/2))/(LN(2)/2)*V78*Y78*VLOOKUP('Données projet'!$B$9,Paramètres!$A$1:$I$89,3,0)*0.475*44/12</f>
        <v>3.6336208796902182E-6</v>
      </c>
      <c r="AC78" s="22">
        <f t="shared" si="57"/>
        <v>4.2280529079550959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243.38048563215585</v>
      </c>
      <c r="AO78" s="59">
        <f t="shared" si="90"/>
        <v>372.1604147006675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2.9977975014035425</v>
      </c>
      <c r="AV78" s="21">
        <f>EXP(-LN(2)/25)*AV77+(1-EXP(-LN(2)/25))/(LN(2)/25)*Calculateur!AQ78*Calculateur!AS78*VLOOKUP('Données projet'!$B$10,Paramètres!$A$1:$I$89,3,0)*0.475*44/12</f>
        <v>5.5603974515521273</v>
      </c>
      <c r="AW78" s="21">
        <f>EXP(-LN(2)/2)*AW77+(1-EXP(-LN(2)/2))/(LN(2)/2)*AQ78*AT78*VLOOKUP('Données projet'!$B$10,Paramètres!$A$1:$I$89,3,0)*0.475*44/12</f>
        <v>4.9421292084928509E-6</v>
      </c>
      <c r="AX78" s="21">
        <f t="shared" si="60"/>
        <v>8.5581998950848792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3.9</v>
      </c>
      <c r="BD78" s="12">
        <f>IF('Données projet'!$A$88&gt;35,BD77+BC78-BL77,IF(A78&lt;'Données projet'!$A$88,$BA$205^A78,IF(A78='Données projet'!$A$88,'Données projet'!$B$88,BD77+BC78-BL77)))</f>
        <v>322.4999999999996</v>
      </c>
      <c r="BE78" s="13">
        <f>BD78*VLOOKUP('Données projet'!$B$11,Paramètres!$A$1:$I$89,3,0)*VLOOKUP('Données projet'!$B$11,Paramètres!$A$1:$I$89,5,0)</f>
        <v>216.33299999999977</v>
      </c>
      <c r="BF78" s="13">
        <f t="shared" si="91"/>
        <v>53.317103385534544</v>
      </c>
      <c r="BG78" s="20">
        <f t="shared" si="61"/>
        <v>469.64059672980551</v>
      </c>
      <c r="BH78" s="59">
        <f t="shared" si="62"/>
        <v>762.97393006313882</v>
      </c>
      <c r="BI78" s="59">
        <f ca="1">AVERAGE(OFFSET($BH$3,0,0,'Données projet'!$E$11+1,1))-AVERAGE(OFFSET($H$3,0,0,'Données projet'!$E$11+1,1))</f>
        <v>207.93042467236967</v>
      </c>
      <c r="BJ78" s="59">
        <f t="shared" si="92"/>
        <v>250.70954318710835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1.1284322981135488</v>
      </c>
      <c r="BQ78" s="21">
        <f>EXP(-LN(2)/25)*BQ77+(1-EXP(-LN(2)/25))/(LN(2)/25)*Calculateur!BL78*Calculateur!BN78*VLOOKUP('Données projet'!$B$11,Paramètres!$A$1:$I$89,3,0)*0.475*44/12</f>
        <v>4.9683620465303022</v>
      </c>
      <c r="BR78" s="21">
        <f>EXP(-LN(2)/2)*BR77+(1-EXP(-LN(2)/2))/(LN(2)/2)*BL78*BO78*VLOOKUP('Données projet'!$B$11,Paramètres!$A$1:$I$89,3,0)*0.475*44/12</f>
        <v>3.4169639219579311E-6</v>
      </c>
      <c r="BS78" s="22">
        <f t="shared" si="63"/>
        <v>6.0967977616077729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8.5</v>
      </c>
      <c r="BY78" s="12">
        <f>IF('Données projet'!$A$114&gt;35,BY77+BX78-CG77,IF(A78&lt;'Données projet'!$A$114,$BV$205^A78,IF(A78='Données projet'!$A$114,'Données projet'!$B$114,BY77+BX78-CG77)))</f>
        <v>337.50000000000017</v>
      </c>
      <c r="BZ78" s="13">
        <f>BY78*VLOOKUP('Données projet'!$B$12,Paramètres!$A$1:$I$89,3,0)*VLOOKUP('Données projet'!$B$12,Paramètres!$A$1:$I$89,5,0)</f>
        <v>263.25000000000011</v>
      </c>
      <c r="CA78" s="13">
        <f t="shared" si="93"/>
        <v>63.414644960489447</v>
      </c>
      <c r="CB78" s="20">
        <f t="shared" si="64"/>
        <v>568.94092330618594</v>
      </c>
      <c r="CC78" s="59">
        <f t="shared" si="65"/>
        <v>862.27425663951931</v>
      </c>
      <c r="CD78" s="59">
        <f ca="1">AVERAGE(OFFSET($CC$3,0,0,'Données projet'!$E$12+1,1))-AVERAGE(OFFSET($H$3,0,0,'Données projet'!$E$12+1,1))</f>
        <v>266.30229009596883</v>
      </c>
      <c r="CE78" s="59">
        <f t="shared" si="94"/>
        <v>270.19195828386046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0.59311131572005982</v>
      </c>
      <c r="CL78" s="21">
        <f>EXP(-LN(2)/25)*CL77+(1-EXP(-LN(2)/25))/(LN(2)/25)*Calculateur!CG78*Calculateur!CI78*VLOOKUP('Données projet'!$B$12,Paramètres!$A$1:$I$89,3,0)*0.475*44/12</f>
        <v>2.4038588002976877</v>
      </c>
      <c r="CM78" s="21">
        <f>EXP(-LN(2)/2)*CM77+(1-EXP(-LN(2)/2))/(LN(2)/2)*CG78*CJ78*VLOOKUP('Données projet'!$B$12,Paramètres!$A$1:$I$89,3,0)*0.475*44/12</f>
        <v>2.2036361052835248E-6</v>
      </c>
      <c r="CN78" s="22">
        <f t="shared" si="66"/>
        <v>2.9969723196538527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3.9</v>
      </c>
      <c r="CT78" s="12">
        <f>IF('Données projet'!$A$140&gt;35,CT77+CS78-DB77,IF(A78&lt;'Données projet'!$A$140,$CQ$205^A78,IF(A78='Données projet'!$A$140,'Données projet'!$B$140,CT77+CS78-DB77)))</f>
        <v>322.4999999999996</v>
      </c>
      <c r="CU78" s="17">
        <f>CT78*VLOOKUP('Données projet'!$B$13,Paramètres!$A$1:$I$89,3,0)*VLOOKUP('Données projet'!$B$13,Paramètres!$A$1:$I$89,5,0)</f>
        <v>256.58099999999968</v>
      </c>
      <c r="CV78" s="13">
        <f t="shared" si="95"/>
        <v>61.993024805604399</v>
      </c>
      <c r="CW78" s="20">
        <f t="shared" si="67"/>
        <v>554.84975986976053</v>
      </c>
      <c r="CX78" s="59">
        <f t="shared" si="68"/>
        <v>848.1830932030939</v>
      </c>
      <c r="CY78" s="59">
        <f ca="1">AVERAGE(OFFSET($CX$3,0,0,'Données projet'!$E$13+1,1))-AVERAGE(OFFSET($H$3,0,0,'Données projet'!$E$13+1,1))</f>
        <v>260.20517190557814</v>
      </c>
      <c r="CZ78" s="59">
        <f t="shared" si="96"/>
        <v>307.22009971147133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1.3383731907858383</v>
      </c>
      <c r="DG78" s="21">
        <f>EXP(-LN(2)/25)*DG77+(1-EXP(-LN(2)/25))/(LN(2)/25)*Calculateur!DB78*Calculateur!DD78*VLOOKUP('Données projet'!$B$13,Paramètres!$A$1:$I$89,3,0)*0.475*44/12</f>
        <v>5.8927084737917479</v>
      </c>
      <c r="DH78" s="21">
        <f>EXP(-LN(2)/2)*DH77+(1-EXP(-LN(2)/2))/(LN(2)/2)*DB78*DE78*VLOOKUP('Données projet'!$B$13,Paramètres!$A$1:$I$89,3,0)*0.475*44/12</f>
        <v>4.0526781399966162E-6</v>
      </c>
      <c r="DI78" s="22">
        <f t="shared" si="69"/>
        <v>7.2310857172557261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7.4</v>
      </c>
      <c r="DO78" s="12">
        <f>IF('Données projet'!$A$166&gt;35,DO77+DN78-DW77,IF(A78&lt;'Données projet'!$A$166,$DL$205^A78,IF(A78='Données projet'!$A$166,'Données projet'!$B$166,DO77+DN78-DW77)))</f>
        <v>310.99999999999989</v>
      </c>
      <c r="DP78" s="17">
        <f>DO78*VLOOKUP('Données projet'!$B$14,Paramètres!$A$1:$I$89,3,0)*VLOOKUP('Données projet'!$B$14,Paramètres!$A$1:$I$89,5,0)</f>
        <v>300.79919999999993</v>
      </c>
      <c r="DQ78" s="13">
        <f t="shared" si="97"/>
        <v>71.343980542341384</v>
      </c>
      <c r="DR78" s="20">
        <f t="shared" si="70"/>
        <v>648.14937277791114</v>
      </c>
      <c r="DS78" s="59">
        <f t="shared" si="71"/>
        <v>941.4827061112444</v>
      </c>
      <c r="DT78" s="59">
        <f ca="1">AVERAGE(OFFSET($DS$3,0,0,'Données projet'!$E$14+1,1))-AVERAGE(OFFSET($H$3,0,0,'Données projet'!$E$14+1,1))</f>
        <v>347.8889410585312</v>
      </c>
      <c r="DU78" s="59">
        <f t="shared" si="98"/>
        <v>254.78167322479203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1.0560423016307938</v>
      </c>
      <c r="EB78" s="21">
        <f>EXP(-LN(2)/25)*EB77+(1-EXP(-LN(2)/25))/(LN(2)/25)*Calculateur!DW78*Calculateur!DY78*VLOOKUP('Données projet'!$B$14,Paramètres!$A$1:$I$89,3,0)*0.475*44/12</f>
        <v>3.4635965778299211</v>
      </c>
      <c r="EC78" s="21">
        <f>EXP(-LN(2)/2)*EC77+(1-EXP(-LN(2)/2))/(LN(2)/2)*DW78*DZ78*VLOOKUP('Données projet'!$B$14,Paramètres!$A$1:$I$89,3,0)*0.475*44/12</f>
        <v>3.8842154231171173E-6</v>
      </c>
      <c r="ED78" s="22">
        <f t="shared" si="72"/>
        <v>4.5196427636761376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7.4</v>
      </c>
      <c r="EJ78" s="12">
        <f>IF('Données projet'!$A$192&gt;35,EJ77+EI78-ER77,IF(A78&lt;'Données projet'!$A$192,$EG$205^A78,IF(A78='Données projet'!$A$192,'Données projet'!$B$192,EJ77+EI78-ER77)))</f>
        <v>310.99999999999989</v>
      </c>
      <c r="EK78" s="17">
        <f>EJ78*VLOOKUP('Données projet'!$B$15,Paramètres!$A$1:$I$89,3,0)*VLOOKUP('Données projet'!$B$15,Paramètres!$A$1:$I$89,5,0)</f>
        <v>334.76039999999989</v>
      </c>
      <c r="EL78" s="13">
        <f t="shared" si="99"/>
        <v>78.416435353043454</v>
      </c>
      <c r="EM78" s="20">
        <f t="shared" si="73"/>
        <v>719.61632157321708</v>
      </c>
      <c r="EN78" s="59">
        <f t="shared" si="74"/>
        <v>1012.9496549065504</v>
      </c>
      <c r="EO78" s="59">
        <f ca="1">AVERAGE(OFFSET($EN$3,0,0,'Données projet'!$E$15+1,1))-AVERAGE(OFFSET($H$3,0,0,'Données projet'!$E$15+1,1))</f>
        <v>399.38728019348088</v>
      </c>
      <c r="EP78" s="59">
        <f t="shared" si="100"/>
        <v>289.54922160039791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1.1752728840729794</v>
      </c>
      <c r="EW78" s="21">
        <f>EXP(-LN(2)/25)*EW77+(1-EXP(-LN(2)/25))/(LN(2)/25)*Calculateur!ER78*Calculateur!ET78*VLOOKUP('Données projet'!$B$15,Paramètres!$A$1:$I$89,3,0)*0.475*44/12</f>
        <v>3.8546478043591081</v>
      </c>
      <c r="EX78" s="21">
        <f>EXP(-LN(2)/2)*EX77+(1-EXP(-LN(2)/2))/(LN(2)/2)*ER78*EU78*VLOOKUP('Données projet'!$B$15,Paramètres!$A$1:$I$89,3,0)*0.475*44/12</f>
        <v>4.3227558741142115E-6</v>
      </c>
      <c r="EY78" s="22">
        <f t="shared" si="75"/>
        <v>5.0299250111879612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7.4</v>
      </c>
      <c r="N79" s="13">
        <f>IF('Données projet'!$A$36&gt;35,N78+M79-V78,IF(A79&lt;'Données projet'!$A$36,$K$205^A79,IF(A79='Données projet'!$A$36,'Données projet'!$B$36,N78+M79-V78)))</f>
        <v>318.39999999999986</v>
      </c>
      <c r="O79" s="13">
        <f>N79*VLOOKUP('Données projet'!$B$9,Paramètres!$A$1:$I$89,3,0)*VLOOKUP('Données projet'!$B$9,Paramètres!$A$1:$I$89,5,0)</f>
        <v>288.0883199999999</v>
      </c>
      <c r="P79" s="13">
        <f t="shared" si="87"/>
        <v>68.673460144735557</v>
      </c>
      <c r="Q79" s="20">
        <f t="shared" si="54"/>
        <v>621.36010041874761</v>
      </c>
      <c r="R79" s="59">
        <f t="shared" si="55"/>
        <v>914.69343375208086</v>
      </c>
      <c r="S79" s="59">
        <f ca="1">AVERAGE(OFFSET($R$3,0,0,'Données projet'!$E$9+1,1))-AVERAGE(OFFSET($H$3,0,0,'Données projet'!$E$9+1,1))</f>
        <v>318.40875902853116</v>
      </c>
      <c r="T79" s="59">
        <f t="shared" si="88"/>
        <v>234.87694492493506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0.9685382171071758</v>
      </c>
      <c r="AA79" s="21">
        <f>EXP(-LN(2)/25)*AA78+(1-EXP(-LN(2)/25))/(LN(2)/25)*Calculateur!V79*Calculateur!X79*VLOOKUP('Données projet'!$B$9,Paramètres!$A$1:$I$89,3,0)*0.475*44/12</f>
        <v>3.1515369700235309</v>
      </c>
      <c r="AB79" s="21">
        <f>EXP(-LN(2)/2)*AB78+(1-EXP(-LN(2)/2))/(LN(2)/2)*V79*Y79*VLOOKUP('Données projet'!$B$9,Paramètres!$A$1:$I$89,3,0)*0.475*44/12</f>
        <v>2.5693579642899816E-6</v>
      </c>
      <c r="AC79" s="22">
        <f t="shared" si="57"/>
        <v>4.120077756488671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243.38048563215585</v>
      </c>
      <c r="AO79" s="59">
        <f t="shared" si="90"/>
        <v>372.1604147006675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2.9390125208769478</v>
      </c>
      <c r="AV79" s="21">
        <f>EXP(-LN(2)/25)*AV78+(1-EXP(-LN(2)/25))/(LN(2)/25)*Calculateur!AQ79*Calculateur!AS79*VLOOKUP('Données projet'!$B$10,Paramètres!$A$1:$I$89,3,0)*0.475*44/12</f>
        <v>5.4083480908308408</v>
      </c>
      <c r="AW79" s="21">
        <f>EXP(-LN(2)/2)*AW78+(1-EXP(-LN(2)/2))/(LN(2)/2)*AQ79*AT79*VLOOKUP('Données projet'!$B$10,Paramètres!$A$1:$I$89,3,0)*0.475*44/12</f>
        <v>3.4946130768253997E-6</v>
      </c>
      <c r="AX79" s="21">
        <f t="shared" si="60"/>
        <v>8.3473641063208657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3.9</v>
      </c>
      <c r="BD79" s="12">
        <f>IF('Données projet'!$A$88&gt;35,BD78+BC79-BL78,IF(A79&lt;'Données projet'!$A$88,$BA$205^A79,IF(A79='Données projet'!$A$88,'Données projet'!$B$88,BD78+BC79-BL78)))</f>
        <v>326.39999999999958</v>
      </c>
      <c r="BE79" s="13">
        <f>BD79*VLOOKUP('Données projet'!$B$11,Paramètres!$A$1:$I$89,3,0)*VLOOKUP('Données projet'!$B$11,Paramètres!$A$1:$I$89,5,0)</f>
        <v>218.94911999999971</v>
      </c>
      <c r="BF79" s="13">
        <f t="shared" si="91"/>
        <v>53.886418534175526</v>
      </c>
      <c r="BG79" s="20">
        <f t="shared" si="61"/>
        <v>475.18856294702186</v>
      </c>
      <c r="BH79" s="59">
        <f t="shared" si="62"/>
        <v>768.52189628035512</v>
      </c>
      <c r="BI79" s="59">
        <f ca="1">AVERAGE(OFFSET($BH$3,0,0,'Données projet'!$E$11+1,1))-AVERAGE(OFFSET($H$3,0,0,'Données projet'!$E$11+1,1))</f>
        <v>207.93042467236967</v>
      </c>
      <c r="BJ79" s="59">
        <f t="shared" si="92"/>
        <v>250.70954318710835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1.1063044290232824</v>
      </c>
      <c r="BQ79" s="21">
        <f>EXP(-LN(2)/25)*BQ78+(1-EXP(-LN(2)/25))/(LN(2)/25)*Calculateur!BL79*Calculateur!BN79*VLOOKUP('Données projet'!$B$11,Paramètres!$A$1:$I$89,3,0)*0.475*44/12</f>
        <v>4.8325019250931263</v>
      </c>
      <c r="BR79" s="21">
        <f>EXP(-LN(2)/2)*BR78+(1-EXP(-LN(2)/2))/(LN(2)/2)*BL79*BO79*VLOOKUP('Données projet'!$B$11,Paramètres!$A$1:$I$89,3,0)*0.475*44/12</f>
        <v>2.416158360286234E-6</v>
      </c>
      <c r="BS79" s="22">
        <f t="shared" si="63"/>
        <v>5.9388087702747692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8.5</v>
      </c>
      <c r="BY79" s="12">
        <f>IF('Données projet'!$A$114&gt;35,BY78+BX79-CG78,IF(A79&lt;'Données projet'!$A$114,$BV$205^A79,IF(A79='Données projet'!$A$114,'Données projet'!$B$114,BY78+BX79-CG78)))</f>
        <v>346.00000000000017</v>
      </c>
      <c r="BZ79" s="13">
        <f>BY79*VLOOKUP('Données projet'!$B$12,Paramètres!$A$1:$I$89,3,0)*VLOOKUP('Données projet'!$B$12,Paramètres!$A$1:$I$89,5,0)</f>
        <v>269.88000000000017</v>
      </c>
      <c r="CA79" s="13">
        <f t="shared" si="93"/>
        <v>64.823801600385877</v>
      </c>
      <c r="CB79" s="20">
        <f t="shared" si="64"/>
        <v>582.94245445400566</v>
      </c>
      <c r="CC79" s="59">
        <f t="shared" si="65"/>
        <v>876.27578778733891</v>
      </c>
      <c r="CD79" s="59">
        <f ca="1">AVERAGE(OFFSET($CC$3,0,0,'Données projet'!$E$12+1,1))-AVERAGE(OFFSET($H$3,0,0,'Données projet'!$E$12+1,1))</f>
        <v>266.30229009596883</v>
      </c>
      <c r="CE79" s="59">
        <f t="shared" si="94"/>
        <v>270.19195828386046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0.58148076458097098</v>
      </c>
      <c r="CL79" s="21">
        <f>EXP(-LN(2)/25)*CL78+(1-EXP(-LN(2)/25))/(LN(2)/25)*Calculateur!CG79*Calculateur!CI79*VLOOKUP('Données projet'!$B$12,Paramètres!$A$1:$I$89,3,0)*0.475*44/12</f>
        <v>2.3381251549901072</v>
      </c>
      <c r="CM79" s="21">
        <f>EXP(-LN(2)/2)*CM78+(1-EXP(-LN(2)/2))/(LN(2)/2)*CG79*CJ79*VLOOKUP('Données projet'!$B$12,Paramètres!$A$1:$I$89,3,0)*0.475*44/12</f>
        <v>1.5582060333134932E-6</v>
      </c>
      <c r="CN79" s="22">
        <f t="shared" si="66"/>
        <v>2.9196074777771113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3.9</v>
      </c>
      <c r="CT79" s="12">
        <f>IF('Données projet'!$A$140&gt;35,CT78+CS79-DB78,IF(A79&lt;'Données projet'!$A$140,$CQ$205^A79,IF(A79='Données projet'!$A$140,'Données projet'!$B$140,CT78+CS79-DB78)))</f>
        <v>326.39999999999958</v>
      </c>
      <c r="CU79" s="17">
        <f>CT79*VLOOKUP('Données projet'!$B$13,Paramètres!$A$1:$I$89,3,0)*VLOOKUP('Données projet'!$B$13,Paramètres!$A$1:$I$89,5,0)</f>
        <v>259.68383999999969</v>
      </c>
      <c r="CV79" s="13">
        <f t="shared" si="95"/>
        <v>62.654980648867301</v>
      </c>
      <c r="CW79" s="20">
        <f t="shared" si="67"/>
        <v>561.40677929677668</v>
      </c>
      <c r="CX79" s="59">
        <f t="shared" si="68"/>
        <v>854.74011263010993</v>
      </c>
      <c r="CY79" s="59">
        <f ca="1">AVERAGE(OFFSET($CX$3,0,0,'Données projet'!$E$13+1,1))-AVERAGE(OFFSET($H$3,0,0,'Données projet'!$E$13+1,1))</f>
        <v>260.20517190557814</v>
      </c>
      <c r="CZ79" s="59">
        <f t="shared" si="96"/>
        <v>307.22009971147133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1.3121285088415688</v>
      </c>
      <c r="DG79" s="21">
        <f>EXP(-LN(2)/25)*DG78+(1-EXP(-LN(2)/25))/(LN(2)/25)*Calculateur!DB79*Calculateur!DD79*VLOOKUP('Données projet'!$B$13,Paramètres!$A$1:$I$89,3,0)*0.475*44/12</f>
        <v>5.7315720506918417</v>
      </c>
      <c r="DH79" s="21">
        <f>EXP(-LN(2)/2)*DH78+(1-EXP(-LN(2)/2))/(LN(2)/2)*DB79*DE79*VLOOKUP('Données projet'!$B$13,Paramètres!$A$1:$I$89,3,0)*0.475*44/12</f>
        <v>2.8656761947580917E-6</v>
      </c>
      <c r="DI79" s="22">
        <f t="shared" si="69"/>
        <v>7.043703425209606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7.4</v>
      </c>
      <c r="DO79" s="12">
        <f>IF('Données projet'!$A$166&gt;35,DO78+DN79-DW78,IF(A79&lt;'Données projet'!$A$166,$DL$205^A79,IF(A79='Données projet'!$A$166,'Données projet'!$B$166,DO78+DN79-DW78)))</f>
        <v>318.39999999999986</v>
      </c>
      <c r="DP79" s="17">
        <f>DO79*VLOOKUP('Données projet'!$B$14,Paramètres!$A$1:$I$89,3,0)*VLOOKUP('Données projet'!$B$14,Paramètres!$A$1:$I$89,5,0)</f>
        <v>307.95647999999989</v>
      </c>
      <c r="DQ79" s="13">
        <f t="shared" si="97"/>
        <v>72.841897726847819</v>
      </c>
      <c r="DR79" s="20">
        <f t="shared" si="70"/>
        <v>663.22384120759318</v>
      </c>
      <c r="DS79" s="59">
        <f t="shared" si="71"/>
        <v>956.55717454092655</v>
      </c>
      <c r="DT79" s="59">
        <f ca="1">AVERAGE(OFFSET($DS$3,0,0,'Données projet'!$E$14+1,1))-AVERAGE(OFFSET($H$3,0,0,'Données projet'!$E$14+1,1))</f>
        <v>347.8889410585312</v>
      </c>
      <c r="DU79" s="59">
        <f t="shared" si="98"/>
        <v>254.78167322479203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1.0353339562180162</v>
      </c>
      <c r="EB79" s="21">
        <f>EXP(-LN(2)/25)*EB78+(1-EXP(-LN(2)/25))/(LN(2)/25)*Calculateur!DW79*Calculateur!DY79*VLOOKUP('Données projet'!$B$14,Paramètres!$A$1:$I$89,3,0)*0.475*44/12</f>
        <v>3.3688843472665342</v>
      </c>
      <c r="EC79" s="21">
        <f>EXP(-LN(2)/2)*EC78+(1-EXP(-LN(2)/2))/(LN(2)/2)*DW79*DZ79*VLOOKUP('Données projet'!$B$14,Paramètres!$A$1:$I$89,3,0)*0.475*44/12</f>
        <v>2.7465550652754886E-6</v>
      </c>
      <c r="ED79" s="22">
        <f t="shared" si="72"/>
        <v>4.4042210500396157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7.4</v>
      </c>
      <c r="EJ79" s="12">
        <f>IF('Données projet'!$A$192&gt;35,EJ78+EI79-ER78,IF(A79&lt;'Données projet'!$A$192,$EG$205^A79,IF(A79='Données projet'!$A$192,'Données projet'!$B$192,EJ78+EI79-ER78)))</f>
        <v>318.39999999999986</v>
      </c>
      <c r="EK79" s="17">
        <f>EJ79*VLOOKUP('Données projet'!$B$15,Paramètres!$A$1:$I$89,3,0)*VLOOKUP('Données projet'!$B$15,Paramètres!$A$1:$I$89,5,0)</f>
        <v>342.72575999999981</v>
      </c>
      <c r="EL79" s="13">
        <f t="shared" si="99"/>
        <v>80.062843713919264</v>
      </c>
      <c r="EM79" s="20">
        <f t="shared" si="73"/>
        <v>736.35681813507574</v>
      </c>
      <c r="EN79" s="59">
        <f t="shared" si="74"/>
        <v>1029.6901514684091</v>
      </c>
      <c r="EO79" s="59">
        <f ca="1">AVERAGE(OFFSET($EN$3,0,0,'Données projet'!$E$15+1,1))-AVERAGE(OFFSET($H$3,0,0,'Données projet'!$E$15+1,1))</f>
        <v>399.38728019348088</v>
      </c>
      <c r="EP79" s="59">
        <f t="shared" si="100"/>
        <v>289.54922160039791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1.1522264996619849</v>
      </c>
      <c r="EW79" s="21">
        <f>EXP(-LN(2)/25)*EW78+(1-EXP(-LN(2)/25))/(LN(2)/25)*Calculateur!ER79*Calculateur!ET79*VLOOKUP('Données projet'!$B$15,Paramètres!$A$1:$I$89,3,0)*0.475*44/12</f>
        <v>3.7492422574417903</v>
      </c>
      <c r="EX79" s="21">
        <f>EXP(-LN(2)/2)*EX78+(1-EXP(-LN(2)/2))/(LN(2)/2)*ER79*EU79*VLOOKUP('Données projet'!$B$15,Paramètres!$A$1:$I$89,3,0)*0.475*44/12</f>
        <v>3.0566499920001408E-6</v>
      </c>
      <c r="EY79" s="22">
        <f t="shared" si="75"/>
        <v>4.9014718137537665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7.4</v>
      </c>
      <c r="N80" s="13">
        <f>IF('Données projet'!$A$36&gt;35,N79+M80-V79,IF(A80&lt;'Données projet'!$A$36,$K$205^A80,IF(A80='Données projet'!$A$36,'Données projet'!$B$36,N79+M80-V79)))</f>
        <v>325.79999999999984</v>
      </c>
      <c r="O80" s="13">
        <f>N80*VLOOKUP('Données projet'!$B$9,Paramètres!$A$1:$I$89,3,0)*VLOOKUP('Données projet'!$B$9,Paramètres!$A$1:$I$89,5,0)</f>
        <v>294.78383999999983</v>
      </c>
      <c r="P80" s="13">
        <f t="shared" si="87"/>
        <v>70.081842199807596</v>
      </c>
      <c r="Q80" s="20">
        <f t="shared" si="54"/>
        <v>635.47439649799799</v>
      </c>
      <c r="R80" s="59">
        <f t="shared" si="55"/>
        <v>928.80772983133124</v>
      </c>
      <c r="S80" s="59">
        <f ca="1">AVERAGE(OFFSET($R$3,0,0,'Données projet'!$E$9+1,1))-AVERAGE(OFFSET($H$3,0,0,'Données projet'!$E$9+1,1))</f>
        <v>318.40875902853116</v>
      </c>
      <c r="T80" s="59">
        <f t="shared" si="88"/>
        <v>234.87694492493506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0.94954577341968482</v>
      </c>
      <c r="AA80" s="21">
        <f>EXP(-LN(2)/25)*AA79+(1-EXP(-LN(2)/25))/(LN(2)/25)*Calculateur!V80*Calculateur!X80*VLOOKUP('Données projet'!$B$9,Paramètres!$A$1:$I$89,3,0)*0.475*44/12</f>
        <v>3.0653580258461113</v>
      </c>
      <c r="AB80" s="21">
        <f>EXP(-LN(2)/2)*AB79+(1-EXP(-LN(2)/2))/(LN(2)/2)*V80*Y80*VLOOKUP('Données projet'!$B$9,Paramètres!$A$1:$I$89,3,0)*0.475*44/12</f>
        <v>1.8168104398451093E-6</v>
      </c>
      <c r="AC80" s="22">
        <f t="shared" si="57"/>
        <v>4.014905616076236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243.38048563215585</v>
      </c>
      <c r="AO80" s="59">
        <f t="shared" si="90"/>
        <v>372.1604147006675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2.8813802779631819</v>
      </c>
      <c r="AV80" s="21">
        <f>EXP(-LN(2)/25)*AV79+(1-EXP(-LN(2)/25))/(LN(2)/25)*Calculateur!AQ80*Calculateur!AS80*VLOOKUP('Données projet'!$B$10,Paramètres!$A$1:$I$89,3,0)*0.475*44/12</f>
        <v>5.260456527874406</v>
      </c>
      <c r="AW80" s="21">
        <f>EXP(-LN(2)/2)*AW79+(1-EXP(-LN(2)/2))/(LN(2)/2)*AQ80*AT80*VLOOKUP('Données projet'!$B$10,Paramètres!$A$1:$I$89,3,0)*0.475*44/12</f>
        <v>2.4710646042464255E-6</v>
      </c>
      <c r="AX80" s="21">
        <f t="shared" si="60"/>
        <v>8.1418392769021928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3.9</v>
      </c>
      <c r="BD80" s="12">
        <f>IF('Données projet'!$A$88&gt;35,BD79+BC80-BL79,IF(A80&lt;'Données projet'!$A$88,$BA$205^A80,IF(A80='Données projet'!$A$88,'Données projet'!$B$88,BD79+BC80-BL79)))</f>
        <v>330.29999999999956</v>
      </c>
      <c r="BE80" s="13">
        <f>BD80*VLOOKUP('Données projet'!$B$11,Paramètres!$A$1:$I$89,3,0)*VLOOKUP('Données projet'!$B$11,Paramètres!$A$1:$I$89,5,0)</f>
        <v>221.5652399999997</v>
      </c>
      <c r="BF80" s="13">
        <f t="shared" si="91"/>
        <v>54.454942404745644</v>
      </c>
      <c r="BG80" s="20">
        <f t="shared" si="61"/>
        <v>480.73515102159814</v>
      </c>
      <c r="BH80" s="59">
        <f t="shared" si="62"/>
        <v>774.06848435493146</v>
      </c>
      <c r="BI80" s="59">
        <f ca="1">AVERAGE(OFFSET($BH$3,0,0,'Données projet'!$E$11+1,1))-AVERAGE(OFFSET($H$3,0,0,'Données projet'!$E$11+1,1))</f>
        <v>207.93042467236967</v>
      </c>
      <c r="BJ80" s="59">
        <f t="shared" si="92"/>
        <v>250.70954318710835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1.0846104739492086</v>
      </c>
      <c r="BQ80" s="21">
        <f>EXP(-LN(2)/25)*BQ79+(1-EXP(-LN(2)/25))/(LN(2)/25)*Calculateur!BL80*Calculateur!BN80*VLOOKUP('Données projet'!$B$11,Paramètres!$A$1:$I$89,3,0)*0.475*44/12</f>
        <v>4.7003569058212236</v>
      </c>
      <c r="BR80" s="21">
        <f>EXP(-LN(2)/2)*BR79+(1-EXP(-LN(2)/2))/(LN(2)/2)*BL80*BO80*VLOOKUP('Données projet'!$B$11,Paramètres!$A$1:$I$89,3,0)*0.475*44/12</f>
        <v>1.7084819609789656E-6</v>
      </c>
      <c r="BS80" s="22">
        <f t="shared" si="63"/>
        <v>5.7849690882523932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8.5</v>
      </c>
      <c r="BY80" s="12">
        <f>IF('Données projet'!$A$114&gt;35,BY79+BX80-CG79,IF(A80&lt;'Données projet'!$A$114,$BV$205^A80,IF(A80='Données projet'!$A$114,'Données projet'!$B$114,BY79+BX80-CG79)))</f>
        <v>354.50000000000017</v>
      </c>
      <c r="BZ80" s="13">
        <f>BY80*VLOOKUP('Données projet'!$B$12,Paramètres!$A$1:$I$89,3,0)*VLOOKUP('Données projet'!$B$12,Paramètres!$A$1:$I$89,5,0)</f>
        <v>276.51000000000016</v>
      </c>
      <c r="CA80" s="13">
        <f t="shared" si="93"/>
        <v>66.228934031958417</v>
      </c>
      <c r="CB80" s="20">
        <f t="shared" si="64"/>
        <v>596.93697677232785</v>
      </c>
      <c r="CC80" s="59">
        <f t="shared" si="65"/>
        <v>890.27031010566111</v>
      </c>
      <c r="CD80" s="59">
        <f ca="1">AVERAGE(OFFSET($CC$3,0,0,'Données projet'!$E$12+1,1))-AVERAGE(OFFSET($H$3,0,0,'Données projet'!$E$12+1,1))</f>
        <v>266.30229009596883</v>
      </c>
      <c r="CE80" s="59">
        <f t="shared" si="94"/>
        <v>270.19195828386046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0.57007828145578399</v>
      </c>
      <c r="CL80" s="21">
        <f>EXP(-LN(2)/25)*CL79+(1-EXP(-LN(2)/25))/(LN(2)/25)*Calculateur!CG80*Calculateur!CI80*VLOOKUP('Données projet'!$B$12,Paramètres!$A$1:$I$89,3,0)*0.475*44/12</f>
        <v>2.2741889996702445</v>
      </c>
      <c r="CM80" s="21">
        <f>EXP(-LN(2)/2)*CM79+(1-EXP(-LN(2)/2))/(LN(2)/2)*CG80*CJ80*VLOOKUP('Données projet'!$B$12,Paramètres!$A$1:$I$89,3,0)*0.475*44/12</f>
        <v>1.1018180526417624E-6</v>
      </c>
      <c r="CN80" s="22">
        <f t="shared" si="66"/>
        <v>2.8442683829440814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3.9</v>
      </c>
      <c r="CT80" s="12">
        <f>IF('Données projet'!$A$140&gt;35,CT79+CS80-DB79,IF(A80&lt;'Données projet'!$A$140,$CQ$205^A80,IF(A80='Données projet'!$A$140,'Données projet'!$B$140,CT79+CS80-DB79)))</f>
        <v>330.29999999999956</v>
      </c>
      <c r="CU80" s="17">
        <f>CT80*VLOOKUP('Données projet'!$B$13,Paramètres!$A$1:$I$89,3,0)*VLOOKUP('Données projet'!$B$13,Paramètres!$A$1:$I$89,5,0)</f>
        <v>262.78667999999965</v>
      </c>
      <c r="CV80" s="13">
        <f t="shared" si="95"/>
        <v>63.316016454882053</v>
      </c>
      <c r="CW80" s="20">
        <f t="shared" si="67"/>
        <v>567.96219632558564</v>
      </c>
      <c r="CX80" s="59">
        <f t="shared" si="68"/>
        <v>861.29552965891889</v>
      </c>
      <c r="CY80" s="59">
        <f ca="1">AVERAGE(OFFSET($CX$3,0,0,'Données projet'!$E$13+1,1))-AVERAGE(OFFSET($H$3,0,0,'Données projet'!$E$13+1,1))</f>
        <v>260.20517190557814</v>
      </c>
      <c r="CZ80" s="59">
        <f t="shared" si="96"/>
        <v>307.22009971147133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1.2863984691025512</v>
      </c>
      <c r="DG80" s="21">
        <f>EXP(-LN(2)/25)*DG79+(1-EXP(-LN(2)/25))/(LN(2)/25)*Calculateur!DB80*Calculateur!DD80*VLOOKUP('Données projet'!$B$13,Paramètres!$A$1:$I$89,3,0)*0.475*44/12</f>
        <v>5.5748419115553984</v>
      </c>
      <c r="DH80" s="21">
        <f>EXP(-LN(2)/2)*DH79+(1-EXP(-LN(2)/2))/(LN(2)/2)*DB80*DE80*VLOOKUP('Données projet'!$B$13,Paramètres!$A$1:$I$89,3,0)*0.475*44/12</f>
        <v>2.0263390699983081E-6</v>
      </c>
      <c r="DI80" s="22">
        <f t="shared" si="69"/>
        <v>6.8612424069970199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7.4</v>
      </c>
      <c r="DO80" s="12">
        <f>IF('Données projet'!$A$166&gt;35,DO79+DN80-DW79,IF(A80&lt;'Données projet'!$A$166,$DL$205^A80,IF(A80='Données projet'!$A$166,'Données projet'!$B$166,DO79+DN80-DW79)))</f>
        <v>325.79999999999984</v>
      </c>
      <c r="DP80" s="17">
        <f>DO80*VLOOKUP('Données projet'!$B$14,Paramètres!$A$1:$I$89,3,0)*VLOOKUP('Données projet'!$B$14,Paramètres!$A$1:$I$89,5,0)</f>
        <v>315.11375999999984</v>
      </c>
      <c r="DQ80" s="13">
        <f t="shared" si="97"/>
        <v>74.335767722617277</v>
      </c>
      <c r="DR80" s="20">
        <f t="shared" si="70"/>
        <v>678.29126078355807</v>
      </c>
      <c r="DS80" s="59">
        <f t="shared" si="71"/>
        <v>971.62459411689133</v>
      </c>
      <c r="DT80" s="59">
        <f ca="1">AVERAGE(OFFSET($DS$3,0,0,'Données projet'!$E$14+1,1))-AVERAGE(OFFSET($H$3,0,0,'Données projet'!$E$14+1,1))</f>
        <v>347.8889410585312</v>
      </c>
      <c r="DU80" s="59">
        <f t="shared" si="98"/>
        <v>254.78167322479203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1.0150316888279396</v>
      </c>
      <c r="EB80" s="21">
        <f>EXP(-LN(2)/25)*EB79+(1-EXP(-LN(2)/25))/(LN(2)/25)*Calculateur!DW80*Calculateur!DY80*VLOOKUP('Données projet'!$B$14,Paramètres!$A$1:$I$89,3,0)*0.475*44/12</f>
        <v>3.2767620276286027</v>
      </c>
      <c r="EC80" s="21">
        <f>EXP(-LN(2)/2)*EC79+(1-EXP(-LN(2)/2))/(LN(2)/2)*DW80*DZ80*VLOOKUP('Données projet'!$B$14,Paramètres!$A$1:$I$89,3,0)*0.475*44/12</f>
        <v>1.9421077115585586E-6</v>
      </c>
      <c r="ED80" s="22">
        <f t="shared" si="72"/>
        <v>4.2917956585642543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7.4</v>
      </c>
      <c r="EJ80" s="12">
        <f>IF('Données projet'!$A$192&gt;35,EJ79+EI80-ER79,IF(A80&lt;'Données projet'!$A$192,$EG$205^A80,IF(A80='Données projet'!$A$192,'Données projet'!$B$192,EJ79+EI80-ER79)))</f>
        <v>325.79999999999984</v>
      </c>
      <c r="EK80" s="17">
        <f>EJ80*VLOOKUP('Données projet'!$B$15,Paramètres!$A$1:$I$89,3,0)*VLOOKUP('Données projet'!$B$15,Paramètres!$A$1:$I$89,5,0)</f>
        <v>350.69111999999984</v>
      </c>
      <c r="EL80" s="13">
        <f t="shared" si="99"/>
        <v>81.704803681089643</v>
      </c>
      <c r="EM80" s="20">
        <f t="shared" si="73"/>
        <v>753.08956707789741</v>
      </c>
      <c r="EN80" s="59">
        <f t="shared" si="74"/>
        <v>1046.4229004112308</v>
      </c>
      <c r="EO80" s="59">
        <f ca="1">AVERAGE(OFFSET($EN$3,0,0,'Données projet'!$E$15+1,1))-AVERAGE(OFFSET($H$3,0,0,'Données projet'!$E$15+1,1))</f>
        <v>399.38728019348088</v>
      </c>
      <c r="EP80" s="59">
        <f t="shared" si="100"/>
        <v>289.54922160039791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1.1296320407923834</v>
      </c>
      <c r="EW80" s="21">
        <f>EXP(-LN(2)/25)*EW79+(1-EXP(-LN(2)/25))/(LN(2)/25)*Calculateur!ER80*Calculateur!ET80*VLOOKUP('Données projet'!$B$15,Paramètres!$A$1:$I$89,3,0)*0.475*44/12</f>
        <v>3.6467190307479633</v>
      </c>
      <c r="EX80" s="21">
        <f>EXP(-LN(2)/2)*EX79+(1-EXP(-LN(2)/2))/(LN(2)/2)*ER80*EU80*VLOOKUP('Données projet'!$B$15,Paramètres!$A$1:$I$89,3,0)*0.475*44/12</f>
        <v>2.1613779370571058E-6</v>
      </c>
      <c r="EY80" s="22">
        <f t="shared" si="75"/>
        <v>4.7763532329182841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7.4</v>
      </c>
      <c r="N81" s="13">
        <f>IF('Données projet'!$A$36&gt;35,N80+M81-V80,IF(A81&lt;'Données projet'!$A$36,$K$205^A81,IF(A81='Données projet'!$A$36,'Données projet'!$B$36,N80+M81-V80)))</f>
        <v>333.19999999999982</v>
      </c>
      <c r="O81" s="13">
        <f>N81*VLOOKUP('Données projet'!$B$9,Paramètres!$A$1:$I$89,3,0)*VLOOKUP('Données projet'!$B$9,Paramètres!$A$1:$I$89,5,0)</f>
        <v>301.47935999999982</v>
      </c>
      <c r="P81" s="13">
        <f t="shared" si="87"/>
        <v>71.486505311225272</v>
      </c>
      <c r="Q81" s="20">
        <f t="shared" si="54"/>
        <v>649.58221541705041</v>
      </c>
      <c r="R81" s="59">
        <f t="shared" si="55"/>
        <v>942.91554875038378</v>
      </c>
      <c r="S81" s="59">
        <f ca="1">AVERAGE(OFFSET($R$3,0,0,'Données projet'!$E$9+1,1))-AVERAGE(OFFSET($H$3,0,0,'Données projet'!$E$9+1,1))</f>
        <v>318.40875902853116</v>
      </c>
      <c r="T81" s="59">
        <f t="shared" si="88"/>
        <v>234.87694492493506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0.93092575996865867</v>
      </c>
      <c r="AA81" s="21">
        <f>EXP(-LN(2)/25)*AA80+(1-EXP(-LN(2)/25))/(LN(2)/25)*Calculateur!V81*Calculateur!X81*VLOOKUP('Données projet'!$B$9,Paramètres!$A$1:$I$89,3,0)*0.475*44/12</f>
        <v>2.9815356494291767</v>
      </c>
      <c r="AB81" s="21">
        <f>EXP(-LN(2)/2)*AB80+(1-EXP(-LN(2)/2))/(LN(2)/2)*V81*Y81*VLOOKUP('Données projet'!$B$9,Paramètres!$A$1:$I$89,3,0)*0.475*44/12</f>
        <v>1.284678982144991E-6</v>
      </c>
      <c r="AC81" s="22">
        <f t="shared" si="57"/>
        <v>3.9124626940768175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243.38048563215585</v>
      </c>
      <c r="AO81" s="59">
        <f t="shared" si="90"/>
        <v>372.1604147006675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2.8248781681807578</v>
      </c>
      <c r="AV81" s="21">
        <f>EXP(-LN(2)/25)*AV80+(1-EXP(-LN(2)/25))/(LN(2)/25)*Calculateur!AQ81*Calculateur!AS81*VLOOKUP('Données projet'!$B$10,Paramètres!$A$1:$I$89,3,0)*0.475*44/12</f>
        <v>5.1166090674842941</v>
      </c>
      <c r="AW81" s="21">
        <f>EXP(-LN(2)/2)*AW80+(1-EXP(-LN(2)/2))/(LN(2)/2)*AQ81*AT81*VLOOKUP('Données projet'!$B$10,Paramètres!$A$1:$I$89,3,0)*0.475*44/12</f>
        <v>1.7473065384126998E-6</v>
      </c>
      <c r="AX81" s="21">
        <f t="shared" si="60"/>
        <v>7.9414889829715909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3.9</v>
      </c>
      <c r="BD81" s="12">
        <f>IF('Données projet'!$A$88&gt;35,BD80+BC81-BL80,IF(A81&lt;'Données projet'!$A$88,$BA$205^A81,IF(A81='Données projet'!$A$88,'Données projet'!$B$88,BD80+BC81-BL80)))</f>
        <v>334.19999999999953</v>
      </c>
      <c r="BE81" s="13">
        <f>BD81*VLOOKUP('Données projet'!$B$11,Paramètres!$A$1:$I$89,3,0)*VLOOKUP('Données projet'!$B$11,Paramètres!$A$1:$I$89,5,0)</f>
        <v>224.18135999999967</v>
      </c>
      <c r="BF81" s="13">
        <f t="shared" si="91"/>
        <v>55.022685421064054</v>
      </c>
      <c r="BG81" s="20">
        <f t="shared" si="61"/>
        <v>486.28037910835252</v>
      </c>
      <c r="BH81" s="59">
        <f t="shared" si="62"/>
        <v>779.61371244168583</v>
      </c>
      <c r="BI81" s="59">
        <f ca="1">AVERAGE(OFFSET($BH$3,0,0,'Données projet'!$E$11+1,1))-AVERAGE(OFFSET($H$3,0,0,'Données projet'!$E$11+1,1))</f>
        <v>207.93042467236967</v>
      </c>
      <c r="BJ81" s="59">
        <f t="shared" si="92"/>
        <v>250.70954318710835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1.0633419241021314</v>
      </c>
      <c r="BQ81" s="21">
        <f>EXP(-LN(2)/25)*BQ80+(1-EXP(-LN(2)/25))/(LN(2)/25)*Calculateur!BL81*Calculateur!BN81*VLOOKUP('Données projet'!$B$11,Paramètres!$A$1:$I$89,3,0)*0.475*44/12</f>
        <v>4.5718253990505158</v>
      </c>
      <c r="BR81" s="21">
        <f>EXP(-LN(2)/2)*BR80+(1-EXP(-LN(2)/2))/(LN(2)/2)*BL81*BO81*VLOOKUP('Données projet'!$B$11,Paramètres!$A$1:$I$89,3,0)*0.475*44/12</f>
        <v>1.208079180143117E-6</v>
      </c>
      <c r="BS81" s="22">
        <f t="shared" si="63"/>
        <v>5.6351685312318267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8.5</v>
      </c>
      <c r="BY81" s="12">
        <f>IF('Données projet'!$A$114&gt;35,BY80+BX81-CG80,IF(A81&lt;'Données projet'!$A$114,$BV$205^A81,IF(A81='Données projet'!$A$114,'Données projet'!$B$114,BY80+BX81-CG80)))</f>
        <v>363.00000000000017</v>
      </c>
      <c r="BZ81" s="13">
        <f>BY81*VLOOKUP('Données projet'!$B$12,Paramètres!$A$1:$I$89,3,0)*VLOOKUP('Données projet'!$B$12,Paramètres!$A$1:$I$89,5,0)</f>
        <v>283.14000000000016</v>
      </c>
      <c r="CA81" s="13">
        <f t="shared" si="93"/>
        <v>67.630149847512001</v>
      </c>
      <c r="CB81" s="20">
        <f t="shared" si="64"/>
        <v>610.92467765108358</v>
      </c>
      <c r="CC81" s="59">
        <f t="shared" si="65"/>
        <v>904.25801098441684</v>
      </c>
      <c r="CD81" s="59">
        <f ca="1">AVERAGE(OFFSET($CC$3,0,0,'Données projet'!$E$12+1,1))-AVERAGE(OFFSET($H$3,0,0,'Données projet'!$E$12+1,1))</f>
        <v>266.30229009596883</v>
      </c>
      <c r="CE81" s="59">
        <f t="shared" si="94"/>
        <v>270.19195828386046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0.55889939406985389</v>
      </c>
      <c r="CL81" s="21">
        <f>EXP(-LN(2)/25)*CL80+(1-EXP(-LN(2)/25))/(LN(2)/25)*Calculateur!CG81*Calculateur!CI81*VLOOKUP('Données projet'!$B$12,Paramètres!$A$1:$I$89,3,0)*0.475*44/12</f>
        <v>2.2120011818798599</v>
      </c>
      <c r="CM81" s="21">
        <f>EXP(-LN(2)/2)*CM80+(1-EXP(-LN(2)/2))/(LN(2)/2)*CG81*CJ81*VLOOKUP('Données projet'!$B$12,Paramètres!$A$1:$I$89,3,0)*0.475*44/12</f>
        <v>7.7910301665674659E-7</v>
      </c>
      <c r="CN81" s="22">
        <f t="shared" si="66"/>
        <v>2.7709013550527306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3.9</v>
      </c>
      <c r="CT81" s="12">
        <f>IF('Données projet'!$A$140&gt;35,CT80+CS81-DB80,IF(A81&lt;'Données projet'!$A$140,$CQ$205^A81,IF(A81='Données projet'!$A$140,'Données projet'!$B$140,CT80+CS81-DB80)))</f>
        <v>334.19999999999953</v>
      </c>
      <c r="CU81" s="17">
        <f>CT81*VLOOKUP('Données projet'!$B$13,Paramètres!$A$1:$I$89,3,0)*VLOOKUP('Données projet'!$B$13,Paramètres!$A$1:$I$89,5,0)</f>
        <v>265.88951999999961</v>
      </c>
      <c r="CV81" s="13">
        <f t="shared" si="95"/>
        <v>63.97614434366357</v>
      </c>
      <c r="CW81" s="20">
        <f t="shared" si="67"/>
        <v>574.51603206521338</v>
      </c>
      <c r="CX81" s="59">
        <f t="shared" si="68"/>
        <v>867.84936539854675</v>
      </c>
      <c r="CY81" s="59">
        <f ca="1">AVERAGE(OFFSET($CX$3,0,0,'Données projet'!$E$13+1,1))-AVERAGE(OFFSET($H$3,0,0,'Données projet'!$E$13+1,1))</f>
        <v>260.20517190557814</v>
      </c>
      <c r="CZ81" s="59">
        <f t="shared" si="96"/>
        <v>307.22009971147133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1.261172979749041</v>
      </c>
      <c r="DG81" s="21">
        <f>EXP(-LN(2)/25)*DG80+(1-EXP(-LN(2)/25))/(LN(2)/25)*Calculateur!DB81*Calculateur!DD81*VLOOKUP('Données projet'!$B$13,Paramètres!$A$1:$I$89,3,0)*0.475*44/12</f>
        <v>5.4223975663157216</v>
      </c>
      <c r="DH81" s="21">
        <f>EXP(-LN(2)/2)*DH80+(1-EXP(-LN(2)/2))/(LN(2)/2)*DB81*DE81*VLOOKUP('Données projet'!$B$13,Paramètres!$A$1:$I$89,3,0)*0.475*44/12</f>
        <v>1.4328380973790459E-6</v>
      </c>
      <c r="DI81" s="22">
        <f t="shared" si="69"/>
        <v>6.6835719789028598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7.4</v>
      </c>
      <c r="DO81" s="12">
        <f>IF('Données projet'!$A$166&gt;35,DO80+DN81-DW80,IF(A81&lt;'Données projet'!$A$166,$DL$205^A81,IF(A81='Données projet'!$A$166,'Données projet'!$B$166,DO80+DN81-DW80)))</f>
        <v>333.19999999999982</v>
      </c>
      <c r="DP81" s="17">
        <f>DO81*VLOOKUP('Données projet'!$B$14,Paramètres!$A$1:$I$89,3,0)*VLOOKUP('Données projet'!$B$14,Paramètres!$A$1:$I$89,5,0)</f>
        <v>322.27103999999986</v>
      </c>
      <c r="DQ81" s="13">
        <f t="shared" si="97"/>
        <v>75.825693037097096</v>
      </c>
      <c r="DR81" s="20">
        <f t="shared" si="70"/>
        <v>693.35181003961054</v>
      </c>
      <c r="DS81" s="59">
        <f t="shared" si="71"/>
        <v>986.68514337294391</v>
      </c>
      <c r="DT81" s="59">
        <f ca="1">AVERAGE(OFFSET($DS$3,0,0,'Données projet'!$E$14+1,1))-AVERAGE(OFFSET($H$3,0,0,'Données projet'!$E$14+1,1))</f>
        <v>347.8889410585312</v>
      </c>
      <c r="DU81" s="59">
        <f t="shared" si="98"/>
        <v>254.78167322479203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0.99512753651822206</v>
      </c>
      <c r="EB81" s="21">
        <f>EXP(-LN(2)/25)*EB80+(1-EXP(-LN(2)/25))/(LN(2)/25)*Calculateur!DW81*Calculateur!DY81*VLOOKUP('Données projet'!$B$14,Paramètres!$A$1:$I$89,3,0)*0.475*44/12</f>
        <v>3.1871587976656728</v>
      </c>
      <c r="EC81" s="21">
        <f>EXP(-LN(2)/2)*EC80+(1-EXP(-LN(2)/2))/(LN(2)/2)*DW81*DZ81*VLOOKUP('Données projet'!$B$14,Paramètres!$A$1:$I$89,3,0)*0.475*44/12</f>
        <v>1.3732775326377443E-6</v>
      </c>
      <c r="ED81" s="22">
        <f t="shared" si="72"/>
        <v>4.1822877074614278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7.4</v>
      </c>
      <c r="EJ81" s="12">
        <f>IF('Données projet'!$A$192&gt;35,EJ80+EI81-ER80,IF(A81&lt;'Données projet'!$A$192,$EG$205^A81,IF(A81='Données projet'!$A$192,'Données projet'!$B$192,EJ80+EI81-ER80)))</f>
        <v>333.19999999999982</v>
      </c>
      <c r="EK81" s="17">
        <f>EJ81*VLOOKUP('Données projet'!$B$15,Paramètres!$A$1:$I$89,3,0)*VLOOKUP('Données projet'!$B$15,Paramètres!$A$1:$I$89,5,0)</f>
        <v>358.65647999999976</v>
      </c>
      <c r="EL81" s="13">
        <f t="shared" si="99"/>
        <v>83.342427923746328</v>
      </c>
      <c r="EM81" s="20">
        <f t="shared" si="73"/>
        <v>769.81476463385764</v>
      </c>
      <c r="EN81" s="59">
        <f t="shared" si="74"/>
        <v>1063.148097967191</v>
      </c>
      <c r="EO81" s="59">
        <f ca="1">AVERAGE(OFFSET($EN$3,0,0,'Données projet'!$E$15+1,1))-AVERAGE(OFFSET($H$3,0,0,'Données projet'!$E$15+1,1))</f>
        <v>399.38728019348088</v>
      </c>
      <c r="EP81" s="59">
        <f t="shared" si="100"/>
        <v>289.54922160039791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1.1074806454799559</v>
      </c>
      <c r="EW81" s="21">
        <f>EXP(-LN(2)/25)*EW80+(1-EXP(-LN(2)/25))/(LN(2)/25)*Calculateur!ER81*Calculateur!ET81*VLOOKUP('Données projet'!$B$15,Paramètres!$A$1:$I$89,3,0)*0.475*44/12</f>
        <v>3.5469993070795409</v>
      </c>
      <c r="EX81" s="21">
        <f>EXP(-LN(2)/2)*EX80+(1-EXP(-LN(2)/2))/(LN(2)/2)*ER81*EU81*VLOOKUP('Données projet'!$B$15,Paramètres!$A$1:$I$89,3,0)*0.475*44/12</f>
        <v>1.5283249960000704E-6</v>
      </c>
      <c r="EY81" s="22">
        <f t="shared" si="75"/>
        <v>4.6544814808844928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7.4</v>
      </c>
      <c r="N82" s="13">
        <f>IF('Données projet'!$A$36&gt;35,N81+M82-V81,IF(A82&lt;'Données projet'!$A$36,$K$205^A82,IF(A82='Données projet'!$A$36,'Données projet'!$B$36,N81+M82-V81)))</f>
        <v>340.5999999999998</v>
      </c>
      <c r="O82" s="13">
        <f>N82*VLOOKUP('Données projet'!$B$9,Paramètres!$A$1:$I$89,3,0)*VLOOKUP('Données projet'!$B$9,Paramètres!$A$1:$I$89,5,0)</f>
        <v>308.1748799999998</v>
      </c>
      <c r="P82" s="13">
        <f t="shared" si="87"/>
        <v>72.887541582684676</v>
      </c>
      <c r="Q82" s="20">
        <f t="shared" si="54"/>
        <v>663.6837175898421</v>
      </c>
      <c r="R82" s="59">
        <f t="shared" si="55"/>
        <v>957.01705092317547</v>
      </c>
      <c r="S82" s="59">
        <f ca="1">AVERAGE(OFFSET($R$3,0,0,'Données projet'!$E$9+1,1))-AVERAGE(OFFSET($H$3,0,0,'Données projet'!$E$9+1,1))</f>
        <v>318.40875902853116</v>
      </c>
      <c r="T82" s="59">
        <f t="shared" si="88"/>
        <v>234.87694492493506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0.91267087362432042</v>
      </c>
      <c r="AA82" s="21">
        <f>EXP(-LN(2)/25)*AA81+(1-EXP(-LN(2)/25))/(LN(2)/25)*Calculateur!V82*Calculateur!X82*VLOOKUP('Données projet'!$B$9,Paramètres!$A$1:$I$89,3,0)*0.475*44/12</f>
        <v>2.9000054003033906</v>
      </c>
      <c r="AB82" s="21">
        <f>EXP(-LN(2)/2)*AB81+(1-EXP(-LN(2)/2))/(LN(2)/2)*V82*Y82*VLOOKUP('Données projet'!$B$9,Paramètres!$A$1:$I$89,3,0)*0.475*44/12</f>
        <v>9.0840521992255487E-7</v>
      </c>
      <c r="AC82" s="22">
        <f t="shared" si="57"/>
        <v>3.8126771823329308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243.38048563215585</v>
      </c>
      <c r="AO82" s="59">
        <f t="shared" si="90"/>
        <v>372.1604147006675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2.7694840303082828</v>
      </c>
      <c r="AV82" s="21">
        <f>EXP(-LN(2)/25)*AV81+(1-EXP(-LN(2)/25))/(LN(2)/25)*Calculateur!AQ82*Calculateur!AS82*VLOOKUP('Données projet'!$B$10,Paramètres!$A$1:$I$89,3,0)*0.475*44/12</f>
        <v>4.9766951234631591</v>
      </c>
      <c r="AW82" s="21">
        <f>EXP(-LN(2)/2)*AW81+(1-EXP(-LN(2)/2))/(LN(2)/2)*AQ82*AT82*VLOOKUP('Données projet'!$B$10,Paramètres!$A$1:$I$89,3,0)*0.475*44/12</f>
        <v>1.2355323021232127E-6</v>
      </c>
      <c r="AX82" s="21">
        <f t="shared" si="60"/>
        <v>7.7461803893037438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3.9</v>
      </c>
      <c r="BD82" s="12">
        <f>IF('Données projet'!$A$88&gt;35,BD81+BC82-BL81,IF(A82&lt;'Données projet'!$A$88,$BA$205^A82,IF(A82='Données projet'!$A$88,'Données projet'!$B$88,BD81+BC82-BL81)))</f>
        <v>338.09999999999951</v>
      </c>
      <c r="BE82" s="13">
        <f>BD82*VLOOKUP('Données projet'!$B$11,Paramètres!$A$1:$I$89,3,0)*VLOOKUP('Données projet'!$B$11,Paramètres!$A$1:$I$89,5,0)</f>
        <v>226.79747999999967</v>
      </c>
      <c r="BF82" s="13">
        <f t="shared" si="91"/>
        <v>55.589657749663466</v>
      </c>
      <c r="BG82" s="20">
        <f t="shared" si="61"/>
        <v>491.82426491399656</v>
      </c>
      <c r="BH82" s="59">
        <f t="shared" si="62"/>
        <v>785.15759824732982</v>
      </c>
      <c r="BI82" s="59">
        <f ca="1">AVERAGE(OFFSET($BH$3,0,0,'Données projet'!$E$11+1,1))-AVERAGE(OFFSET($H$3,0,0,'Données projet'!$E$11+1,1))</f>
        <v>207.93042467236967</v>
      </c>
      <c r="BJ82" s="59">
        <f t="shared" si="92"/>
        <v>250.70954318710835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1.0424904375450208</v>
      </c>
      <c r="BQ82" s="21">
        <f>EXP(-LN(2)/25)*BQ81+(1-EXP(-LN(2)/25))/(LN(2)/25)*Calculateur!BL82*Calculateur!BN82*VLOOKUP('Données projet'!$B$11,Paramètres!$A$1:$I$89,3,0)*0.475*44/12</f>
        <v>4.4468085930916308</v>
      </c>
      <c r="BR82" s="21">
        <f>EXP(-LN(2)/2)*BR81+(1-EXP(-LN(2)/2))/(LN(2)/2)*BL82*BO82*VLOOKUP('Données projet'!$B$11,Paramètres!$A$1:$I$89,3,0)*0.475*44/12</f>
        <v>8.5424098048948278E-7</v>
      </c>
      <c r="BS82" s="22">
        <f t="shared" si="63"/>
        <v>5.4892998848776315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8.5</v>
      </c>
      <c r="BY82" s="12">
        <f>IF('Données projet'!$A$114&gt;35,BY81+BX82-CG81,IF(A82&lt;'Données projet'!$A$114,$BV$205^A82,IF(A82='Données projet'!$A$114,'Données projet'!$B$114,BY81+BX82-CG81)))</f>
        <v>371.50000000000017</v>
      </c>
      <c r="BZ82" s="13">
        <f>BY82*VLOOKUP('Données projet'!$B$12,Paramètres!$A$1:$I$89,3,0)*VLOOKUP('Données projet'!$B$12,Paramètres!$A$1:$I$89,5,0)</f>
        <v>289.77000000000015</v>
      </c>
      <c r="CA82" s="13">
        <f t="shared" si="93"/>
        <v>69.027551313132406</v>
      </c>
      <c r="CB82" s="20">
        <f t="shared" si="64"/>
        <v>624.90573520370583</v>
      </c>
      <c r="CC82" s="59">
        <f t="shared" si="65"/>
        <v>918.2390685370392</v>
      </c>
      <c r="CD82" s="59">
        <f ca="1">AVERAGE(OFFSET($CC$3,0,0,'Données projet'!$E$12+1,1))-AVERAGE(OFFSET($H$3,0,0,'Données projet'!$E$12+1,1))</f>
        <v>266.30229009596883</v>
      </c>
      <c r="CE82" s="59">
        <f t="shared" si="94"/>
        <v>270.19195828386046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0.54793971784711382</v>
      </c>
      <c r="CL82" s="21">
        <f>EXP(-LN(2)/25)*CL81+(1-EXP(-LN(2)/25))/(LN(2)/25)*Calculateur!CG82*Calculateur!CI82*VLOOKUP('Données projet'!$B$12,Paramètres!$A$1:$I$89,3,0)*0.475*44/12</f>
        <v>2.1515138932372686</v>
      </c>
      <c r="CM82" s="21">
        <f>EXP(-LN(2)/2)*CM81+(1-EXP(-LN(2)/2))/(LN(2)/2)*CG82*CJ82*VLOOKUP('Données projet'!$B$12,Paramètres!$A$1:$I$89,3,0)*0.475*44/12</f>
        <v>5.5090902632088119E-7</v>
      </c>
      <c r="CN82" s="22">
        <f t="shared" si="66"/>
        <v>2.6994541619934087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3.9</v>
      </c>
      <c r="CT82" s="12">
        <f>IF('Données projet'!$A$140&gt;35,CT81+CS82-DB81,IF(A82&lt;'Données projet'!$A$140,$CQ$205^A82,IF(A82='Données projet'!$A$140,'Données projet'!$B$140,CT81+CS82-DB81)))</f>
        <v>338.09999999999951</v>
      </c>
      <c r="CU82" s="17">
        <f>CT82*VLOOKUP('Données projet'!$B$13,Paramètres!$A$1:$I$89,3,0)*VLOOKUP('Données projet'!$B$13,Paramètres!$A$1:$I$89,5,0)</f>
        <v>268.99235999999962</v>
      </c>
      <c r="CV82" s="13">
        <f t="shared" si="95"/>
        <v>64.63537613607356</v>
      </c>
      <c r="CW82" s="20">
        <f t="shared" si="67"/>
        <v>581.06830710366069</v>
      </c>
      <c r="CX82" s="59">
        <f t="shared" si="68"/>
        <v>874.40164043699406</v>
      </c>
      <c r="CY82" s="59">
        <f ca="1">AVERAGE(OFFSET($CX$3,0,0,'Données projet'!$E$13+1,1))-AVERAGE(OFFSET($H$3,0,0,'Données projet'!$E$13+1,1))</f>
        <v>260.20517190557814</v>
      </c>
      <c r="CZ82" s="59">
        <f t="shared" si="96"/>
        <v>307.22009971147133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1.2364421468557238</v>
      </c>
      <c r="DG82" s="21">
        <f>EXP(-LN(2)/25)*DG81+(1-EXP(-LN(2)/25))/(LN(2)/25)*Calculateur!DB82*Calculateur!DD82*VLOOKUP('Données projet'!$B$13,Paramètres!$A$1:$I$89,3,0)*0.475*44/12</f>
        <v>5.2741218197133231</v>
      </c>
      <c r="DH82" s="21">
        <f>EXP(-LN(2)/2)*DH81+(1-EXP(-LN(2)/2))/(LN(2)/2)*DB82*DE82*VLOOKUP('Données projet'!$B$13,Paramètres!$A$1:$I$89,3,0)*0.475*44/12</f>
        <v>1.013169534999154E-6</v>
      </c>
      <c r="DI82" s="22">
        <f t="shared" si="69"/>
        <v>6.5105649797385814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7.4</v>
      </c>
      <c r="DO82" s="12">
        <f>IF('Données projet'!$A$166&gt;35,DO81+DN82-DW81,IF(A82&lt;'Données projet'!$A$166,$DL$205^A82,IF(A82='Données projet'!$A$166,'Données projet'!$B$166,DO81+DN82-DW81)))</f>
        <v>340.5999999999998</v>
      </c>
      <c r="DP82" s="17">
        <f>DO82*VLOOKUP('Données projet'!$B$14,Paramètres!$A$1:$I$89,3,0)*VLOOKUP('Données projet'!$B$14,Paramètres!$A$1:$I$89,5,0)</f>
        <v>329.42831999999981</v>
      </c>
      <c r="DQ82" s="13">
        <f t="shared" si="97"/>
        <v>77.311771364622189</v>
      </c>
      <c r="DR82" s="20">
        <f t="shared" si="70"/>
        <v>708.40565912671661</v>
      </c>
      <c r="DS82" s="59">
        <f t="shared" si="71"/>
        <v>1001.73899246005</v>
      </c>
      <c r="DT82" s="59">
        <f ca="1">AVERAGE(OFFSET($DS$3,0,0,'Données projet'!$E$14+1,1))-AVERAGE(OFFSET($H$3,0,0,'Données projet'!$E$14+1,1))</f>
        <v>347.8889410585312</v>
      </c>
      <c r="DU82" s="59">
        <f t="shared" si="98"/>
        <v>254.78167322479203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0.97561369249496388</v>
      </c>
      <c r="EB82" s="21">
        <f>EXP(-LN(2)/25)*EB81+(1-EXP(-LN(2)/25))/(LN(2)/25)*Calculateur!DW82*Calculateur!DY82*VLOOKUP('Données projet'!$B$14,Paramètres!$A$1:$I$89,3,0)*0.475*44/12</f>
        <v>3.1000057727381081</v>
      </c>
      <c r="EC82" s="21">
        <f>EXP(-LN(2)/2)*EC81+(1-EXP(-LN(2)/2))/(LN(2)/2)*DW82*DZ82*VLOOKUP('Données projet'!$B$14,Paramètres!$A$1:$I$89,3,0)*0.475*44/12</f>
        <v>9.7105385577927932E-7</v>
      </c>
      <c r="ED82" s="22">
        <f t="shared" si="72"/>
        <v>4.0756204362869282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7.4</v>
      </c>
      <c r="EJ82" s="12">
        <f>IF('Données projet'!$A$192&gt;35,EJ81+EI82-ER81,IF(A82&lt;'Données projet'!$A$192,$EG$205^A82,IF(A82='Données projet'!$A$192,'Données projet'!$B$192,EJ81+EI82-ER81)))</f>
        <v>340.5999999999998</v>
      </c>
      <c r="EK82" s="17">
        <f>EJ82*VLOOKUP('Données projet'!$B$15,Paramètres!$A$1:$I$89,3,0)*VLOOKUP('Données projet'!$B$15,Paramètres!$A$1:$I$89,5,0)</f>
        <v>366.62183999999974</v>
      </c>
      <c r="EL82" s="13">
        <f t="shared" si="99"/>
        <v>84.975823820836339</v>
      </c>
      <c r="EM82" s="20">
        <f t="shared" si="73"/>
        <v>786.53259782128953</v>
      </c>
      <c r="EN82" s="59">
        <f t="shared" si="74"/>
        <v>1079.8659311546228</v>
      </c>
      <c r="EO82" s="59">
        <f ca="1">AVERAGE(OFFSET($EN$3,0,0,'Données projet'!$E$15+1,1))-AVERAGE(OFFSET($H$3,0,0,'Données projet'!$E$15+1,1))</f>
        <v>399.38728019348088</v>
      </c>
      <c r="EP82" s="59">
        <f t="shared" si="100"/>
        <v>289.54922160039791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1.0857636255185881</v>
      </c>
      <c r="EW82" s="21">
        <f>EXP(-LN(2)/25)*EW81+(1-EXP(-LN(2)/25))/(LN(2)/25)*Calculateur!ER82*Calculateur!ET82*VLOOKUP('Données projet'!$B$15,Paramètres!$A$1:$I$89,3,0)*0.475*44/12</f>
        <v>3.4500064244988642</v>
      </c>
      <c r="EX82" s="21">
        <f>EXP(-LN(2)/2)*EX81+(1-EXP(-LN(2)/2))/(LN(2)/2)*ER82*EU82*VLOOKUP('Données projet'!$B$15,Paramètres!$A$1:$I$89,3,0)*0.475*44/12</f>
        <v>1.0806889685285529E-6</v>
      </c>
      <c r="EY82" s="22">
        <f t="shared" si="75"/>
        <v>4.5357711307064212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348</v>
      </c>
      <c r="L83" s="12">
        <f>VLOOKUP(A83,'Données projet'!$A$35:$I$55,9,0)</f>
        <v>7.4</v>
      </c>
      <c r="M83" s="12">
        <f t="array" ref="M83">INDEX(L:L,MIN(IF(ISNUMBER(L83:L279),ROW(L83:L279),"")))</f>
        <v>7.4</v>
      </c>
      <c r="N83" s="13">
        <f>IF('Données projet'!$A$36&gt;35,N82+M83-V82,IF(A83&lt;'Données projet'!$A$36,$K$205^A83,IF(A83='Données projet'!$A$36,'Données projet'!$B$36,N82+M83-V82)))</f>
        <v>347.99999999999977</v>
      </c>
      <c r="O83" s="13">
        <f>N83*VLOOKUP('Données projet'!$B$9,Paramètres!$A$1:$I$89,3,0)*VLOOKUP('Données projet'!$B$9,Paramètres!$A$1:$I$89,5,0)</f>
        <v>314.87039999999979</v>
      </c>
      <c r="P83" s="13">
        <f t="shared" si="87"/>
        <v>74.285038887149881</v>
      </c>
      <c r="Q83" s="20">
        <f t="shared" si="54"/>
        <v>677.7790560617857</v>
      </c>
      <c r="R83" s="59">
        <f t="shared" si="55"/>
        <v>971.11238939511895</v>
      </c>
      <c r="S83" s="59">
        <f ca="1">AVERAGE(OFFSET($R$3,0,0,'Données projet'!$E$9+1,1))-AVERAGE(OFFSET($H$3,0,0,'Données projet'!$E$9+1,1))</f>
        <v>318.40875902853116</v>
      </c>
      <c r="T83" s="59">
        <f t="shared" si="88"/>
        <v>234.87694492493506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56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0.8947739544668134</v>
      </c>
      <c r="AA83" s="21">
        <f>EXP(-LN(2)/25)*AA82+(1-EXP(-LN(2)/25))/(LN(2)/25)*Calculateur!V83*Calculateur!X83*VLOOKUP('Données projet'!$B$9,Paramètres!$A$1:$I$89,3,0)*0.475*44/12</f>
        <v>2.8207046001274385</v>
      </c>
      <c r="AB83" s="21">
        <f>EXP(-LN(2)/2)*AB82+(1-EXP(-LN(2)/2))/(LN(2)/2)*V83*Y83*VLOOKUP('Données projet'!$B$9,Paramètres!$A$1:$I$89,3,0)*0.475*44/12</f>
        <v>6.4233949107249562E-7</v>
      </c>
      <c r="AC83" s="22">
        <f t="shared" si="57"/>
        <v>3.7154791969337428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243.38048563215585</v>
      </c>
      <c r="AO83" s="59">
        <f t="shared" si="90"/>
        <v>372.1604147006675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2.7151761376923993</v>
      </c>
      <c r="AV83" s="21">
        <f>EXP(-LN(2)/25)*AV82+(1-EXP(-LN(2)/25))/(LN(2)/25)*Calculateur!AQ83*Calculateur!AS83*VLOOKUP('Données projet'!$B$10,Paramètres!$A$1:$I$89,3,0)*0.475*44/12</f>
        <v>4.840607133599037</v>
      </c>
      <c r="AW83" s="21">
        <f>EXP(-LN(2)/2)*AW82+(1-EXP(-LN(2)/2))/(LN(2)/2)*AQ83*AT83*VLOOKUP('Données projet'!$B$10,Paramètres!$A$1:$I$89,3,0)*0.475*44/12</f>
        <v>8.7365326920634992E-7</v>
      </c>
      <c r="AX83" s="21">
        <f t="shared" si="60"/>
        <v>7.5557841449447052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342</v>
      </c>
      <c r="BB83" s="12">
        <f>VLOOKUP(A83,'Données projet'!$A$87:$I$107,9,0)</f>
        <v>3.9</v>
      </c>
      <c r="BC83" s="12">
        <f t="array" ref="BC83">INDEX(BB:BB,MIN(IF(ISNUMBER(BB83:BB279),ROW(BB83:BB279),"")))</f>
        <v>3.9</v>
      </c>
      <c r="BD83" s="12">
        <f>IF('Données projet'!$A$88&gt;35,BD82+BC83-BL82,IF(A83&lt;'Données projet'!$A$88,$BA$205^A83,IF(A83='Données projet'!$A$88,'Données projet'!$B$88,BD82+BC83-BL82)))</f>
        <v>341.99999999999949</v>
      </c>
      <c r="BE83" s="13">
        <f>BD83*VLOOKUP('Données projet'!$B$11,Paramètres!$A$1:$I$89,3,0)*VLOOKUP('Données projet'!$B$11,Paramètres!$A$1:$I$89,5,0)</f>
        <v>229.41359999999966</v>
      </c>
      <c r="BF83" s="13">
        <f t="shared" si="91"/>
        <v>56.155869309033378</v>
      </c>
      <c r="BG83" s="20">
        <f t="shared" si="61"/>
        <v>497.36682571323246</v>
      </c>
      <c r="BH83" s="59">
        <f t="shared" si="62"/>
        <v>790.70015904656577</v>
      </c>
      <c r="BI83" s="59">
        <f ca="1">AVERAGE(OFFSET($BH$3,0,0,'Données projet'!$E$11+1,1))-AVERAGE(OFFSET($H$3,0,0,'Données projet'!$E$11+1,1))</f>
        <v>207.93042467236967</v>
      </c>
      <c r="BJ83" s="59">
        <f t="shared" si="92"/>
        <v>250.70954318710835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1.0220478359211442</v>
      </c>
      <c r="BQ83" s="21">
        <f>EXP(-LN(2)/25)*BQ82+(1-EXP(-LN(2)/25))/(LN(2)/25)*Calculateur!BL83*Calculateur!BN83*VLOOKUP('Données projet'!$B$11,Paramètres!$A$1:$I$89,3,0)*0.475*44/12</f>
        <v>4.3252103782660392</v>
      </c>
      <c r="BR83" s="21">
        <f>EXP(-LN(2)/2)*BR82+(1-EXP(-LN(2)/2))/(LN(2)/2)*BL83*BO83*VLOOKUP('Données projet'!$B$11,Paramètres!$A$1:$I$89,3,0)*0.475*44/12</f>
        <v>6.040395900715585E-7</v>
      </c>
      <c r="BS83" s="22">
        <f t="shared" si="63"/>
        <v>5.3472588182267735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380</v>
      </c>
      <c r="BW83" s="12">
        <f>VLOOKUP(A83,'Données projet'!$A$113:$I$133,9,0)</f>
        <v>8.5</v>
      </c>
      <c r="BX83" s="12">
        <f t="array" ref="BX83">INDEX(BW:BW,MIN(IF(ISNUMBER(BW83:BW279),ROW(BW83:BW279),"")))</f>
        <v>8.5</v>
      </c>
      <c r="BY83" s="12">
        <f>IF('Données projet'!$A$114&gt;35,BY82+BX83-CG82,IF(A83&lt;'Données projet'!$A$114,$BV$205^A83,IF(A83='Données projet'!$A$114,'Données projet'!$B$114,BY82+BX83-CG82)))</f>
        <v>380.00000000000017</v>
      </c>
      <c r="BZ83" s="13">
        <f>BY83*VLOOKUP('Données projet'!$B$12,Paramètres!$A$1:$I$89,3,0)*VLOOKUP('Données projet'!$B$12,Paramètres!$A$1:$I$89,5,0)</f>
        <v>296.40000000000015</v>
      </c>
      <c r="CA83" s="13">
        <f t="shared" si="93"/>
        <v>70.421235748094688</v>
      </c>
      <c r="CB83" s="20">
        <f t="shared" si="64"/>
        <v>638.88031892793185</v>
      </c>
      <c r="CC83" s="59">
        <f t="shared" si="65"/>
        <v>932.21365226126522</v>
      </c>
      <c r="CD83" s="59">
        <f ca="1">AVERAGE(OFFSET($CC$3,0,0,'Données projet'!$E$12+1,1))-AVERAGE(OFFSET($H$3,0,0,'Données projet'!$E$12+1,1))</f>
        <v>266.30229009596883</v>
      </c>
      <c r="CE83" s="59">
        <f t="shared" si="94"/>
        <v>270.19195828386046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380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0.53719495419035923</v>
      </c>
      <c r="CL83" s="21">
        <f>EXP(-LN(2)/25)*CL82+(1-EXP(-LN(2)/25))/(LN(2)/25)*Calculateur!CG83*Calculateur!CI83*VLOOKUP('Données projet'!$B$12,Paramètres!$A$1:$I$89,3,0)*0.475*44/12</f>
        <v>2.0926806326834972</v>
      </c>
      <c r="CM83" s="21">
        <f>EXP(-LN(2)/2)*CM82+(1-EXP(-LN(2)/2))/(LN(2)/2)*CG83*CJ83*VLOOKUP('Données projet'!$B$12,Paramètres!$A$1:$I$89,3,0)*0.475*44/12</f>
        <v>3.8955150832837329E-7</v>
      </c>
      <c r="CN83" s="22">
        <f t="shared" si="66"/>
        <v>2.6298759764253647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342</v>
      </c>
      <c r="CR83" s="12">
        <f>VLOOKUP(A83,'Données projet'!$A$139:$I$159,9,0)</f>
        <v>3.9</v>
      </c>
      <c r="CS83" s="12">
        <f t="array" ref="CS83">INDEX(CR:CR,MIN(IF(ISNUMBER(CR83:CR279),ROW(CR83:CR279),"")))</f>
        <v>3.9</v>
      </c>
      <c r="CT83" s="12">
        <f>IF('Données projet'!$A$140&gt;35,CT82+CS83-DB82,IF(A83&lt;'Données projet'!$A$140,$CQ$205^A83,IF(A83='Données projet'!$A$140,'Données projet'!$B$140,CT82+CS83-DB82)))</f>
        <v>341.99999999999949</v>
      </c>
      <c r="CU83" s="17">
        <f>CT83*VLOOKUP('Données projet'!$B$13,Paramètres!$A$1:$I$89,3,0)*VLOOKUP('Données projet'!$B$13,Paramètres!$A$1:$I$89,5,0)</f>
        <v>272.09519999999958</v>
      </c>
      <c r="CV83" s="13">
        <f t="shared" si="95"/>
        <v>65.293723364568322</v>
      </c>
      <c r="CW83" s="20">
        <f t="shared" si="67"/>
        <v>587.61904152662237</v>
      </c>
      <c r="CX83" s="59">
        <f t="shared" si="68"/>
        <v>880.95237485995563</v>
      </c>
      <c r="CY83" s="59">
        <f ca="1">AVERAGE(OFFSET($CX$3,0,0,'Données projet'!$E$13+1,1))-AVERAGE(OFFSET($H$3,0,0,'Données projet'!$E$13+1,1))</f>
        <v>260.20517190557814</v>
      </c>
      <c r="CZ83" s="59">
        <f t="shared" si="96"/>
        <v>307.22009971147133</v>
      </c>
      <c r="DA83" s="15">
        <f>IF(ISNA(VLOOKUP(A83,'Données projet'!$A$139:$I$159,3,0)),0,VLOOKUP(A83,'Données projet'!$A$139:$I$159,3,0))</f>
        <v>8</v>
      </c>
      <c r="DB83" s="15">
        <f>IF(ISNA(VLOOKUP(A83,'Données projet'!$A$139:$I$159,4,0)),0,VLOOKUP(A83,'Données projet'!$A$139:$I$159,4,0))</f>
        <v>342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1.212196270511126</v>
      </c>
      <c r="DG83" s="21">
        <f>EXP(-LN(2)/25)*DG82+(1-EXP(-LN(2)/25))/(LN(2)/25)*Calculateur!DB83*Calculateur!DD83*VLOOKUP('Données projet'!$B$13,Paramètres!$A$1:$I$89,3,0)*0.475*44/12</f>
        <v>5.12990068119925</v>
      </c>
      <c r="DH83" s="21">
        <f>EXP(-LN(2)/2)*DH82+(1-EXP(-LN(2)/2))/(LN(2)/2)*DB83*DE83*VLOOKUP('Données projet'!$B$13,Paramètres!$A$1:$I$89,3,0)*0.475*44/12</f>
        <v>7.1641904868952293E-7</v>
      </c>
      <c r="DI83" s="22">
        <f t="shared" si="69"/>
        <v>6.3420976681294245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348</v>
      </c>
      <c r="DM83" s="12">
        <f>VLOOKUP(A83,'Données projet'!$A$165:$I$185,9,0)</f>
        <v>7.4</v>
      </c>
      <c r="DN83" s="12">
        <f t="array" ref="DN83">INDEX(DM:DM,MIN(IF(ISNUMBER(DM83:DM279),ROW(DM83:DM279),"")))</f>
        <v>7.4</v>
      </c>
      <c r="DO83" s="12">
        <f>IF('Données projet'!$A$166&gt;35,DO82+DN83-DW82,IF(A83&lt;'Données projet'!$A$166,$DL$205^A83,IF(A83='Données projet'!$A$166,'Données projet'!$B$166,DO82+DN83-DW82)))</f>
        <v>347.99999999999977</v>
      </c>
      <c r="DP83" s="17">
        <f>DO83*VLOOKUP('Données projet'!$B$14,Paramètres!$A$1:$I$89,3,0)*VLOOKUP('Données projet'!$B$14,Paramètres!$A$1:$I$89,5,0)</f>
        <v>336.58559999999977</v>
      </c>
      <c r="DQ83" s="13">
        <f t="shared" si="97"/>
        <v>78.794095911992599</v>
      </c>
      <c r="DR83" s="20">
        <f t="shared" si="70"/>
        <v>723.45297038005344</v>
      </c>
      <c r="DS83" s="59">
        <f t="shared" si="71"/>
        <v>1016.7863037133868</v>
      </c>
      <c r="DT83" s="59">
        <f ca="1">AVERAGE(OFFSET($DS$3,0,0,'Données projet'!$E$14+1,1))-AVERAGE(OFFSET($H$3,0,0,'Données projet'!$E$14+1,1))</f>
        <v>347.8889410585312</v>
      </c>
      <c r="DU83" s="59">
        <f t="shared" si="98"/>
        <v>254.78167322479203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56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0.95648250305073224</v>
      </c>
      <c r="EB83" s="21">
        <f>EXP(-LN(2)/25)*EB82+(1-EXP(-LN(2)/25))/(LN(2)/25)*Calculateur!DW83*Calculateur!DY83*VLOOKUP('Données projet'!$B$14,Paramètres!$A$1:$I$89,3,0)*0.475*44/12</f>
        <v>3.0152359518603662</v>
      </c>
      <c r="EC83" s="21">
        <f>EXP(-LN(2)/2)*EC82+(1-EXP(-LN(2)/2))/(LN(2)/2)*DW83*DZ83*VLOOKUP('Données projet'!$B$14,Paramètres!$A$1:$I$89,3,0)*0.475*44/12</f>
        <v>6.8663876631887215E-7</v>
      </c>
      <c r="ED83" s="22">
        <f t="shared" si="72"/>
        <v>3.9717191415498645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348</v>
      </c>
      <c r="EH83" s="12">
        <f>VLOOKUP(A83,'Données projet'!$A$191:$I$211,9,0)</f>
        <v>7.4</v>
      </c>
      <c r="EI83" s="12">
        <f t="array" ref="EI83">INDEX(EH:EH,MIN(IF(ISNUMBER(EH83:EH279),ROW(EH83:EH279),"")))</f>
        <v>7.4</v>
      </c>
      <c r="EJ83" s="12">
        <f>IF('Données projet'!$A$192&gt;35,EJ82+EI83-ER82,IF(A83&lt;'Données projet'!$A$192,$EG$205^A83,IF(A83='Données projet'!$A$192,'Données projet'!$B$192,EJ82+EI83-ER82)))</f>
        <v>347.99999999999977</v>
      </c>
      <c r="EK83" s="17">
        <f>EJ83*VLOOKUP('Données projet'!$B$15,Paramètres!$A$1:$I$89,3,0)*VLOOKUP('Données projet'!$B$15,Paramètres!$A$1:$I$89,5,0)</f>
        <v>374.58719999999977</v>
      </c>
      <c r="EL83" s="13">
        <f t="shared" si="99"/>
        <v>86.605093818914398</v>
      </c>
      <c r="EM83" s="20">
        <f t="shared" si="73"/>
        <v>803.2432450679421</v>
      </c>
      <c r="EN83" s="59">
        <f t="shared" si="74"/>
        <v>1096.5765784012754</v>
      </c>
      <c r="EO83" s="59">
        <f ca="1">AVERAGE(OFFSET($EN$3,0,0,'Données projet'!$E$15+1,1))-AVERAGE(OFFSET($H$3,0,0,'Données projet'!$E$15+1,1))</f>
        <v>399.38728019348088</v>
      </c>
      <c r="EP83" s="59">
        <f t="shared" si="100"/>
        <v>289.54922160039791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56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1.0644724630725884</v>
      </c>
      <c r="EW83" s="21">
        <f>EXP(-LN(2)/25)*EW82+(1-EXP(-LN(2)/25))/(LN(2)/25)*Calculateur!ER83*Calculateur!ET83*VLOOKUP('Données projet'!$B$15,Paramètres!$A$1:$I$89,3,0)*0.475*44/12</f>
        <v>3.3556658173929899</v>
      </c>
      <c r="EX83" s="21">
        <f>EXP(-LN(2)/2)*EX82+(1-EXP(-LN(2)/2))/(LN(2)/2)*ER83*EU83*VLOOKUP('Données projet'!$B$15,Paramètres!$A$1:$I$89,3,0)*0.475*44/12</f>
        <v>7.641624980000352E-7</v>
      </c>
      <c r="EY83" s="22">
        <f t="shared" si="75"/>
        <v>4.4201390446280762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298.5999999999998</v>
      </c>
      <c r="O84" s="13">
        <f>N84*VLOOKUP('Données projet'!$B$9,Paramètres!$A$1:$I$89,3,0)*VLOOKUP('Données projet'!$B$9,Paramètres!$A$1:$I$89,5,0)</f>
        <v>270.17327999999981</v>
      </c>
      <c r="P84" s="13">
        <f t="shared" si="87"/>
        <v>64.886042303882988</v>
      </c>
      <c r="Q84" s="20">
        <f t="shared" si="54"/>
        <v>583.56165301259591</v>
      </c>
      <c r="R84" s="59">
        <f t="shared" si="55"/>
        <v>876.89498634592928</v>
      </c>
      <c r="S84" s="59">
        <f ca="1">AVERAGE(OFFSET($R$3,0,0,'Données projet'!$E$9+1,1))-AVERAGE(OFFSET($H$3,0,0,'Données projet'!$E$9+1,1))</f>
        <v>318.40875902853116</v>
      </c>
      <c r="T84" s="59">
        <f t="shared" si="88"/>
        <v>234.87694492493506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0.87722798297794224</v>
      </c>
      <c r="AA84" s="21">
        <f>EXP(-LN(2)/25)*AA83+(1-EXP(-LN(2)/25))/(LN(2)/25)*Calculateur!V84*Calculateur!X84*VLOOKUP('Données projet'!$B$9,Paramètres!$A$1:$I$89,3,0)*0.475*44/12</f>
        <v>2.7435722845025454</v>
      </c>
      <c r="AB84" s="21">
        <f>EXP(-LN(2)/2)*AB83+(1-EXP(-LN(2)/2))/(LN(2)/2)*V84*Y84*VLOOKUP('Données projet'!$B$9,Paramètres!$A$1:$I$89,3,0)*0.475*44/12</f>
        <v>4.5420260996127749E-7</v>
      </c>
      <c r="AC84" s="22">
        <f t="shared" si="57"/>
        <v>3.6208007216830973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243.38048563215585</v>
      </c>
      <c r="AO84" s="59">
        <f t="shared" si="90"/>
        <v>372.1604147006675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2.6619331897261698</v>
      </c>
      <c r="AV84" s="21">
        <f>EXP(-LN(2)/25)*AV83+(1-EXP(-LN(2)/25))/(LN(2)/25)*Calculateur!AQ84*Calculateur!AS84*VLOOKUP('Données projet'!$B$10,Paramètres!$A$1:$I$89,3,0)*0.475*44/12</f>
        <v>4.7082404769743054</v>
      </c>
      <c r="AW84" s="21">
        <f>EXP(-LN(2)/2)*AW83+(1-EXP(-LN(2)/2))/(LN(2)/2)*AQ84*AT84*VLOOKUP('Données projet'!$B$10,Paramètres!$A$1:$I$89,3,0)*0.475*44/12</f>
        <v>6.1776615106160637E-7</v>
      </c>
      <c r="AX84" s="21">
        <f t="shared" si="60"/>
        <v>7.3701742844666267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-5.1159076974727213E-13</v>
      </c>
      <c r="BE84" s="13">
        <f>BD84*VLOOKUP('Données projet'!$B$11,Paramètres!$A$1:$I$89,3,0)*VLOOKUP('Données projet'!$B$11,Paramètres!$A$1:$I$89,5,0)</f>
        <v>-3.4317508834647017E-13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207.93042467236967</v>
      </c>
      <c r="BJ84" s="59">
        <f t="shared" si="92"/>
        <v>250.70954318710835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1.0020061012463561</v>
      </c>
      <c r="BQ84" s="21">
        <f>EXP(-LN(2)/25)*BQ83+(1-EXP(-LN(2)/25))/(LN(2)/25)*Calculateur!BL84*Calculateur!BN84*VLOOKUP('Données projet'!$B$11,Paramètres!$A$1:$I$89,3,0)*0.475*44/12</f>
        <v>4.2069372730194257</v>
      </c>
      <c r="BR84" s="21">
        <f>EXP(-LN(2)/2)*BR83+(1-EXP(-LN(2)/2))/(LN(2)/2)*BL84*BO84*VLOOKUP('Données projet'!$B$11,Paramètres!$A$1:$I$89,3,0)*0.475*44/12</f>
        <v>4.2712049024474139E-7</v>
      </c>
      <c r="BS84" s="22">
        <f t="shared" si="63"/>
        <v>5.2089438013862717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1.7053025658242404E-13</v>
      </c>
      <c r="BZ84" s="13">
        <f>BY84*VLOOKUP('Données projet'!$B$12,Paramètres!$A$1:$I$89,3,0)*VLOOKUP('Données projet'!$B$12,Paramètres!$A$1:$I$89,5,0)</f>
        <v>1.3301360013429075E-13</v>
      </c>
      <c r="CA84" s="13">
        <f t="shared" si="93"/>
        <v>1.9329766731057041E-12</v>
      </c>
      <c r="CB84" s="20">
        <f t="shared" si="64"/>
        <v>3.5982663925596575E-12</v>
      </c>
      <c r="CC84" s="59">
        <f t="shared" si="65"/>
        <v>293.3333333333369</v>
      </c>
      <c r="CD84" s="59">
        <f ca="1">AVERAGE(OFFSET($CC$3,0,0,'Données projet'!$E$12+1,1))-AVERAGE(OFFSET($H$3,0,0,'Données projet'!$E$12+1,1))</f>
        <v>266.30229009596883</v>
      </c>
      <c r="CE84" s="59">
        <f t="shared" si="94"/>
        <v>270.19195828386046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0.52666088879525497</v>
      </c>
      <c r="CL84" s="21">
        <f>EXP(-LN(2)/25)*CL83+(1-EXP(-LN(2)/25))/(LN(2)/25)*Calculateur!CG84*Calculateur!CI84*VLOOKUP('Données projet'!$B$12,Paramètres!$A$1:$I$89,3,0)*0.475*44/12</f>
        <v>2.0354561707334753</v>
      </c>
      <c r="CM84" s="21">
        <f>EXP(-LN(2)/2)*CM83+(1-EXP(-LN(2)/2))/(LN(2)/2)*CG84*CJ84*VLOOKUP('Données projet'!$B$12,Paramètres!$A$1:$I$89,3,0)*0.475*44/12</f>
        <v>2.7545451316044059E-7</v>
      </c>
      <c r="CN84" s="22">
        <f t="shared" si="66"/>
        <v>2.5621173349832431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-5.1159076974727213E-13</v>
      </c>
      <c r="CU84" s="17">
        <f>CT84*VLOOKUP('Données projet'!$B$13,Paramètres!$A$1:$I$89,3,0)*VLOOKUP('Données projet'!$B$13,Paramètres!$A$1:$I$89,5,0)</f>
        <v>-4.0702161641092972E-13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260.20517190557814</v>
      </c>
      <c r="CZ84" s="59">
        <f t="shared" si="96"/>
        <v>307.22009971147133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1.1884258410131214</v>
      </c>
      <c r="DG84" s="21">
        <f>EXP(-LN(2)/25)*DG83+(1-EXP(-LN(2)/25))/(LN(2)/25)*Calculateur!DB84*Calculateur!DD84*VLOOKUP('Données projet'!$B$13,Paramètres!$A$1:$I$89,3,0)*0.475*44/12</f>
        <v>4.9896232773021039</v>
      </c>
      <c r="DH84" s="21">
        <f>EXP(-LN(2)/2)*DH83+(1-EXP(-LN(2)/2))/(LN(2)/2)*DB84*DE84*VLOOKUP('Données projet'!$B$13,Paramètres!$A$1:$I$89,3,0)*0.475*44/12</f>
        <v>5.0658476749957702E-7</v>
      </c>
      <c r="DI84" s="22">
        <f t="shared" si="69"/>
        <v>6.1780496248999937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6.6</v>
      </c>
      <c r="DO84" s="12">
        <f>IF('Données projet'!$A$166&gt;35,DO83+DN84-DW83,IF(A84&lt;'Données projet'!$A$166,$DL$205^A84,IF(A84='Données projet'!$A$166,'Données projet'!$B$166,DO83+DN84-DW83)))</f>
        <v>298.5999999999998</v>
      </c>
      <c r="DP84" s="17">
        <f>DO84*VLOOKUP('Données projet'!$B$14,Paramètres!$A$1:$I$89,3,0)*VLOOKUP('Données projet'!$B$14,Paramètres!$A$1:$I$89,5,0)</f>
        <v>288.80591999999979</v>
      </c>
      <c r="DQ84" s="13">
        <f t="shared" si="97"/>
        <v>68.824585908996056</v>
      </c>
      <c r="DR84" s="20">
        <f t="shared" si="70"/>
        <v>622.87313112483434</v>
      </c>
      <c r="DS84" s="59">
        <f t="shared" si="71"/>
        <v>916.2064644581676</v>
      </c>
      <c r="DT84" s="59">
        <f ca="1">AVERAGE(OFFSET($DS$3,0,0,'Données projet'!$E$14+1,1))-AVERAGE(OFFSET($H$3,0,0,'Données projet'!$E$14+1,1))</f>
        <v>347.8889410585312</v>
      </c>
      <c r="DU84" s="59">
        <f t="shared" si="98"/>
        <v>254.78167322479203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0.93772646456262865</v>
      </c>
      <c r="EB84" s="21">
        <f>EXP(-LN(2)/25)*EB83+(1-EXP(-LN(2)/25))/(LN(2)/25)*Calculateur!DW84*Calculateur!DY84*VLOOKUP('Données projet'!$B$14,Paramètres!$A$1:$I$89,3,0)*0.475*44/12</f>
        <v>2.932784166192377</v>
      </c>
      <c r="EC84" s="21">
        <f>EXP(-LN(2)/2)*EC83+(1-EXP(-LN(2)/2))/(LN(2)/2)*DW84*DZ84*VLOOKUP('Données projet'!$B$14,Paramètres!$A$1:$I$89,3,0)*0.475*44/12</f>
        <v>4.8552692788963966E-7</v>
      </c>
      <c r="ED84" s="22">
        <f t="shared" si="72"/>
        <v>3.8705111162819339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6.6</v>
      </c>
      <c r="EJ84" s="12">
        <f>IF('Données projet'!$A$192&gt;35,EJ83+EI84-ER83,IF(A84&lt;'Données projet'!$A$192,$EG$205^A84,IF(A84='Données projet'!$A$192,'Données projet'!$B$192,EJ83+EI84-ER83)))</f>
        <v>298.5999999999998</v>
      </c>
      <c r="EK84" s="17">
        <f>EJ84*VLOOKUP('Données projet'!$B$15,Paramètres!$A$1:$I$89,3,0)*VLOOKUP('Données projet'!$B$15,Paramètres!$A$1:$I$89,5,0)</f>
        <v>321.4130399999998</v>
      </c>
      <c r="EL84" s="13">
        <f t="shared" si="99"/>
        <v>75.647288679523129</v>
      </c>
      <c r="EM84" s="20">
        <f t="shared" si="73"/>
        <v>691.54673911683574</v>
      </c>
      <c r="EN84" s="59">
        <f t="shared" si="74"/>
        <v>984.88007245016911</v>
      </c>
      <c r="EO84" s="59">
        <f ca="1">AVERAGE(OFFSET($EN$3,0,0,'Données projet'!$E$15+1,1))-AVERAGE(OFFSET($H$3,0,0,'Données projet'!$E$15+1,1))</f>
        <v>399.38728019348088</v>
      </c>
      <c r="EP84" s="59">
        <f t="shared" si="100"/>
        <v>289.54922160039791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1.0435988073358278</v>
      </c>
      <c r="EW84" s="21">
        <f>EXP(-LN(2)/25)*EW83+(1-EXP(-LN(2)/25))/(LN(2)/25)*Calculateur!ER84*Calculateur!ET84*VLOOKUP('Données projet'!$B$15,Paramètres!$A$1:$I$89,3,0)*0.475*44/12</f>
        <v>3.2639049591495826</v>
      </c>
      <c r="EX84" s="21">
        <f>EXP(-LN(2)/2)*EX83+(1-EXP(-LN(2)/2))/(LN(2)/2)*ER84*EU84*VLOOKUP('Données projet'!$B$15,Paramètres!$A$1:$I$89,3,0)*0.475*44/12</f>
        <v>5.4034448426427644E-7</v>
      </c>
      <c r="EY84" s="22">
        <f t="shared" si="75"/>
        <v>4.3075043068298946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305.19999999999982</v>
      </c>
      <c r="O85" s="13">
        <f>N85*VLOOKUP('Données projet'!$B$9,Paramètres!$A$1:$I$89,3,0)*VLOOKUP('Données projet'!$B$9,Paramètres!$A$1:$I$89,5,0)</f>
        <v>276.1449599999998</v>
      </c>
      <c r="P85" s="13">
        <f t="shared" si="87"/>
        <v>66.151671938851194</v>
      </c>
      <c r="Q85" s="20">
        <f t="shared" si="54"/>
        <v>596.16663396016543</v>
      </c>
      <c r="R85" s="59">
        <f t="shared" si="55"/>
        <v>889.49996729349868</v>
      </c>
      <c r="S85" s="59">
        <f ca="1">AVERAGE(OFFSET($R$3,0,0,'Données projet'!$E$9+1,1))-AVERAGE(OFFSET($H$3,0,0,'Données projet'!$E$9+1,1))</f>
        <v>318.40875902853116</v>
      </c>
      <c r="T85" s="59">
        <f t="shared" si="88"/>
        <v>234.87694492493506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0.86002607728798197</v>
      </c>
      <c r="AA85" s="21">
        <f>EXP(-LN(2)/25)*AA84+(1-EXP(-LN(2)/25))/(LN(2)/25)*Calculateur!V85*Calculateur!X85*VLOOKUP('Données projet'!$B$9,Paramètres!$A$1:$I$89,3,0)*0.475*44/12</f>
        <v>2.6685491561046275</v>
      </c>
      <c r="AB85" s="21">
        <f>EXP(-LN(2)/2)*AB84+(1-EXP(-LN(2)/2))/(LN(2)/2)*V85*Y85*VLOOKUP('Données projet'!$B$9,Paramètres!$A$1:$I$89,3,0)*0.475*44/12</f>
        <v>3.2116974553624786E-7</v>
      </c>
      <c r="AC85" s="22">
        <f t="shared" si="57"/>
        <v>3.5285755545623547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243.38048563215585</v>
      </c>
      <c r="AO85" s="59">
        <f t="shared" si="90"/>
        <v>372.1604147006675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2.6097343034945664</v>
      </c>
      <c r="AV85" s="21">
        <f>EXP(-LN(2)/25)*AV84+(1-EXP(-LN(2)/25))/(LN(2)/25)*Calculateur!AQ85*Calculateur!AS85*VLOOKUP('Données projet'!$B$10,Paramètres!$A$1:$I$89,3,0)*0.475*44/12</f>
        <v>4.5794933935358371</v>
      </c>
      <c r="AW85" s="21">
        <f>EXP(-LN(2)/2)*AW84+(1-EXP(-LN(2)/2))/(LN(2)/2)*AQ85*AT85*VLOOKUP('Données projet'!$B$10,Paramètres!$A$1:$I$89,3,0)*0.475*44/12</f>
        <v>4.3682663460317496E-7</v>
      </c>
      <c r="AX85" s="21">
        <f t="shared" si="60"/>
        <v>7.1892281338570383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-5.1159076974727213E-13</v>
      </c>
      <c r="BE85" s="13">
        <f>BD85*VLOOKUP('Données projet'!$B$11,Paramètres!$A$1:$I$89,3,0)*VLOOKUP('Données projet'!$B$11,Paramètres!$A$1:$I$89,5,0)</f>
        <v>-3.4317508834647017E-13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207.93042467236967</v>
      </c>
      <c r="BJ85" s="59">
        <f t="shared" si="92"/>
        <v>250.70954318710835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0.98235737276428947</v>
      </c>
      <c r="BQ85" s="21">
        <f>EXP(-LN(2)/25)*BQ84+(1-EXP(-LN(2)/25))/(LN(2)/25)*Calculateur!BL85*Calculateur!BN85*VLOOKUP('Données projet'!$B$11,Paramètres!$A$1:$I$89,3,0)*0.475*44/12</f>
        <v>4.0918983520554937</v>
      </c>
      <c r="BR85" s="21">
        <f>EXP(-LN(2)/2)*BR84+(1-EXP(-LN(2)/2))/(LN(2)/2)*BL85*BO85*VLOOKUP('Données projet'!$B$11,Paramètres!$A$1:$I$89,3,0)*0.475*44/12</f>
        <v>3.0201979503577925E-7</v>
      </c>
      <c r="BS85" s="22">
        <f t="shared" si="63"/>
        <v>5.0742560268395778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1.7053025658242404E-13</v>
      </c>
      <c r="BZ85" s="13">
        <f>BY85*VLOOKUP('Données projet'!$B$12,Paramètres!$A$1:$I$89,3,0)*VLOOKUP('Données projet'!$B$12,Paramètres!$A$1:$I$89,5,0)</f>
        <v>1.3301360013429075E-13</v>
      </c>
      <c r="CA85" s="13">
        <f t="shared" si="93"/>
        <v>1.9329766731057041E-12</v>
      </c>
      <c r="CB85" s="20">
        <f t="shared" si="64"/>
        <v>3.5982663925596575E-12</v>
      </c>
      <c r="CC85" s="59">
        <f t="shared" si="65"/>
        <v>293.3333333333369</v>
      </c>
      <c r="CD85" s="59">
        <f ca="1">AVERAGE(OFFSET($CC$3,0,0,'Données projet'!$E$12+1,1))-AVERAGE(OFFSET($H$3,0,0,'Données projet'!$E$12+1,1))</f>
        <v>266.30229009596883</v>
      </c>
      <c r="CE85" s="59">
        <f t="shared" si="94"/>
        <v>270.19195828386046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0.51633338999740319</v>
      </c>
      <c r="CL85" s="21">
        <f>EXP(-LN(2)/25)*CL84+(1-EXP(-LN(2)/25))/(LN(2)/25)*Calculateur!CG85*Calculateur!CI85*VLOOKUP('Données projet'!$B$12,Paramètres!$A$1:$I$89,3,0)*0.475*44/12</f>
        <v>1.9797965147047805</v>
      </c>
      <c r="CM85" s="21">
        <f>EXP(-LN(2)/2)*CM84+(1-EXP(-LN(2)/2))/(LN(2)/2)*CG85*CJ85*VLOOKUP('Données projet'!$B$12,Paramètres!$A$1:$I$89,3,0)*0.475*44/12</f>
        <v>1.9477575416418665E-7</v>
      </c>
      <c r="CN85" s="22">
        <f t="shared" si="66"/>
        <v>2.4961300994779378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-5.1159076974727213E-13</v>
      </c>
      <c r="CU85" s="17">
        <f>CT85*VLOOKUP('Données projet'!$B$13,Paramètres!$A$1:$I$89,3,0)*VLOOKUP('Données projet'!$B$13,Paramètres!$A$1:$I$89,5,0)</f>
        <v>-4.0702161641092972E-13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260.20517190557814</v>
      </c>
      <c r="CZ85" s="59">
        <f t="shared" si="96"/>
        <v>307.22009971147133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1.1651215351390423</v>
      </c>
      <c r="DG85" s="21">
        <f>EXP(-LN(2)/25)*DG84+(1-EXP(-LN(2)/25))/(LN(2)/25)*Calculateur!DB85*Calculateur!DD85*VLOOKUP('Données projet'!$B$13,Paramètres!$A$1:$I$89,3,0)*0.475*44/12</f>
        <v>4.8531817663913932</v>
      </c>
      <c r="DH85" s="21">
        <f>EXP(-LN(2)/2)*DH84+(1-EXP(-LN(2)/2))/(LN(2)/2)*DB85*DE85*VLOOKUP('Données projet'!$B$13,Paramètres!$A$1:$I$89,3,0)*0.475*44/12</f>
        <v>3.5820952434476146E-7</v>
      </c>
      <c r="DI85" s="22">
        <f t="shared" si="69"/>
        <v>6.01830365973996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6.6</v>
      </c>
      <c r="DO85" s="12">
        <f>IF('Données projet'!$A$166&gt;35,DO84+DN85-DW84,IF(A85&lt;'Données projet'!$A$166,$DL$205^A85,IF(A85='Données projet'!$A$166,'Données projet'!$B$166,DO84+DN85-DW84)))</f>
        <v>305.19999999999982</v>
      </c>
      <c r="DP85" s="17">
        <f>DO85*VLOOKUP('Données projet'!$B$14,Paramètres!$A$1:$I$89,3,0)*VLOOKUP('Données projet'!$B$14,Paramètres!$A$1:$I$89,5,0)</f>
        <v>295.18943999999982</v>
      </c>
      <c r="DQ85" s="13">
        <f t="shared" si="97"/>
        <v>70.167038498921158</v>
      </c>
      <c r="DR85" s="20">
        <f t="shared" si="70"/>
        <v>636.32920005228732</v>
      </c>
      <c r="DS85" s="59">
        <f t="shared" si="71"/>
        <v>929.66253338562069</v>
      </c>
      <c r="DT85" s="59">
        <f ca="1">AVERAGE(OFFSET($DS$3,0,0,'Données projet'!$E$14+1,1))-AVERAGE(OFFSET($H$3,0,0,'Données projet'!$E$14+1,1))</f>
        <v>347.8889410585312</v>
      </c>
      <c r="DU85" s="59">
        <f t="shared" si="98"/>
        <v>254.78167322479203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0.91933822054922287</v>
      </c>
      <c r="EB85" s="21">
        <f>EXP(-LN(2)/25)*EB84+(1-EXP(-LN(2)/25))/(LN(2)/25)*Calculateur!DW85*Calculateur!DY85*VLOOKUP('Données projet'!$B$14,Paramètres!$A$1:$I$89,3,0)*0.475*44/12</f>
        <v>2.8525870289394302</v>
      </c>
      <c r="EC85" s="21">
        <f>EXP(-LN(2)/2)*EC84+(1-EXP(-LN(2)/2))/(LN(2)/2)*DW85*DZ85*VLOOKUP('Données projet'!$B$14,Paramètres!$A$1:$I$89,3,0)*0.475*44/12</f>
        <v>3.4331938315943608E-7</v>
      </c>
      <c r="ED85" s="22">
        <f t="shared" si="72"/>
        <v>3.7719255928080364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6.6</v>
      </c>
      <c r="EJ85" s="12">
        <f>IF('Données projet'!$A$192&gt;35,EJ84+EI85-ER84,IF(A85&lt;'Données projet'!$A$192,$EG$205^A85,IF(A85='Données projet'!$A$192,'Données projet'!$B$192,EJ84+EI85-ER84)))</f>
        <v>305.19999999999982</v>
      </c>
      <c r="EK85" s="17">
        <f>EJ85*VLOOKUP('Données projet'!$B$15,Paramètres!$A$1:$I$89,3,0)*VLOOKUP('Données projet'!$B$15,Paramètres!$A$1:$I$89,5,0)</f>
        <v>328.5172799999998</v>
      </c>
      <c r="EL85" s="13">
        <f t="shared" si="99"/>
        <v>77.122820965949401</v>
      </c>
      <c r="EM85" s="20">
        <f t="shared" si="73"/>
        <v>706.48984251569482</v>
      </c>
      <c r="EN85" s="59">
        <f t="shared" si="74"/>
        <v>999.82317584902808</v>
      </c>
      <c r="EO85" s="59">
        <f ca="1">AVERAGE(OFFSET($EN$3,0,0,'Données projet'!$E$15+1,1))-AVERAGE(OFFSET($H$3,0,0,'Données projet'!$E$15+1,1))</f>
        <v>399.38728019348088</v>
      </c>
      <c r="EP85" s="59">
        <f t="shared" si="100"/>
        <v>289.54922160039791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1.0231344712563923</v>
      </c>
      <c r="EW85" s="21">
        <f>EXP(-LN(2)/25)*EW84+(1-EXP(-LN(2)/25))/(LN(2)/25)*Calculateur!ER85*Calculateur!ET85*VLOOKUP('Données projet'!$B$15,Paramètres!$A$1:$I$89,3,0)*0.475*44/12</f>
        <v>3.1746533064003351</v>
      </c>
      <c r="EX85" s="21">
        <f>EXP(-LN(2)/2)*EX84+(1-EXP(-LN(2)/2))/(LN(2)/2)*ER85*EU85*VLOOKUP('Données projet'!$B$15,Paramètres!$A$1:$I$89,3,0)*0.475*44/12</f>
        <v>3.820812490000176E-7</v>
      </c>
      <c r="EY85" s="22">
        <f t="shared" si="75"/>
        <v>4.1977881597379767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311.79999999999984</v>
      </c>
      <c r="O86" s="13">
        <f>N86*VLOOKUP('Données projet'!$B$9,Paramètres!$A$1:$I$89,3,0)*VLOOKUP('Données projet'!$B$9,Paramètres!$A$1:$I$89,5,0)</f>
        <v>282.11663999999985</v>
      </c>
      <c r="P86" s="13">
        <f t="shared" si="87"/>
        <v>67.414119514142243</v>
      </c>
      <c r="Q86" s="20">
        <f t="shared" si="54"/>
        <v>608.76607282046416</v>
      </c>
      <c r="R86" s="59">
        <f t="shared" si="55"/>
        <v>902.09940615379742</v>
      </c>
      <c r="S86" s="59">
        <f ca="1">AVERAGE(OFFSET($R$3,0,0,'Données projet'!$E$9+1,1))-AVERAGE(OFFSET($H$3,0,0,'Données projet'!$E$9+1,1))</f>
        <v>318.40875902853116</v>
      </c>
      <c r="T86" s="59">
        <f t="shared" si="88"/>
        <v>234.87694492493506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0.84316149047647537</v>
      </c>
      <c r="AA86" s="21">
        <f>EXP(-LN(2)/25)*AA85+(1-EXP(-LN(2)/25))/(LN(2)/25)*Calculateur!V86*Calculateur!X86*VLOOKUP('Données projet'!$B$9,Paramètres!$A$1:$I$89,3,0)*0.475*44/12</f>
        <v>2.5955775390980453</v>
      </c>
      <c r="AB86" s="21">
        <f>EXP(-LN(2)/2)*AB85+(1-EXP(-LN(2)/2))/(LN(2)/2)*V86*Y86*VLOOKUP('Données projet'!$B$9,Paramètres!$A$1:$I$89,3,0)*0.475*44/12</f>
        <v>2.2710130498063877E-7</v>
      </c>
      <c r="AC86" s="22">
        <f t="shared" si="57"/>
        <v>3.4387392566758255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243.38048563215585</v>
      </c>
      <c r="AO86" s="59">
        <f t="shared" si="90"/>
        <v>372.1604147006675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2.5585590055837879</v>
      </c>
      <c r="AV86" s="21">
        <f>EXP(-LN(2)/25)*AV85+(1-EXP(-LN(2)/25))/(LN(2)/25)*Calculateur!AQ86*Calculateur!AS86*VLOOKUP('Données projet'!$B$10,Paramètres!$A$1:$I$89,3,0)*0.475*44/12</f>
        <v>4.4542669058645084</v>
      </c>
      <c r="AW86" s="21">
        <f>EXP(-LN(2)/2)*AW85+(1-EXP(-LN(2)/2))/(LN(2)/2)*AQ86*AT86*VLOOKUP('Données projet'!$B$10,Paramètres!$A$1:$I$89,3,0)*0.475*44/12</f>
        <v>3.0888307553080318E-7</v>
      </c>
      <c r="AX86" s="21">
        <f t="shared" si="60"/>
        <v>7.0128262203313714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-5.1159076974727213E-13</v>
      </c>
      <c r="BE86" s="13">
        <f>BD86*VLOOKUP('Données projet'!$B$11,Paramètres!$A$1:$I$89,3,0)*VLOOKUP('Données projet'!$B$11,Paramètres!$A$1:$I$89,5,0)</f>
        <v>-3.4317508834647017E-13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207.93042467236967</v>
      </c>
      <c r="BJ86" s="59">
        <f t="shared" si="92"/>
        <v>250.70954318710835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0.96309394386321512</v>
      </c>
      <c r="BQ86" s="21">
        <f>EXP(-LN(2)/25)*BQ85+(1-EXP(-LN(2)/25))/(LN(2)/25)*Calculateur!BL86*Calculateur!BN86*VLOOKUP('Données projet'!$B$11,Paramètres!$A$1:$I$89,3,0)*0.475*44/12</f>
        <v>3.980005176434954</v>
      </c>
      <c r="BR86" s="21">
        <f>EXP(-LN(2)/2)*BR85+(1-EXP(-LN(2)/2))/(LN(2)/2)*BL86*BO86*VLOOKUP('Données projet'!$B$11,Paramètres!$A$1:$I$89,3,0)*0.475*44/12</f>
        <v>2.1356024512237069E-7</v>
      </c>
      <c r="BS86" s="22">
        <f t="shared" si="63"/>
        <v>4.9430993338584139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1.7053025658242404E-13</v>
      </c>
      <c r="BZ86" s="13">
        <f>BY86*VLOOKUP('Données projet'!$B$12,Paramètres!$A$1:$I$89,3,0)*VLOOKUP('Données projet'!$B$12,Paramètres!$A$1:$I$89,5,0)</f>
        <v>1.3301360013429075E-13</v>
      </c>
      <c r="CA86" s="13">
        <f t="shared" si="93"/>
        <v>1.9329766731057041E-12</v>
      </c>
      <c r="CB86" s="20">
        <f t="shared" si="64"/>
        <v>3.5982663925596575E-12</v>
      </c>
      <c r="CC86" s="59">
        <f t="shared" si="65"/>
        <v>293.3333333333369</v>
      </c>
      <c r="CD86" s="59">
        <f ca="1">AVERAGE(OFFSET($CC$3,0,0,'Données projet'!$E$12+1,1))-AVERAGE(OFFSET($H$3,0,0,'Données projet'!$E$12+1,1))</f>
        <v>266.30229009596883</v>
      </c>
      <c r="CE86" s="59">
        <f t="shared" si="94"/>
        <v>270.19195828386046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0.50620840715182502</v>
      </c>
      <c r="CL86" s="21">
        <f>EXP(-LN(2)/25)*CL85+(1-EXP(-LN(2)/25))/(LN(2)/25)*Calculateur!CG86*Calculateur!CI86*VLOOKUP('Données projet'!$B$12,Paramètres!$A$1:$I$89,3,0)*0.475*44/12</f>
        <v>1.9256588748972043</v>
      </c>
      <c r="CM86" s="21">
        <f>EXP(-LN(2)/2)*CM85+(1-EXP(-LN(2)/2))/(LN(2)/2)*CG86*CJ86*VLOOKUP('Données projet'!$B$12,Paramètres!$A$1:$I$89,3,0)*0.475*44/12</f>
        <v>1.377272565802203E-7</v>
      </c>
      <c r="CN86" s="22">
        <f t="shared" si="66"/>
        <v>2.4318674197762862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-5.1159076974727213E-13</v>
      </c>
      <c r="CU86" s="17">
        <f>CT86*VLOOKUP('Données projet'!$B$13,Paramètres!$A$1:$I$89,3,0)*VLOOKUP('Données projet'!$B$13,Paramètres!$A$1:$I$89,5,0)</f>
        <v>-4.0702161641092972E-13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260.20517190557814</v>
      </c>
      <c r="CZ86" s="59">
        <f t="shared" si="96"/>
        <v>307.22009971147133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1.1422742124889309</v>
      </c>
      <c r="DG86" s="21">
        <f>EXP(-LN(2)/25)*DG85+(1-EXP(-LN(2)/25))/(LN(2)/25)*Calculateur!DB86*Calculateur!DD86*VLOOKUP('Données projet'!$B$13,Paramètres!$A$1:$I$89,3,0)*0.475*44/12</f>
        <v>4.7204712557716837</v>
      </c>
      <c r="DH86" s="21">
        <f>EXP(-LN(2)/2)*DH85+(1-EXP(-LN(2)/2))/(LN(2)/2)*DB86*DE86*VLOOKUP('Données projet'!$B$13,Paramètres!$A$1:$I$89,3,0)*0.475*44/12</f>
        <v>2.5329238374978851E-7</v>
      </c>
      <c r="DI86" s="22">
        <f t="shared" si="69"/>
        <v>5.8627457215529981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6.6</v>
      </c>
      <c r="DO86" s="12">
        <f>IF('Données projet'!$A$166&gt;35,DO85+DN86-DW85,IF(A86&lt;'Données projet'!$A$166,$DL$205^A86,IF(A86='Données projet'!$A$166,'Données projet'!$B$166,DO85+DN86-DW85)))</f>
        <v>311.79999999999984</v>
      </c>
      <c r="DP86" s="17">
        <f>DO86*VLOOKUP('Données projet'!$B$14,Paramètres!$A$1:$I$89,3,0)*VLOOKUP('Données projet'!$B$14,Paramètres!$A$1:$I$89,5,0)</f>
        <v>301.57295999999985</v>
      </c>
      <c r="DQ86" s="13">
        <f t="shared" si="97"/>
        <v>71.506115880067313</v>
      </c>
      <c r="DR86" s="20">
        <f t="shared" si="70"/>
        <v>649.77939049111694</v>
      </c>
      <c r="DS86" s="59">
        <f t="shared" si="71"/>
        <v>943.11272382445031</v>
      </c>
      <c r="DT86" s="59">
        <f ca="1">AVERAGE(OFFSET($DS$3,0,0,'Données projet'!$E$14+1,1))-AVERAGE(OFFSET($H$3,0,0,'Données projet'!$E$14+1,1))</f>
        <v>347.8889410585312</v>
      </c>
      <c r="DU86" s="59">
        <f t="shared" si="98"/>
        <v>254.78167322479203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0.90131055878519861</v>
      </c>
      <c r="EB86" s="21">
        <f>EXP(-LN(2)/25)*EB85+(1-EXP(-LN(2)/25))/(LN(2)/25)*Calculateur!DW86*Calculateur!DY86*VLOOKUP('Données projet'!$B$14,Paramètres!$A$1:$I$89,3,0)*0.475*44/12</f>
        <v>2.7745828866220492</v>
      </c>
      <c r="EC86" s="21">
        <f>EXP(-LN(2)/2)*EC85+(1-EXP(-LN(2)/2))/(LN(2)/2)*DW86*DZ86*VLOOKUP('Données projet'!$B$14,Paramètres!$A$1:$I$89,3,0)*0.475*44/12</f>
        <v>2.4276346394481983E-7</v>
      </c>
      <c r="ED86" s="22">
        <f t="shared" si="72"/>
        <v>3.6758936881707118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6.6</v>
      </c>
      <c r="EJ86" s="12">
        <f>IF('Données projet'!$A$192&gt;35,EJ85+EI86-ER85,IF(A86&lt;'Données projet'!$A$192,$EG$205^A86,IF(A86='Données projet'!$A$192,'Données projet'!$B$192,EJ85+EI86-ER85)))</f>
        <v>311.79999999999984</v>
      </c>
      <c r="EK86" s="17">
        <f>EJ86*VLOOKUP('Données projet'!$B$15,Paramètres!$A$1:$I$89,3,0)*VLOOKUP('Données projet'!$B$15,Paramètres!$A$1:$I$89,5,0)</f>
        <v>335.6215199999998</v>
      </c>
      <c r="EL86" s="13">
        <f t="shared" si="99"/>
        <v>78.594643453188553</v>
      </c>
      <c r="EM86" s="20">
        <f t="shared" si="73"/>
        <v>721.42648468096968</v>
      </c>
      <c r="EN86" s="59">
        <f t="shared" si="74"/>
        <v>1014.7598180143029</v>
      </c>
      <c r="EO86" s="59">
        <f ca="1">AVERAGE(OFFSET($EN$3,0,0,'Données projet'!$E$15+1,1))-AVERAGE(OFFSET($H$3,0,0,'Données projet'!$E$15+1,1))</f>
        <v>399.38728019348088</v>
      </c>
      <c r="EP86" s="59">
        <f t="shared" si="100"/>
        <v>289.54922160039791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1.003071428325462</v>
      </c>
      <c r="EW86" s="21">
        <f>EXP(-LN(2)/25)*EW85+(1-EXP(-LN(2)/25))/(LN(2)/25)*Calculateur!ER86*Calculateur!ET86*VLOOKUP('Données projet'!$B$15,Paramètres!$A$1:$I$89,3,0)*0.475*44/12</f>
        <v>3.0878422447890563</v>
      </c>
      <c r="EX86" s="21">
        <f>EXP(-LN(2)/2)*EX85+(1-EXP(-LN(2)/2))/(LN(2)/2)*ER86*EU86*VLOOKUP('Données projet'!$B$15,Paramètres!$A$1:$I$89,3,0)*0.475*44/12</f>
        <v>2.7017224213213822E-7</v>
      </c>
      <c r="EY86" s="22">
        <f t="shared" si="75"/>
        <v>4.0909139432867603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318.39999999999986</v>
      </c>
      <c r="O87" s="13">
        <f>N87*VLOOKUP('Données projet'!$B$9,Paramètres!$A$1:$I$89,3,0)*VLOOKUP('Données projet'!$B$9,Paramètres!$A$1:$I$89,5,0)</f>
        <v>288.0883199999999</v>
      </c>
      <c r="P87" s="13">
        <f t="shared" si="87"/>
        <v>68.673460144735557</v>
      </c>
      <c r="Q87" s="20">
        <f t="shared" si="54"/>
        <v>621.36010041874761</v>
      </c>
      <c r="R87" s="59">
        <f t="shared" si="55"/>
        <v>914.69343375208086</v>
      </c>
      <c r="S87" s="59">
        <f ca="1">AVERAGE(OFFSET($R$3,0,0,'Données projet'!$E$9+1,1))-AVERAGE(OFFSET($H$3,0,0,'Données projet'!$E$9+1,1))</f>
        <v>318.40875902853116</v>
      </c>
      <c r="T87" s="59">
        <f t="shared" si="88"/>
        <v>234.87694492493506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0.82662760792596013</v>
      </c>
      <c r="AA87" s="21">
        <f>EXP(-LN(2)/25)*AA86+(1-EXP(-LN(2)/25))/(LN(2)/25)*Calculateur!V87*Calculateur!X87*VLOOKUP('Données projet'!$B$9,Paramètres!$A$1:$I$89,3,0)*0.475*44/12</f>
        <v>2.5246013347959186</v>
      </c>
      <c r="AB87" s="21">
        <f>EXP(-LN(2)/2)*AB86+(1-EXP(-LN(2)/2))/(LN(2)/2)*V87*Y87*VLOOKUP('Données projet'!$B$9,Paramètres!$A$1:$I$89,3,0)*0.475*44/12</f>
        <v>1.6058487276812396E-7</v>
      </c>
      <c r="AC87" s="22">
        <f t="shared" si="57"/>
        <v>3.3512291033067516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243.38048563215585</v>
      </c>
      <c r="AO87" s="59">
        <f t="shared" si="90"/>
        <v>372.1604147006675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2.50838722405119</v>
      </c>
      <c r="AV87" s="21">
        <f>EXP(-LN(2)/25)*AV86+(1-EXP(-LN(2)/25))/(LN(2)/25)*Calculateur!AQ87*Calculateur!AS87*VLOOKUP('Données projet'!$B$10,Paramètres!$A$1:$I$89,3,0)*0.475*44/12</f>
        <v>4.3324647430839276</v>
      </c>
      <c r="AW87" s="21">
        <f>EXP(-LN(2)/2)*AW86+(1-EXP(-LN(2)/2))/(LN(2)/2)*AQ87*AT87*VLOOKUP('Données projet'!$B$10,Paramètres!$A$1:$I$89,3,0)*0.475*44/12</f>
        <v>2.1841331730158748E-7</v>
      </c>
      <c r="AX87" s="21">
        <f t="shared" si="60"/>
        <v>6.8408521855484352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-5.1159076974727213E-13</v>
      </c>
      <c r="BE87" s="13">
        <f>BD87*VLOOKUP('Données projet'!$B$11,Paramètres!$A$1:$I$89,3,0)*VLOOKUP('Données projet'!$B$11,Paramètres!$A$1:$I$89,5,0)</f>
        <v>-3.4317508834647017E-13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207.93042467236967</v>
      </c>
      <c r="BJ87" s="59">
        <f t="shared" si="92"/>
        <v>250.70954318710835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0.94420825905335937</v>
      </c>
      <c r="BQ87" s="21">
        <f>EXP(-LN(2)/25)*BQ86+(1-EXP(-LN(2)/25))/(LN(2)/25)*Calculateur!BL87*Calculateur!BN87*VLOOKUP('Données projet'!$B$11,Paramètres!$A$1:$I$89,3,0)*0.475*44/12</f>
        <v>3.8711717255859646</v>
      </c>
      <c r="BR87" s="21">
        <f>EXP(-LN(2)/2)*BR86+(1-EXP(-LN(2)/2))/(LN(2)/2)*BL87*BO87*VLOOKUP('Données projet'!$B$11,Paramètres!$A$1:$I$89,3,0)*0.475*44/12</f>
        <v>1.5100989751788963E-7</v>
      </c>
      <c r="BS87" s="22">
        <f t="shared" si="63"/>
        <v>4.8153801356492218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1.7053025658242404E-13</v>
      </c>
      <c r="BZ87" s="13">
        <f>BY87*VLOOKUP('Données projet'!$B$12,Paramètres!$A$1:$I$89,3,0)*VLOOKUP('Données projet'!$B$12,Paramètres!$A$1:$I$89,5,0)</f>
        <v>1.3301360013429075E-13</v>
      </c>
      <c r="CA87" s="13">
        <f t="shared" si="93"/>
        <v>1.9329766731057041E-12</v>
      </c>
      <c r="CB87" s="20">
        <f t="shared" si="64"/>
        <v>3.5982663925596575E-12</v>
      </c>
      <c r="CC87" s="59">
        <f t="shared" si="65"/>
        <v>293.3333333333369</v>
      </c>
      <c r="CD87" s="59">
        <f ca="1">AVERAGE(OFFSET($CC$3,0,0,'Données projet'!$E$12+1,1))-AVERAGE(OFFSET($H$3,0,0,'Données projet'!$E$12+1,1))</f>
        <v>266.30229009596883</v>
      </c>
      <c r="CE87" s="59">
        <f t="shared" si="94"/>
        <v>270.19195828386046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0.4962819690442189</v>
      </c>
      <c r="CL87" s="21">
        <f>EXP(-LN(2)/25)*CL86+(1-EXP(-LN(2)/25))/(LN(2)/25)*Calculateur!CG87*Calculateur!CI87*VLOOKUP('Données projet'!$B$12,Paramètres!$A$1:$I$89,3,0)*0.475*44/12</f>
        <v>1.8730016316971412</v>
      </c>
      <c r="CM87" s="21">
        <f>EXP(-LN(2)/2)*CM86+(1-EXP(-LN(2)/2))/(LN(2)/2)*CG87*CJ87*VLOOKUP('Données projet'!$B$12,Paramètres!$A$1:$I$89,3,0)*0.475*44/12</f>
        <v>9.7387877082093324E-8</v>
      </c>
      <c r="CN87" s="22">
        <f t="shared" si="66"/>
        <v>2.3692836981292369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-5.1159076974727213E-13</v>
      </c>
      <c r="CU87" s="17">
        <f>CT87*VLOOKUP('Données projet'!$B$13,Paramètres!$A$1:$I$89,3,0)*VLOOKUP('Données projet'!$B$13,Paramètres!$A$1:$I$89,5,0)</f>
        <v>-4.0702161641092972E-13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260.20517190557814</v>
      </c>
      <c r="CZ87" s="59">
        <f t="shared" si="96"/>
        <v>307.22009971147133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1.1198749119004974</v>
      </c>
      <c r="DG87" s="21">
        <f>EXP(-LN(2)/25)*DG86+(1-EXP(-LN(2)/25))/(LN(2)/25)*Calculateur!DB87*Calculateur!DD87*VLOOKUP('Données projet'!$B$13,Paramètres!$A$1:$I$89,3,0)*0.475*44/12</f>
        <v>4.5913897210438126</v>
      </c>
      <c r="DH87" s="21">
        <f>EXP(-LN(2)/2)*DH86+(1-EXP(-LN(2)/2))/(LN(2)/2)*DB87*DE87*VLOOKUP('Données projet'!$B$13,Paramètres!$A$1:$I$89,3,0)*0.475*44/12</f>
        <v>1.7910476217238073E-7</v>
      </c>
      <c r="DI87" s="22">
        <f t="shared" si="69"/>
        <v>5.7112648120490723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6.6</v>
      </c>
      <c r="DO87" s="12">
        <f>IF('Données projet'!$A$166&gt;35,DO86+DN87-DW86,IF(A87&lt;'Données projet'!$A$166,$DL$205^A87,IF(A87='Données projet'!$A$166,'Données projet'!$B$166,DO86+DN87-DW86)))</f>
        <v>318.39999999999986</v>
      </c>
      <c r="DP87" s="17">
        <f>DO87*VLOOKUP('Données projet'!$B$14,Paramètres!$A$1:$I$89,3,0)*VLOOKUP('Données projet'!$B$14,Paramètres!$A$1:$I$89,5,0)</f>
        <v>307.95647999999989</v>
      </c>
      <c r="DQ87" s="13">
        <f t="shared" si="97"/>
        <v>72.841897726847819</v>
      </c>
      <c r="DR87" s="20">
        <f t="shared" si="70"/>
        <v>663.22384120759318</v>
      </c>
      <c r="DS87" s="59">
        <f t="shared" si="71"/>
        <v>956.55717454092655</v>
      </c>
      <c r="DT87" s="59">
        <f ca="1">AVERAGE(OFFSET($DS$3,0,0,'Données projet'!$E$14+1,1))-AVERAGE(OFFSET($H$3,0,0,'Données projet'!$E$14+1,1))</f>
        <v>347.8889410585312</v>
      </c>
      <c r="DU87" s="59">
        <f t="shared" si="98"/>
        <v>254.78167322479203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0.88363640847257885</v>
      </c>
      <c r="EB87" s="21">
        <f>EXP(-LN(2)/25)*EB86+(1-EXP(-LN(2)/25))/(LN(2)/25)*Calculateur!DW87*Calculateur!DY87*VLOOKUP('Données projet'!$B$14,Paramètres!$A$1:$I$89,3,0)*0.475*44/12</f>
        <v>2.6987117716783966</v>
      </c>
      <c r="EC87" s="21">
        <f>EXP(-LN(2)/2)*EC86+(1-EXP(-LN(2)/2))/(LN(2)/2)*DW87*DZ87*VLOOKUP('Données projet'!$B$14,Paramètres!$A$1:$I$89,3,0)*0.475*44/12</f>
        <v>1.7165969157971804E-7</v>
      </c>
      <c r="ED87" s="22">
        <f t="shared" si="72"/>
        <v>3.5823483518106674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6.6</v>
      </c>
      <c r="EJ87" s="12">
        <f>IF('Données projet'!$A$192&gt;35,EJ86+EI87-ER86,IF(A87&lt;'Données projet'!$A$192,$EG$205^A87,IF(A87='Données projet'!$A$192,'Données projet'!$B$192,EJ86+EI87-ER86)))</f>
        <v>318.39999999999986</v>
      </c>
      <c r="EK87" s="17">
        <f>EJ87*VLOOKUP('Données projet'!$B$15,Paramètres!$A$1:$I$89,3,0)*VLOOKUP('Données projet'!$B$15,Paramètres!$A$1:$I$89,5,0)</f>
        <v>342.72575999999981</v>
      </c>
      <c r="EL87" s="13">
        <f t="shared" si="99"/>
        <v>80.062843713919264</v>
      </c>
      <c r="EM87" s="20">
        <f t="shared" si="73"/>
        <v>736.35681813507574</v>
      </c>
      <c r="EN87" s="59">
        <f t="shared" si="74"/>
        <v>1029.6901514684091</v>
      </c>
      <c r="EO87" s="59">
        <f ca="1">AVERAGE(OFFSET($EN$3,0,0,'Données projet'!$E$15+1,1))-AVERAGE(OFFSET($H$3,0,0,'Données projet'!$E$15+1,1))</f>
        <v>399.38728019348088</v>
      </c>
      <c r="EP87" s="59">
        <f t="shared" si="100"/>
        <v>289.54922160039791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0.98340180942915945</v>
      </c>
      <c r="EW87" s="21">
        <f>EXP(-LN(2)/25)*EW86+(1-EXP(-LN(2)/25))/(LN(2)/25)*Calculateur!ER87*Calculateur!ET87*VLOOKUP('Données projet'!$B$15,Paramètres!$A$1:$I$89,3,0)*0.475*44/12</f>
        <v>3.0034050362227331</v>
      </c>
      <c r="EX87" s="21">
        <f>EXP(-LN(2)/2)*EX86+(1-EXP(-LN(2)/2))/(LN(2)/2)*ER87*EU87*VLOOKUP('Données projet'!$B$15,Paramètres!$A$1:$I$89,3,0)*0.475*44/12</f>
        <v>1.910406245000088E-7</v>
      </c>
      <c r="EY87" s="22">
        <f t="shared" si="75"/>
        <v>3.9868070366925172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324.99999999999989</v>
      </c>
      <c r="O88" s="13">
        <f>N88*VLOOKUP('Données projet'!$B$9,Paramètres!$A$1:$I$89,3,0)*VLOOKUP('Données projet'!$B$9,Paramètres!$A$1:$I$89,5,0)</f>
        <v>294.05999999999989</v>
      </c>
      <c r="P88" s="13">
        <f t="shared" si="87"/>
        <v>69.929765653573313</v>
      </c>
      <c r="Q88" s="20">
        <f t="shared" si="54"/>
        <v>633.94884184663999</v>
      </c>
      <c r="R88" s="59">
        <f t="shared" si="55"/>
        <v>927.28217517997336</v>
      </c>
      <c r="S88" s="59">
        <f ca="1">AVERAGE(OFFSET($R$3,0,0,'Données projet'!$E$9+1,1))-AVERAGE(OFFSET($H$3,0,0,'Données projet'!$E$9+1,1))</f>
        <v>318.40875902853116</v>
      </c>
      <c r="T88" s="59">
        <f t="shared" si="88"/>
        <v>234.87694492493506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0.81041794472758799</v>
      </c>
      <c r="AA88" s="21">
        <f>EXP(-LN(2)/25)*AA87+(1-EXP(-LN(2)/25))/(LN(2)/25)*Calculateur!V88*Calculateur!X88*VLOOKUP('Données projet'!$B$9,Paramètres!$A$1:$I$89,3,0)*0.475*44/12</f>
        <v>2.4555659785329103</v>
      </c>
      <c r="AB88" s="21">
        <f>EXP(-LN(2)/2)*AB87+(1-EXP(-LN(2)/2))/(LN(2)/2)*V88*Y88*VLOOKUP('Données projet'!$B$9,Paramètres!$A$1:$I$89,3,0)*0.475*44/12</f>
        <v>1.1355065249031941E-7</v>
      </c>
      <c r="AC88" s="22">
        <f t="shared" si="57"/>
        <v>3.2659840368111506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243.38048563215585</v>
      </c>
      <c r="AO88" s="59">
        <f t="shared" si="90"/>
        <v>372.1604147006675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2.4591992805526814</v>
      </c>
      <c r="AV88" s="21">
        <f>EXP(-LN(2)/25)*AV87+(1-EXP(-LN(2)/25))/(LN(2)/25)*Calculateur!AQ88*Calculateur!AS88*VLOOKUP('Données projet'!$B$10,Paramètres!$A$1:$I$89,3,0)*0.475*44/12</f>
        <v>4.2139932668498785</v>
      </c>
      <c r="AW88" s="21">
        <f>EXP(-LN(2)/2)*AW87+(1-EXP(-LN(2)/2))/(LN(2)/2)*AQ88*AT88*VLOOKUP('Données projet'!$B$10,Paramètres!$A$1:$I$89,3,0)*0.475*44/12</f>
        <v>1.5444153776540159E-7</v>
      </c>
      <c r="AX88" s="21">
        <f t="shared" si="60"/>
        <v>6.6731927018440977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-5.1159076974727213E-13</v>
      </c>
      <c r="BE88" s="13">
        <f>BD88*VLOOKUP('Données projet'!$B$11,Paramètres!$A$1:$I$89,3,0)*VLOOKUP('Données projet'!$B$11,Paramètres!$A$1:$I$89,5,0)</f>
        <v>-3.4317508834647017E-13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207.93042467236967</v>
      </c>
      <c r="BJ88" s="59">
        <f t="shared" si="92"/>
        <v>250.70954318710835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0.9256929110034946</v>
      </c>
      <c r="BQ88" s="21">
        <f>EXP(-LN(2)/25)*BQ87+(1-EXP(-LN(2)/25))/(LN(2)/25)*Calculateur!BL88*Calculateur!BN88*VLOOKUP('Données projet'!$B$11,Paramètres!$A$1:$I$89,3,0)*0.475*44/12</f>
        <v>3.7653143311737431</v>
      </c>
      <c r="BR88" s="21">
        <f>EXP(-LN(2)/2)*BR87+(1-EXP(-LN(2)/2))/(LN(2)/2)*BL88*BO88*VLOOKUP('Données projet'!$B$11,Paramètres!$A$1:$I$89,3,0)*0.475*44/12</f>
        <v>1.0678012256118535E-7</v>
      </c>
      <c r="BS88" s="22">
        <f t="shared" si="63"/>
        <v>4.6910073489573598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1.7053025658242404E-13</v>
      </c>
      <c r="BZ88" s="13">
        <f>BY88*VLOOKUP('Données projet'!$B$12,Paramètres!$A$1:$I$89,3,0)*VLOOKUP('Données projet'!$B$12,Paramètres!$A$1:$I$89,5,0)</f>
        <v>1.3301360013429075E-13</v>
      </c>
      <c r="CA88" s="13">
        <f t="shared" si="93"/>
        <v>1.9329766731057041E-12</v>
      </c>
      <c r="CB88" s="20">
        <f t="shared" si="64"/>
        <v>3.5982663925596575E-12</v>
      </c>
      <c r="CC88" s="59">
        <f t="shared" si="65"/>
        <v>293.3333333333369</v>
      </c>
      <c r="CD88" s="59">
        <f ca="1">AVERAGE(OFFSET($CC$3,0,0,'Données projet'!$E$12+1,1))-AVERAGE(OFFSET($H$3,0,0,'Données projet'!$E$12+1,1))</f>
        <v>266.30229009596883</v>
      </c>
      <c r="CE88" s="59">
        <f t="shared" si="94"/>
        <v>270.19195828386046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0.48655018233337355</v>
      </c>
      <c r="CL88" s="21">
        <f>EXP(-LN(2)/25)*CL87+(1-EXP(-LN(2)/25))/(LN(2)/25)*Calculateur!CG88*Calculateur!CI88*VLOOKUP('Données projet'!$B$12,Paramètres!$A$1:$I$89,3,0)*0.475*44/12</f>
        <v>1.8217843035815078</v>
      </c>
      <c r="CM88" s="21">
        <f>EXP(-LN(2)/2)*CM87+(1-EXP(-LN(2)/2))/(LN(2)/2)*CG88*CJ88*VLOOKUP('Données projet'!$B$12,Paramètres!$A$1:$I$89,3,0)*0.475*44/12</f>
        <v>6.8863628290110149E-8</v>
      </c>
      <c r="CN88" s="22">
        <f t="shared" si="66"/>
        <v>2.3083345547785092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-5.1159076974727213E-13</v>
      </c>
      <c r="CU88" s="17">
        <f>CT88*VLOOKUP('Données projet'!$B$13,Paramètres!$A$1:$I$89,3,0)*VLOOKUP('Données projet'!$B$13,Paramètres!$A$1:$I$89,5,0)</f>
        <v>-4.0702161641092972E-13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260.20517190557814</v>
      </c>
      <c r="CZ88" s="59">
        <f t="shared" si="96"/>
        <v>307.22009971147133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1.0979148479343788</v>
      </c>
      <c r="DG88" s="21">
        <f>EXP(-LN(2)/25)*DG87+(1-EXP(-LN(2)/25))/(LN(2)/25)*Calculateur!DB88*Calculateur!DD88*VLOOKUP('Données projet'!$B$13,Paramètres!$A$1:$I$89,3,0)*0.475*44/12</f>
        <v>4.4658379276711777</v>
      </c>
      <c r="DH88" s="21">
        <f>EXP(-LN(2)/2)*DH87+(1-EXP(-LN(2)/2))/(LN(2)/2)*DB88*DE88*VLOOKUP('Données projet'!$B$13,Paramètres!$A$1:$I$89,3,0)*0.475*44/12</f>
        <v>1.2664619187489426E-7</v>
      </c>
      <c r="DI88" s="22">
        <f t="shared" si="69"/>
        <v>5.5637529022517489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6.6</v>
      </c>
      <c r="DO88" s="12">
        <f>IF('Données projet'!$A$166&gt;35,DO87+DN88-DW87,IF(A88&lt;'Données projet'!$A$166,$DL$205^A88,IF(A88='Données projet'!$A$166,'Données projet'!$B$166,DO87+DN88-DW87)))</f>
        <v>324.99999999999989</v>
      </c>
      <c r="DP88" s="17">
        <f>DO88*VLOOKUP('Données projet'!$B$14,Paramètres!$A$1:$I$89,3,0)*VLOOKUP('Données projet'!$B$14,Paramètres!$A$1:$I$89,5,0)</f>
        <v>314.33999999999986</v>
      </c>
      <c r="DQ88" s="13">
        <f t="shared" si="97"/>
        <v>74.174460221814215</v>
      </c>
      <c r="DR88" s="20">
        <f t="shared" si="70"/>
        <v>676.66268488632613</v>
      </c>
      <c r="DS88" s="59">
        <f t="shared" si="71"/>
        <v>969.99601821965939</v>
      </c>
      <c r="DT88" s="59">
        <f ca="1">AVERAGE(OFFSET($DS$3,0,0,'Données projet'!$E$14+1,1))-AVERAGE(OFFSET($H$3,0,0,'Données projet'!$E$14+1,1))</f>
        <v>347.8889410585312</v>
      </c>
      <c r="DU88" s="59">
        <f t="shared" si="98"/>
        <v>254.78167322479203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0.86630883746742238</v>
      </c>
      <c r="EB88" s="21">
        <f>EXP(-LN(2)/25)*EB87+(1-EXP(-LN(2)/25))/(LN(2)/25)*Calculateur!DW88*Calculateur!DY88*VLOOKUP('Données projet'!$B$14,Paramètres!$A$1:$I$89,3,0)*0.475*44/12</f>
        <v>2.624915356362767</v>
      </c>
      <c r="EC88" s="21">
        <f>EXP(-LN(2)/2)*EC87+(1-EXP(-LN(2)/2))/(LN(2)/2)*DW88*DZ88*VLOOKUP('Données projet'!$B$14,Paramètres!$A$1:$I$89,3,0)*0.475*44/12</f>
        <v>1.2138173197240992E-7</v>
      </c>
      <c r="ED88" s="22">
        <f t="shared" si="72"/>
        <v>3.4912243152119209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6.6</v>
      </c>
      <c r="EJ88" s="12">
        <f>IF('Données projet'!$A$192&gt;35,EJ87+EI88-ER87,IF(A88&lt;'Données projet'!$A$192,$EG$205^A88,IF(A88='Données projet'!$A$192,'Données projet'!$B$192,EJ87+EI88-ER87)))</f>
        <v>324.99999999999989</v>
      </c>
      <c r="EK88" s="17">
        <f>EJ88*VLOOKUP('Données projet'!$B$15,Paramètres!$A$1:$I$89,3,0)*VLOOKUP('Données projet'!$B$15,Paramètres!$A$1:$I$89,5,0)</f>
        <v>349.82999999999987</v>
      </c>
      <c r="EL88" s="13">
        <f t="shared" si="99"/>
        <v>81.527505482803917</v>
      </c>
      <c r="EM88" s="20">
        <f t="shared" si="73"/>
        <v>751.28098871588327</v>
      </c>
      <c r="EN88" s="59">
        <f t="shared" si="74"/>
        <v>1044.6143220492165</v>
      </c>
      <c r="EO88" s="59">
        <f ca="1">AVERAGE(OFFSET($EN$3,0,0,'Données projet'!$E$15+1,1))-AVERAGE(OFFSET($H$3,0,0,'Données projet'!$E$15+1,1))</f>
        <v>399.38728019348088</v>
      </c>
      <c r="EP88" s="59">
        <f t="shared" si="100"/>
        <v>289.54922160039791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0.96411789976213047</v>
      </c>
      <c r="EW88" s="21">
        <f>EXP(-LN(2)/25)*EW87+(1-EXP(-LN(2)/25))/(LN(2)/25)*Calculateur!ER88*Calculateur!ET88*VLOOKUP('Données projet'!$B$15,Paramètres!$A$1:$I$89,3,0)*0.475*44/12</f>
        <v>2.9212767675650162</v>
      </c>
      <c r="EX88" s="21">
        <f>EXP(-LN(2)/2)*EX87+(1-EXP(-LN(2)/2))/(LN(2)/2)*ER88*EU88*VLOOKUP('Données projet'!$B$15,Paramètres!$A$1:$I$89,3,0)*0.475*44/12</f>
        <v>1.3508612106606911E-7</v>
      </c>
      <c r="EY88" s="22">
        <f t="shared" si="75"/>
        <v>3.8853948024132676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331.59999999999991</v>
      </c>
      <c r="O89" s="13">
        <f>N89*VLOOKUP('Données projet'!$B$9,Paramètres!$A$1:$I$89,3,0)*VLOOKUP('Données projet'!$B$9,Paramètres!$A$1:$I$89,5,0)</f>
        <v>300.03167999999994</v>
      </c>
      <c r="P89" s="13">
        <f t="shared" si="87"/>
        <v>71.183104779714938</v>
      </c>
      <c r="Q89" s="20">
        <f t="shared" si="54"/>
        <v>646.53241682467001</v>
      </c>
      <c r="R89" s="59">
        <f t="shared" si="55"/>
        <v>939.86575015800327</v>
      </c>
      <c r="S89" s="59">
        <f ca="1">AVERAGE(OFFSET($R$3,0,0,'Données projet'!$E$9+1,1))-AVERAGE(OFFSET($H$3,0,0,'Données projet'!$E$9+1,1))</f>
        <v>318.40875902853116</v>
      </c>
      <c r="T89" s="59">
        <f t="shared" si="88"/>
        <v>234.87694492493506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0.7945261431376176</v>
      </c>
      <c r="AA89" s="21">
        <f>EXP(-LN(2)/25)*AA88+(1-EXP(-LN(2)/25))/(LN(2)/25)*Calculateur!V89*Calculateur!X89*VLOOKUP('Données projet'!$B$9,Paramètres!$A$1:$I$89,3,0)*0.475*44/12</f>
        <v>2.3884183977173254</v>
      </c>
      <c r="AB89" s="21">
        <f>EXP(-LN(2)/2)*AB88+(1-EXP(-LN(2)/2))/(LN(2)/2)*V89*Y89*VLOOKUP('Données projet'!$B$9,Paramètres!$A$1:$I$89,3,0)*0.475*44/12</f>
        <v>8.0292436384061992E-8</v>
      </c>
      <c r="AC89" s="22">
        <f t="shared" si="57"/>
        <v>3.1829446211473793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243.38048563215585</v>
      </c>
      <c r="AO89" s="59">
        <f t="shared" si="90"/>
        <v>372.1604147006675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2.4109758826244954</v>
      </c>
      <c r="AV89" s="21">
        <f>EXP(-LN(2)/25)*AV88+(1-EXP(-LN(2)/25))/(LN(2)/25)*Calculateur!AQ89*Calculateur!AS89*VLOOKUP('Données projet'!$B$10,Paramètres!$A$1:$I$89,3,0)*0.475*44/12</f>
        <v>4.0987613993635943</v>
      </c>
      <c r="AW89" s="21">
        <f>EXP(-LN(2)/2)*AW88+(1-EXP(-LN(2)/2))/(LN(2)/2)*AQ89*AT89*VLOOKUP('Données projet'!$B$10,Paramètres!$A$1:$I$89,3,0)*0.475*44/12</f>
        <v>1.0920665865079374E-7</v>
      </c>
      <c r="AX89" s="21">
        <f t="shared" si="60"/>
        <v>6.509737391194748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-5.1159076974727213E-13</v>
      </c>
      <c r="BE89" s="13">
        <f>BD89*VLOOKUP('Données projet'!$B$11,Paramètres!$A$1:$I$89,3,0)*VLOOKUP('Données projet'!$B$11,Paramètres!$A$1:$I$89,5,0)</f>
        <v>-3.4317508834647017E-13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207.93042467236967</v>
      </c>
      <c r="BJ89" s="59">
        <f t="shared" si="92"/>
        <v>250.70954318710835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0.90754063763564052</v>
      </c>
      <c r="BQ89" s="21">
        <f>EXP(-LN(2)/25)*BQ88+(1-EXP(-LN(2)/25))/(LN(2)/25)*Calculateur!BL89*Calculateur!BN89*VLOOKUP('Données projet'!$B$11,Paramètres!$A$1:$I$89,3,0)*0.475*44/12</f>
        <v>3.6623516127785223</v>
      </c>
      <c r="BR89" s="21">
        <f>EXP(-LN(2)/2)*BR88+(1-EXP(-LN(2)/2))/(LN(2)/2)*BL89*BO89*VLOOKUP('Données projet'!$B$11,Paramètres!$A$1:$I$89,3,0)*0.475*44/12</f>
        <v>7.5504948758944813E-8</v>
      </c>
      <c r="BS89" s="22">
        <f t="shared" si="63"/>
        <v>4.5698923259191115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1.7053025658242404E-13</v>
      </c>
      <c r="BZ89" s="13">
        <f>BY89*VLOOKUP('Données projet'!$B$12,Paramètres!$A$1:$I$89,3,0)*VLOOKUP('Données projet'!$B$12,Paramètres!$A$1:$I$89,5,0)</f>
        <v>1.3301360013429075E-13</v>
      </c>
      <c r="CA89" s="13">
        <f t="shared" si="93"/>
        <v>1.9329766731057041E-12</v>
      </c>
      <c r="CB89" s="20">
        <f t="shared" si="64"/>
        <v>3.5982663925596575E-12</v>
      </c>
      <c r="CC89" s="59">
        <f t="shared" si="65"/>
        <v>293.3333333333369</v>
      </c>
      <c r="CD89" s="59">
        <f ca="1">AVERAGE(OFFSET($CC$3,0,0,'Données projet'!$E$12+1,1))-AVERAGE(OFFSET($H$3,0,0,'Données projet'!$E$12+1,1))</f>
        <v>266.30229009596883</v>
      </c>
      <c r="CE89" s="59">
        <f t="shared" si="94"/>
        <v>270.19195828386046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0.4770092300241241</v>
      </c>
      <c r="CL89" s="21">
        <f>EXP(-LN(2)/25)*CL88+(1-EXP(-LN(2)/25))/(LN(2)/25)*Calculateur!CG89*Calculateur!CI89*VLOOKUP('Données projet'!$B$12,Paramètres!$A$1:$I$89,3,0)*0.475*44/12</f>
        <v>1.7719675159965986</v>
      </c>
      <c r="CM89" s="21">
        <f>EXP(-LN(2)/2)*CM88+(1-EXP(-LN(2)/2))/(LN(2)/2)*CG89*CJ89*VLOOKUP('Données projet'!$B$12,Paramètres!$A$1:$I$89,3,0)*0.475*44/12</f>
        <v>4.8693938541046662E-8</v>
      </c>
      <c r="CN89" s="22">
        <f t="shared" si="66"/>
        <v>2.2489767947146615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-5.1159076974727213E-13</v>
      </c>
      <c r="CU89" s="17">
        <f>CT89*VLOOKUP('Données projet'!$B$13,Paramètres!$A$1:$I$89,3,0)*VLOOKUP('Données projet'!$B$13,Paramètres!$A$1:$I$89,5,0)</f>
        <v>-4.0702161641092972E-13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260.20517190557814</v>
      </c>
      <c r="CZ89" s="59">
        <f t="shared" si="96"/>
        <v>307.22009971147133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1.0763854074283192</v>
      </c>
      <c r="DG89" s="21">
        <f>EXP(-LN(2)/25)*DG88+(1-EXP(-LN(2)/25))/(LN(2)/25)*Calculateur!DB89*Calculateur!DD89*VLOOKUP('Données projet'!$B$13,Paramètres!$A$1:$I$89,3,0)*0.475*44/12</f>
        <v>4.3437193546907995</v>
      </c>
      <c r="DH89" s="21">
        <f>EXP(-LN(2)/2)*DH88+(1-EXP(-LN(2)/2))/(LN(2)/2)*DB89*DE89*VLOOKUP('Données projet'!$B$13,Paramètres!$A$1:$I$89,3,0)*0.475*44/12</f>
        <v>8.9552381086190366E-8</v>
      </c>
      <c r="DI89" s="22">
        <f t="shared" si="69"/>
        <v>5.4201048516714998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6.6</v>
      </c>
      <c r="DO89" s="12">
        <f>IF('Données projet'!$A$166&gt;35,DO88+DN89-DW88,IF(A89&lt;'Données projet'!$A$166,$DL$205^A89,IF(A89='Données projet'!$A$166,'Données projet'!$B$166,DO88+DN89-DW88)))</f>
        <v>331.59999999999991</v>
      </c>
      <c r="DP89" s="17">
        <f>DO89*VLOOKUP('Données projet'!$B$14,Paramètres!$A$1:$I$89,3,0)*VLOOKUP('Données projet'!$B$14,Paramètres!$A$1:$I$89,5,0)</f>
        <v>320.72351999999995</v>
      </c>
      <c r="DQ89" s="13">
        <f t="shared" si="97"/>
        <v>75.503876276445041</v>
      </c>
      <c r="DR89" s="20">
        <f t="shared" si="70"/>
        <v>690.09604851480833</v>
      </c>
      <c r="DS89" s="59">
        <f t="shared" si="71"/>
        <v>983.4293818481417</v>
      </c>
      <c r="DT89" s="59">
        <f ca="1">AVERAGE(OFFSET($DS$3,0,0,'Données projet'!$E$14+1,1))-AVERAGE(OFFSET($H$3,0,0,'Données projet'!$E$14+1,1))</f>
        <v>347.8889410585312</v>
      </c>
      <c r="DU89" s="59">
        <f t="shared" si="98"/>
        <v>254.78167322479203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0.84932104956090226</v>
      </c>
      <c r="EB89" s="21">
        <f>EXP(-LN(2)/25)*EB88+(1-EXP(-LN(2)/25))/(LN(2)/25)*Calculateur!DW89*Calculateur!DY89*VLOOKUP('Données projet'!$B$14,Paramètres!$A$1:$I$89,3,0)*0.475*44/12</f>
        <v>2.5531369079047277</v>
      </c>
      <c r="EC89" s="21">
        <f>EXP(-LN(2)/2)*EC88+(1-EXP(-LN(2)/2))/(LN(2)/2)*DW89*DZ89*VLOOKUP('Données projet'!$B$14,Paramètres!$A$1:$I$89,3,0)*0.475*44/12</f>
        <v>8.5829845789859019E-8</v>
      </c>
      <c r="ED89" s="22">
        <f t="shared" si="72"/>
        <v>3.4024580432954759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6.6</v>
      </c>
      <c r="EJ89" s="12">
        <f>IF('Données projet'!$A$192&gt;35,EJ88+EI89-ER88,IF(A89&lt;'Données projet'!$A$192,$EG$205^A89,IF(A89='Données projet'!$A$192,'Données projet'!$B$192,EJ88+EI89-ER88)))</f>
        <v>331.59999999999991</v>
      </c>
      <c r="EK89" s="17">
        <f>EJ89*VLOOKUP('Données projet'!$B$15,Paramètres!$A$1:$I$89,3,0)*VLOOKUP('Données projet'!$B$15,Paramètres!$A$1:$I$89,5,0)</f>
        <v>356.93423999999987</v>
      </c>
      <c r="EL89" s="13">
        <f t="shared" si="99"/>
        <v>82.988708899164834</v>
      </c>
      <c r="EM89" s="20">
        <f t="shared" si="73"/>
        <v>766.19913599937854</v>
      </c>
      <c r="EN89" s="59">
        <f t="shared" si="74"/>
        <v>1059.5324693327118</v>
      </c>
      <c r="EO89" s="59">
        <f ca="1">AVERAGE(OFFSET($EN$3,0,0,'Données projet'!$E$15+1,1))-AVERAGE(OFFSET($H$3,0,0,'Données projet'!$E$15+1,1))</f>
        <v>399.38728019348088</v>
      </c>
      <c r="EP89" s="59">
        <f t="shared" si="100"/>
        <v>289.54922160039791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0.94521213580164842</v>
      </c>
      <c r="EW89" s="21">
        <f>EXP(-LN(2)/25)*EW88+(1-EXP(-LN(2)/25))/(LN(2)/25)*Calculateur!ER89*Calculateur!ET89*VLOOKUP('Données projet'!$B$15,Paramètres!$A$1:$I$89,3,0)*0.475*44/12</f>
        <v>2.8413943007326825</v>
      </c>
      <c r="EX89" s="21">
        <f>EXP(-LN(2)/2)*EX88+(1-EXP(-LN(2)/2))/(LN(2)/2)*ER89*EU89*VLOOKUP('Données projet'!$B$15,Paramètres!$A$1:$I$89,3,0)*0.475*44/12</f>
        <v>9.5520312250004399E-8</v>
      </c>
      <c r="EY89" s="22">
        <f t="shared" si="75"/>
        <v>3.7866065320546429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338.19999999999993</v>
      </c>
      <c r="O90" s="13">
        <f>N90*VLOOKUP('Données projet'!$B$9,Paramètres!$A$1:$I$89,3,0)*VLOOKUP('Données projet'!$B$9,Paramètres!$A$1:$I$89,5,0)</f>
        <v>306.00335999999993</v>
      </c>
      <c r="P90" s="13">
        <f t="shared" si="87"/>
        <v>72.433543369450447</v>
      </c>
      <c r="Q90" s="20">
        <f t="shared" si="54"/>
        <v>659.11094003512596</v>
      </c>
      <c r="R90" s="59">
        <f t="shared" si="55"/>
        <v>952.44427336845933</v>
      </c>
      <c r="S90" s="59">
        <f ca="1">AVERAGE(OFFSET($R$3,0,0,'Données projet'!$E$9+1,1))-AVERAGE(OFFSET($H$3,0,0,'Données projet'!$E$9+1,1))</f>
        <v>318.40875902853116</v>
      </c>
      <c r="T90" s="59">
        <f t="shared" si="88"/>
        <v>234.87694492493506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0.77894597008378463</v>
      </c>
      <c r="AA90" s="21">
        <f>EXP(-LN(2)/25)*AA89+(1-EXP(-LN(2)/25))/(LN(2)/25)*Calculateur!V90*Calculateur!X90*VLOOKUP('Données projet'!$B$9,Paramètres!$A$1:$I$89,3,0)*0.475*44/12</f>
        <v>2.3231069710302803</v>
      </c>
      <c r="AB90" s="21">
        <f>EXP(-LN(2)/2)*AB89+(1-EXP(-LN(2)/2))/(LN(2)/2)*V90*Y90*VLOOKUP('Données projet'!$B$9,Paramètres!$A$1:$I$89,3,0)*0.475*44/12</f>
        <v>5.6775326245159712E-8</v>
      </c>
      <c r="AC90" s="22">
        <f t="shared" si="57"/>
        <v>3.1020529978893912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243.38048563215585</v>
      </c>
      <c r="AO90" s="59">
        <f t="shared" si="90"/>
        <v>372.1604147006675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2.3636981161163129</v>
      </c>
      <c r="AV90" s="21">
        <f>EXP(-LN(2)/25)*AV89+(1-EXP(-LN(2)/25))/(LN(2)/25)*Calculateur!AQ90*Calculateur!AS90*VLOOKUP('Données projet'!$B$10,Paramètres!$A$1:$I$89,3,0)*0.475*44/12</f>
        <v>3.9866805533535028</v>
      </c>
      <c r="AW90" s="21">
        <f>EXP(-LN(2)/2)*AW89+(1-EXP(-LN(2)/2))/(LN(2)/2)*AQ90*AT90*VLOOKUP('Données projet'!$B$10,Paramètres!$A$1:$I$89,3,0)*0.475*44/12</f>
        <v>7.7220768882700796E-8</v>
      </c>
      <c r="AX90" s="21">
        <f t="shared" si="60"/>
        <v>6.3503787466905841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-5.1159076974727213E-13</v>
      </c>
      <c r="BE90" s="13">
        <f>BD90*VLOOKUP('Données projet'!$B$11,Paramètres!$A$1:$I$89,3,0)*VLOOKUP('Données projet'!$B$11,Paramètres!$A$1:$I$89,5,0)</f>
        <v>-3.4317508834647017E-13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207.93042467236967</v>
      </c>
      <c r="BJ90" s="59">
        <f t="shared" si="92"/>
        <v>250.70954318710835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0.88974431927673658</v>
      </c>
      <c r="BQ90" s="21">
        <f>EXP(-LN(2)/25)*BQ89+(1-EXP(-LN(2)/25))/(LN(2)/25)*Calculateur!BL90*Calculateur!BN90*VLOOKUP('Données projet'!$B$11,Paramètres!$A$1:$I$89,3,0)*0.475*44/12</f>
        <v>3.5622044153323928</v>
      </c>
      <c r="BR90" s="21">
        <f>EXP(-LN(2)/2)*BR89+(1-EXP(-LN(2)/2))/(LN(2)/2)*BL90*BO90*VLOOKUP('Données projet'!$B$11,Paramètres!$A$1:$I$89,3,0)*0.475*44/12</f>
        <v>5.3390061280592674E-8</v>
      </c>
      <c r="BS90" s="22">
        <f t="shared" si="63"/>
        <v>4.451948787999191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1.7053025658242404E-13</v>
      </c>
      <c r="BZ90" s="13">
        <f>BY90*VLOOKUP('Données projet'!$B$12,Paramètres!$A$1:$I$89,3,0)*VLOOKUP('Données projet'!$B$12,Paramètres!$A$1:$I$89,5,0)</f>
        <v>1.3301360013429075E-13</v>
      </c>
      <c r="CA90" s="13">
        <f t="shared" si="93"/>
        <v>1.9329766731057041E-12</v>
      </c>
      <c r="CB90" s="20">
        <f t="shared" si="64"/>
        <v>3.5982663925596575E-12</v>
      </c>
      <c r="CC90" s="59">
        <f t="shared" si="65"/>
        <v>293.3333333333369</v>
      </c>
      <c r="CD90" s="59">
        <f ca="1">AVERAGE(OFFSET($CC$3,0,0,'Données projet'!$E$12+1,1))-AVERAGE(OFFSET($H$3,0,0,'Données projet'!$E$12+1,1))</f>
        <v>266.30229009596883</v>
      </c>
      <c r="CE90" s="59">
        <f t="shared" si="94"/>
        <v>270.19195828386046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0.4676553699702527</v>
      </c>
      <c r="CL90" s="21">
        <f>EXP(-LN(2)/25)*CL89+(1-EXP(-LN(2)/25))/(LN(2)/25)*Calculateur!CG90*Calculateur!CI90*VLOOKUP('Données projet'!$B$12,Paramètres!$A$1:$I$89,3,0)*0.475*44/12</f>
        <v>1.7235129710879498</v>
      </c>
      <c r="CM90" s="21">
        <f>EXP(-LN(2)/2)*CM89+(1-EXP(-LN(2)/2))/(LN(2)/2)*CG90*CJ90*VLOOKUP('Données projet'!$B$12,Paramètres!$A$1:$I$89,3,0)*0.475*44/12</f>
        <v>3.4431814145055074E-8</v>
      </c>
      <c r="CN90" s="22">
        <f t="shared" si="66"/>
        <v>2.1911683754900166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-5.1159076974727213E-13</v>
      </c>
      <c r="CU90" s="17">
        <f>CT90*VLOOKUP('Données projet'!$B$13,Paramètres!$A$1:$I$89,3,0)*VLOOKUP('Données projet'!$B$13,Paramètres!$A$1:$I$89,5,0)</f>
        <v>-4.0702161641092972E-13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260.20517190557814</v>
      </c>
      <c r="CZ90" s="59">
        <f t="shared" si="96"/>
        <v>307.22009971147133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1.0552781461189213</v>
      </c>
      <c r="DG90" s="21">
        <f>EXP(-LN(2)/25)*DG89+(1-EXP(-LN(2)/25))/(LN(2)/25)*Calculateur!DB90*Calculateur!DD90*VLOOKUP('Données projet'!$B$13,Paramètres!$A$1:$I$89,3,0)*0.475*44/12</f>
        <v>4.2249401205105066</v>
      </c>
      <c r="DH90" s="21">
        <f>EXP(-LN(2)/2)*DH89+(1-EXP(-LN(2)/2))/(LN(2)/2)*DB90*DE90*VLOOKUP('Données projet'!$B$13,Paramètres!$A$1:$I$89,3,0)*0.475*44/12</f>
        <v>6.3323095937447128E-8</v>
      </c>
      <c r="DI90" s="22">
        <f t="shared" si="69"/>
        <v>5.2802183299525236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6.6</v>
      </c>
      <c r="DO90" s="12">
        <f>IF('Données projet'!$A$166&gt;35,DO89+DN90-DW89,IF(A90&lt;'Données projet'!$A$166,$DL$205^A90,IF(A90='Données projet'!$A$166,'Données projet'!$B$166,DO89+DN90-DW89)))</f>
        <v>338.19999999999993</v>
      </c>
      <c r="DP90" s="17">
        <f>DO90*VLOOKUP('Données projet'!$B$14,Paramètres!$A$1:$I$89,3,0)*VLOOKUP('Données projet'!$B$14,Paramètres!$A$1:$I$89,5,0)</f>
        <v>327.10703999999998</v>
      </c>
      <c r="DQ90" s="13">
        <f t="shared" si="97"/>
        <v>76.830215733860527</v>
      </c>
      <c r="DR90" s="20">
        <f t="shared" si="70"/>
        <v>703.52405373647377</v>
      </c>
      <c r="DS90" s="59">
        <f t="shared" si="71"/>
        <v>996.85738706980715</v>
      </c>
      <c r="DT90" s="59">
        <f ca="1">AVERAGE(OFFSET($DS$3,0,0,'Données projet'!$E$14+1,1))-AVERAGE(OFFSET($H$3,0,0,'Données projet'!$E$14+1,1))</f>
        <v>347.8889410585312</v>
      </c>
      <c r="DU90" s="59">
        <f t="shared" si="98"/>
        <v>254.78167322479203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0.83266638181370156</v>
      </c>
      <c r="EB90" s="21">
        <f>EXP(-LN(2)/25)*EB89+(1-EXP(-LN(2)/25))/(LN(2)/25)*Calculateur!DW90*Calculateur!DY90*VLOOKUP('Données projet'!$B$14,Paramètres!$A$1:$I$89,3,0)*0.475*44/12</f>
        <v>2.4833212448944382</v>
      </c>
      <c r="EC90" s="21">
        <f>EXP(-LN(2)/2)*EC89+(1-EXP(-LN(2)/2))/(LN(2)/2)*DW90*DZ90*VLOOKUP('Données projet'!$B$14,Paramètres!$A$1:$I$89,3,0)*0.475*44/12</f>
        <v>6.0690865986204958E-8</v>
      </c>
      <c r="ED90" s="22">
        <f t="shared" si="72"/>
        <v>3.315987687399006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6.6</v>
      </c>
      <c r="EJ90" s="12">
        <f>IF('Données projet'!$A$192&gt;35,EJ89+EI90-ER89,IF(A90&lt;'Données projet'!$A$192,$EG$205^A90,IF(A90='Données projet'!$A$192,'Données projet'!$B$192,EJ89+EI90-ER89)))</f>
        <v>338.19999999999993</v>
      </c>
      <c r="EK90" s="17">
        <f>EJ90*VLOOKUP('Données projet'!$B$15,Paramètres!$A$1:$I$89,3,0)*VLOOKUP('Données projet'!$B$15,Paramètres!$A$1:$I$89,5,0)</f>
        <v>364.03847999999994</v>
      </c>
      <c r="EL90" s="13">
        <f t="shared" si="99"/>
        <v>84.446530729794134</v>
      </c>
      <c r="EM90" s="20">
        <f t="shared" si="73"/>
        <v>781.11139368772456</v>
      </c>
      <c r="EN90" s="59">
        <f t="shared" si="74"/>
        <v>1074.4447270210578</v>
      </c>
      <c r="EO90" s="59">
        <f ca="1">AVERAGE(OFFSET($EN$3,0,0,'Données projet'!$E$15+1,1))-AVERAGE(OFFSET($H$3,0,0,'Données projet'!$E$15+1,1))</f>
        <v>399.38728019348088</v>
      </c>
      <c r="EP90" s="59">
        <f t="shared" si="100"/>
        <v>289.54922160039791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0.92667710234105405</v>
      </c>
      <c r="EW90" s="21">
        <f>EXP(-LN(2)/25)*EW89+(1-EXP(-LN(2)/25))/(LN(2)/25)*Calculateur!ER90*Calculateur!ET90*VLOOKUP('Données projet'!$B$15,Paramètres!$A$1:$I$89,3,0)*0.475*44/12</f>
        <v>2.7636962241567153</v>
      </c>
      <c r="EX90" s="21">
        <f>EXP(-LN(2)/2)*EX89+(1-EXP(-LN(2)/2))/(LN(2)/2)*ER90*EU90*VLOOKUP('Données projet'!$B$15,Paramètres!$A$1:$I$89,3,0)*0.475*44/12</f>
        <v>6.7543060533034555E-8</v>
      </c>
      <c r="EY90" s="22">
        <f t="shared" si="75"/>
        <v>3.6903733940408299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344.79999999999995</v>
      </c>
      <c r="O91" s="13">
        <f>N91*VLOOKUP('Données projet'!$B$9,Paramètres!$A$1:$I$89,3,0)*VLOOKUP('Données projet'!$B$9,Paramètres!$A$1:$I$89,5,0)</f>
        <v>311.97503999999992</v>
      </c>
      <c r="P91" s="13">
        <f t="shared" si="87"/>
        <v>73.681144552074599</v>
      </c>
      <c r="Q91" s="20">
        <f t="shared" si="54"/>
        <v>671.68452142819649</v>
      </c>
      <c r="R91" s="59">
        <f t="shared" si="55"/>
        <v>965.01785476152986</v>
      </c>
      <c r="S91" s="59">
        <f ca="1">AVERAGE(OFFSET($R$3,0,0,'Données projet'!$E$9+1,1))-AVERAGE(OFFSET($H$3,0,0,'Données projet'!$E$9+1,1))</f>
        <v>318.40875902853116</v>
      </c>
      <c r="T91" s="59">
        <f t="shared" si="88"/>
        <v>234.87694492493506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0.76367131472057015</v>
      </c>
      <c r="AA91" s="21">
        <f>EXP(-LN(2)/25)*AA90+(1-EXP(-LN(2)/25))/(LN(2)/25)*Calculateur!V91*Calculateur!X91*VLOOKUP('Données projet'!$B$9,Paramètres!$A$1:$I$89,3,0)*0.475*44/12</f>
        <v>2.2595814887405714</v>
      </c>
      <c r="AB91" s="21">
        <f>EXP(-LN(2)/2)*AB90+(1-EXP(-LN(2)/2))/(LN(2)/2)*V91*Y91*VLOOKUP('Données projet'!$B$9,Paramètres!$A$1:$I$89,3,0)*0.475*44/12</f>
        <v>4.0146218192031003E-8</v>
      </c>
      <c r="AC91" s="22">
        <f t="shared" si="57"/>
        <v>3.0232528436073598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243.38048563215585</v>
      </c>
      <c r="AO91" s="59">
        <f t="shared" si="90"/>
        <v>372.1604147006675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2.3173474377727654</v>
      </c>
      <c r="AV91" s="21">
        <f>EXP(-LN(2)/25)*AV90+(1-EXP(-LN(2)/25))/(LN(2)/25)*Calculateur!AQ91*Calculateur!AS91*VLOOKUP('Données projet'!$B$10,Paramètres!$A$1:$I$89,3,0)*0.475*44/12</f>
        <v>3.8776645639716327</v>
      </c>
      <c r="AW91" s="21">
        <f>EXP(-LN(2)/2)*AW90+(1-EXP(-LN(2)/2))/(LN(2)/2)*AQ91*AT91*VLOOKUP('Données projet'!$B$10,Paramètres!$A$1:$I$89,3,0)*0.475*44/12</f>
        <v>5.460332932539687E-8</v>
      </c>
      <c r="AX91" s="21">
        <f t="shared" si="60"/>
        <v>6.1950120563477276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-5.1159076974727213E-13</v>
      </c>
      <c r="BE91" s="13">
        <f>BD91*VLOOKUP('Données projet'!$B$11,Paramètres!$A$1:$I$89,3,0)*VLOOKUP('Données projet'!$B$11,Paramètres!$A$1:$I$89,5,0)</f>
        <v>-3.4317508834647017E-13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207.93042467236967</v>
      </c>
      <c r="BJ91" s="59">
        <f t="shared" si="92"/>
        <v>250.70954318710835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0.87229697586616828</v>
      </c>
      <c r="BQ91" s="21">
        <f>EXP(-LN(2)/25)*BQ90+(1-EXP(-LN(2)/25))/(LN(2)/25)*Calculateur!BL91*Calculateur!BN91*VLOOKUP('Données projet'!$B$11,Paramètres!$A$1:$I$89,3,0)*0.475*44/12</f>
        <v>3.46479574826694</v>
      </c>
      <c r="BR91" s="21">
        <f>EXP(-LN(2)/2)*BR90+(1-EXP(-LN(2)/2))/(LN(2)/2)*BL91*BO91*VLOOKUP('Données projet'!$B$11,Paramètres!$A$1:$I$89,3,0)*0.475*44/12</f>
        <v>3.7752474379472407E-8</v>
      </c>
      <c r="BS91" s="22">
        <f t="shared" si="63"/>
        <v>4.3370927618855823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1.7053025658242404E-13</v>
      </c>
      <c r="BZ91" s="13">
        <f>BY91*VLOOKUP('Données projet'!$B$12,Paramètres!$A$1:$I$89,3,0)*VLOOKUP('Données projet'!$B$12,Paramètres!$A$1:$I$89,5,0)</f>
        <v>1.3301360013429075E-13</v>
      </c>
      <c r="CA91" s="13">
        <f t="shared" si="93"/>
        <v>1.9329766731057041E-12</v>
      </c>
      <c r="CB91" s="20">
        <f t="shared" si="64"/>
        <v>3.5982663925596575E-12</v>
      </c>
      <c r="CC91" s="59">
        <f t="shared" si="65"/>
        <v>293.3333333333369</v>
      </c>
      <c r="CD91" s="59">
        <f ca="1">AVERAGE(OFFSET($CC$3,0,0,'Données projet'!$E$12+1,1))-AVERAGE(OFFSET($H$3,0,0,'Données projet'!$E$12+1,1))</f>
        <v>266.30229009596883</v>
      </c>
      <c r="CE91" s="59">
        <f t="shared" si="94"/>
        <v>270.19195828386046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0.45848493340674645</v>
      </c>
      <c r="CL91" s="21">
        <f>EXP(-LN(2)/25)*CL90+(1-EXP(-LN(2)/25))/(LN(2)/25)*Calculateur!CG91*Calculateur!CI91*VLOOKUP('Données projet'!$B$12,Paramètres!$A$1:$I$89,3,0)*0.475*44/12</f>
        <v>1.6763834182579418</v>
      </c>
      <c r="CM91" s="21">
        <f>EXP(-LN(2)/2)*CM90+(1-EXP(-LN(2)/2))/(LN(2)/2)*CG91*CJ91*VLOOKUP('Données projet'!$B$12,Paramètres!$A$1:$I$89,3,0)*0.475*44/12</f>
        <v>2.4346969270523331E-8</v>
      </c>
      <c r="CN91" s="22">
        <f t="shared" si="66"/>
        <v>2.1348683760116578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-5.1159076974727213E-13</v>
      </c>
      <c r="CU91" s="17">
        <f>CT91*VLOOKUP('Données projet'!$B$13,Paramètres!$A$1:$I$89,3,0)*VLOOKUP('Données projet'!$B$13,Paramètres!$A$1:$I$89,5,0)</f>
        <v>-4.0702161641092972E-13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260.20517190557814</v>
      </c>
      <c r="CZ91" s="59">
        <f t="shared" si="96"/>
        <v>307.22009971147133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1.0345847853296426</v>
      </c>
      <c r="DG91" s="21">
        <f>EXP(-LN(2)/25)*DG90+(1-EXP(-LN(2)/25))/(LN(2)/25)*Calculateur!DB91*Calculateur!DD91*VLOOKUP('Données projet'!$B$13,Paramètres!$A$1:$I$89,3,0)*0.475*44/12</f>
        <v>4.1094089107352021</v>
      </c>
      <c r="DH91" s="21">
        <f>EXP(-LN(2)/2)*DH90+(1-EXP(-LN(2)/2))/(LN(2)/2)*DB91*DE91*VLOOKUP('Données projet'!$B$13,Paramètres!$A$1:$I$89,3,0)*0.475*44/12</f>
        <v>4.4776190543095183E-8</v>
      </c>
      <c r="DI91" s="22">
        <f t="shared" si="69"/>
        <v>5.1439937408410357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6.6</v>
      </c>
      <c r="DO91" s="12">
        <f>IF('Données projet'!$A$166&gt;35,DO90+DN91-DW90,IF(A91&lt;'Données projet'!$A$166,$DL$205^A91,IF(A91='Données projet'!$A$166,'Données projet'!$B$166,DO90+DN91-DW90)))</f>
        <v>344.79999999999995</v>
      </c>
      <c r="DP91" s="17">
        <f>DO91*VLOOKUP('Données projet'!$B$14,Paramètres!$A$1:$I$89,3,0)*VLOOKUP('Données projet'!$B$14,Paramètres!$A$1:$I$89,5,0)</f>
        <v>333.49055999999996</v>
      </c>
      <c r="DQ91" s="13">
        <f t="shared" si="97"/>
        <v>78.153545555265694</v>
      </c>
      <c r="DR91" s="20">
        <f t="shared" si="70"/>
        <v>716.94681717542096</v>
      </c>
      <c r="DS91" s="59">
        <f t="shared" si="71"/>
        <v>1010.2801505087543</v>
      </c>
      <c r="DT91" s="59">
        <f ca="1">AVERAGE(OFFSET($DS$3,0,0,'Données projet'!$E$14+1,1))-AVERAGE(OFFSET($H$3,0,0,'Données projet'!$E$14+1,1))</f>
        <v>347.8889410585312</v>
      </c>
      <c r="DU91" s="59">
        <f t="shared" si="98"/>
        <v>254.78167322479203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0.8163383019426792</v>
      </c>
      <c r="EB91" s="21">
        <f>EXP(-LN(2)/25)*EB90+(1-EXP(-LN(2)/25))/(LN(2)/25)*Calculateur!DW91*Calculateur!DY91*VLOOKUP('Données projet'!$B$14,Paramètres!$A$1:$I$89,3,0)*0.475*44/12</f>
        <v>2.415414694860611</v>
      </c>
      <c r="EC91" s="21">
        <f>EXP(-LN(2)/2)*EC90+(1-EXP(-LN(2)/2))/(LN(2)/2)*DW91*DZ91*VLOOKUP('Données projet'!$B$14,Paramètres!$A$1:$I$89,3,0)*0.475*44/12</f>
        <v>4.291492289492951E-8</v>
      </c>
      <c r="ED91" s="22">
        <f t="shared" si="72"/>
        <v>3.231753039718213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6.6</v>
      </c>
      <c r="EJ91" s="12">
        <f>IF('Données projet'!$A$192&gt;35,EJ90+EI91-ER90,IF(A91&lt;'Données projet'!$A$192,$EG$205^A91,IF(A91='Données projet'!$A$192,'Données projet'!$B$192,EJ90+EI91-ER90)))</f>
        <v>344.79999999999995</v>
      </c>
      <c r="EK91" s="17">
        <f>EJ91*VLOOKUP('Données projet'!$B$15,Paramètres!$A$1:$I$89,3,0)*VLOOKUP('Données projet'!$B$15,Paramètres!$A$1:$I$89,5,0)</f>
        <v>371.14271999999994</v>
      </c>
      <c r="EL91" s="13">
        <f t="shared" si="99"/>
        <v>85.901044573879233</v>
      </c>
      <c r="EM91" s="20">
        <f t="shared" si="73"/>
        <v>796.01788996617279</v>
      </c>
      <c r="EN91" s="59">
        <f t="shared" si="74"/>
        <v>1089.351223299506</v>
      </c>
      <c r="EO91" s="59">
        <f ca="1">AVERAGE(OFFSET($EN$3,0,0,'Données projet'!$E$15+1,1))-AVERAGE(OFFSET($H$3,0,0,'Données projet'!$E$15+1,1))</f>
        <v>399.38728019348088</v>
      </c>
      <c r="EP91" s="59">
        <f t="shared" si="100"/>
        <v>289.54922160039791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0.90850552958136788</v>
      </c>
      <c r="EW91" s="21">
        <f>EXP(-LN(2)/25)*EW90+(1-EXP(-LN(2)/25))/(LN(2)/25)*Calculateur!ER91*Calculateur!ET91*VLOOKUP('Données projet'!$B$15,Paramètres!$A$1:$I$89,3,0)*0.475*44/12</f>
        <v>2.6881228055706821</v>
      </c>
      <c r="EX91" s="21">
        <f>EXP(-LN(2)/2)*EX90+(1-EXP(-LN(2)/2))/(LN(2)/2)*ER91*EU91*VLOOKUP('Données projet'!$B$15,Paramètres!$A$1:$I$89,3,0)*0.475*44/12</f>
        <v>4.77601561250022E-8</v>
      </c>
      <c r="EY91" s="22">
        <f t="shared" si="75"/>
        <v>3.5966283829122063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</v>
      </c>
      <c r="O92" s="13">
        <f>N92*VLOOKUP('Données projet'!$B$9,Paramètres!$A$1:$I$89,3,0)*VLOOKUP('Données projet'!$B$9,Paramètres!$A$1:$I$89,5,0)</f>
        <v>317.94671999999997</v>
      </c>
      <c r="P92" s="13">
        <f t="shared" si="87"/>
        <v>74.925968901822259</v>
      </c>
      <c r="Q92" s="20">
        <f t="shared" si="54"/>
        <v>684.253266504007</v>
      </c>
      <c r="R92" s="59">
        <f t="shared" si="55"/>
        <v>977.58659983734037</v>
      </c>
      <c r="S92" s="59">
        <f ca="1">AVERAGE(OFFSET($R$3,0,0,'Données projet'!$E$9+1,1))-AVERAGE(OFFSET($H$3,0,0,'Données projet'!$E$9+1,1))</f>
        <v>318.40875902853116</v>
      </c>
      <c r="T92" s="59">
        <f t="shared" si="88"/>
        <v>234.87694492493506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0.74869618603240851</v>
      </c>
      <c r="AA92" s="21">
        <f>EXP(-LN(2)/25)*AA91+(1-EXP(-LN(2)/25))/(LN(2)/25)*Calculateur!V92*Calculateur!X92*VLOOKUP('Données projet'!$B$9,Paramètres!$A$1:$I$89,3,0)*0.475*44/12</f>
        <v>2.1977931141047344</v>
      </c>
      <c r="AB92" s="21">
        <f>EXP(-LN(2)/2)*AB91+(1-EXP(-LN(2)/2))/(LN(2)/2)*V92*Y92*VLOOKUP('Données projet'!$B$9,Paramètres!$A$1:$I$89,3,0)*0.475*44/12</f>
        <v>2.8387663122579863E-8</v>
      </c>
      <c r="AC92" s="22">
        <f t="shared" si="57"/>
        <v>2.9464893285248062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243.38048563215585</v>
      </c>
      <c r="AO92" s="59">
        <f t="shared" si="90"/>
        <v>372.1604147006675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2.2719056679604126</v>
      </c>
      <c r="AV92" s="21">
        <f>EXP(-LN(2)/25)*AV91+(1-EXP(-LN(2)/25))/(LN(2)/25)*Calculateur!AQ92*Calculateur!AS92*VLOOKUP('Données projet'!$B$10,Paramètres!$A$1:$I$89,3,0)*0.475*44/12</f>
        <v>3.7716296225523114</v>
      </c>
      <c r="AW92" s="21">
        <f>EXP(-LN(2)/2)*AW91+(1-EXP(-LN(2)/2))/(LN(2)/2)*AQ92*AT92*VLOOKUP('Données projet'!$B$10,Paramètres!$A$1:$I$89,3,0)*0.475*44/12</f>
        <v>3.8610384441350398E-8</v>
      </c>
      <c r="AX92" s="21">
        <f t="shared" si="60"/>
        <v>6.0435353291231078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-5.1159076974727213E-13</v>
      </c>
      <c r="BE92" s="13">
        <f>BD92*VLOOKUP('Données projet'!$B$11,Paramètres!$A$1:$I$89,3,0)*VLOOKUP('Données projet'!$B$11,Paramètres!$A$1:$I$89,5,0)</f>
        <v>-3.4317508834647017E-13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207.93042467236967</v>
      </c>
      <c r="BJ92" s="59">
        <f t="shared" si="92"/>
        <v>250.70954318710835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0.85519176421805254</v>
      </c>
      <c r="BQ92" s="21">
        <f>EXP(-LN(2)/25)*BQ91+(1-EXP(-LN(2)/25))/(LN(2)/25)*Calculateur!BL92*Calculateur!BN92*VLOOKUP('Données projet'!$B$11,Paramètres!$A$1:$I$89,3,0)*0.475*44/12</f>
        <v>3.3700507263248909</v>
      </c>
      <c r="BR92" s="21">
        <f>EXP(-LN(2)/2)*BR91+(1-EXP(-LN(2)/2))/(LN(2)/2)*BL92*BO92*VLOOKUP('Données projet'!$B$11,Paramètres!$A$1:$I$89,3,0)*0.475*44/12</f>
        <v>2.6695030640296337E-8</v>
      </c>
      <c r="BS92" s="22">
        <f t="shared" si="63"/>
        <v>4.2252425172379748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1.7053025658242404E-13</v>
      </c>
      <c r="BZ92" s="13">
        <f>BY92*VLOOKUP('Données projet'!$B$12,Paramètres!$A$1:$I$89,3,0)*VLOOKUP('Données projet'!$B$12,Paramètres!$A$1:$I$89,5,0)</f>
        <v>1.3301360013429075E-13</v>
      </c>
      <c r="CA92" s="13">
        <f t="shared" si="93"/>
        <v>1.9329766731057041E-12</v>
      </c>
      <c r="CB92" s="20">
        <f t="shared" si="64"/>
        <v>3.5982663925596575E-12</v>
      </c>
      <c r="CC92" s="59">
        <f t="shared" si="65"/>
        <v>293.3333333333369</v>
      </c>
      <c r="CD92" s="59">
        <f ca="1">AVERAGE(OFFSET($CC$3,0,0,'Données projet'!$E$12+1,1))-AVERAGE(OFFSET($H$3,0,0,'Données projet'!$E$12+1,1))</f>
        <v>266.30229009596883</v>
      </c>
      <c r="CE92" s="59">
        <f t="shared" si="94"/>
        <v>270.19195828386046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0.44949432351083657</v>
      </c>
      <c r="CL92" s="21">
        <f>EXP(-LN(2)/25)*CL91+(1-EXP(-LN(2)/25))/(LN(2)/25)*Calculateur!CG92*Calculateur!CI92*VLOOKUP('Données projet'!$B$12,Paramètres!$A$1:$I$89,3,0)*0.475*44/12</f>
        <v>1.6305426255285058</v>
      </c>
      <c r="CM92" s="21">
        <f>EXP(-LN(2)/2)*CM91+(1-EXP(-LN(2)/2))/(LN(2)/2)*CG92*CJ92*VLOOKUP('Données projet'!$B$12,Paramètres!$A$1:$I$89,3,0)*0.475*44/12</f>
        <v>1.7215907072527537E-8</v>
      </c>
      <c r="CN92" s="22">
        <f t="shared" si="66"/>
        <v>2.0800369662552494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-5.1159076974727213E-13</v>
      </c>
      <c r="CU92" s="17">
        <f>CT92*VLOOKUP('Données projet'!$B$13,Paramètres!$A$1:$I$89,3,0)*VLOOKUP('Données projet'!$B$13,Paramètres!$A$1:$I$89,5,0)</f>
        <v>-4.0702161641092972E-13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260.20517190557814</v>
      </c>
      <c r="CZ92" s="59">
        <f t="shared" si="96"/>
        <v>307.22009971147133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1.0142972087237379</v>
      </c>
      <c r="DG92" s="21">
        <f>EXP(-LN(2)/25)*DG91+(1-EXP(-LN(2)/25))/(LN(2)/25)*Calculateur!DB92*Calculateur!DD92*VLOOKUP('Données projet'!$B$13,Paramètres!$A$1:$I$89,3,0)*0.475*44/12</f>
        <v>3.9970369079667254</v>
      </c>
      <c r="DH92" s="21">
        <f>EXP(-LN(2)/2)*DH91+(1-EXP(-LN(2)/2))/(LN(2)/2)*DB92*DE92*VLOOKUP('Données projet'!$B$13,Paramètres!$A$1:$I$89,3,0)*0.475*44/12</f>
        <v>3.1661547968723564E-8</v>
      </c>
      <c r="DI92" s="22">
        <f t="shared" si="69"/>
        <v>5.0113341483520113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6.6</v>
      </c>
      <c r="DO92" s="12">
        <f>IF('Données projet'!$A$166&gt;35,DO91+DN92-DW91,IF(A92&lt;'Données projet'!$A$166,$DL$205^A92,IF(A92='Données projet'!$A$166,'Données projet'!$B$166,DO91+DN92-DW91)))</f>
        <v>351.4</v>
      </c>
      <c r="DP92" s="17">
        <f>DO92*VLOOKUP('Données projet'!$B$14,Paramètres!$A$1:$I$89,3,0)*VLOOKUP('Données projet'!$B$14,Paramètres!$A$1:$I$89,5,0)</f>
        <v>339.87407999999999</v>
      </c>
      <c r="DQ92" s="13">
        <f t="shared" si="97"/>
        <v>79.473929991714684</v>
      </c>
      <c r="DR92" s="20">
        <f t="shared" si="70"/>
        <v>730.36445073556968</v>
      </c>
      <c r="DS92" s="59">
        <f t="shared" si="71"/>
        <v>1023.697784068903</v>
      </c>
      <c r="DT92" s="59">
        <f ca="1">AVERAGE(OFFSET($DS$3,0,0,'Données projet'!$E$14+1,1))-AVERAGE(OFFSET($H$3,0,0,'Données projet'!$E$14+1,1))</f>
        <v>347.8889410585312</v>
      </c>
      <c r="DU92" s="59">
        <f t="shared" si="98"/>
        <v>254.78167322479203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0.80033040575878223</v>
      </c>
      <c r="EB92" s="21">
        <f>EXP(-LN(2)/25)*EB91+(1-EXP(-LN(2)/25))/(LN(2)/25)*Calculateur!DW92*Calculateur!DY92*VLOOKUP('Données projet'!$B$14,Paramètres!$A$1:$I$89,3,0)*0.475*44/12</f>
        <v>2.3493650530085093</v>
      </c>
      <c r="EC92" s="21">
        <f>EXP(-LN(2)/2)*EC91+(1-EXP(-LN(2)/2))/(LN(2)/2)*DW92*DZ92*VLOOKUP('Données projet'!$B$14,Paramètres!$A$1:$I$89,3,0)*0.475*44/12</f>
        <v>3.0345432993102479E-8</v>
      </c>
      <c r="ED92" s="22">
        <f t="shared" si="72"/>
        <v>3.1496954891127245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6.6</v>
      </c>
      <c r="EJ92" s="12">
        <f>IF('Données projet'!$A$192&gt;35,EJ91+EI92-ER91,IF(A92&lt;'Données projet'!$A$192,$EG$205^A92,IF(A92='Données projet'!$A$192,'Données projet'!$B$192,EJ91+EI92-ER91)))</f>
        <v>351.4</v>
      </c>
      <c r="EK92" s="17">
        <f>EJ92*VLOOKUP('Données projet'!$B$15,Paramètres!$A$1:$I$89,3,0)*VLOOKUP('Données projet'!$B$15,Paramètres!$A$1:$I$89,5,0)</f>
        <v>378.24696</v>
      </c>
      <c r="EL92" s="13">
        <f t="shared" si="99"/>
        <v>87.352321051794732</v>
      </c>
      <c r="EM92" s="20">
        <f t="shared" si="73"/>
        <v>810.91874783187575</v>
      </c>
      <c r="EN92" s="59">
        <f t="shared" si="74"/>
        <v>1104.2520811652091</v>
      </c>
      <c r="EO92" s="59">
        <f ca="1">AVERAGE(OFFSET($EN$3,0,0,'Données projet'!$E$15+1,1))-AVERAGE(OFFSET($H$3,0,0,'Données projet'!$E$15+1,1))</f>
        <v>399.38728019348088</v>
      </c>
      <c r="EP92" s="59">
        <f t="shared" si="100"/>
        <v>289.54922160039791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0.89069029027993418</v>
      </c>
      <c r="EW92" s="21">
        <f>EXP(-LN(2)/25)*EW91+(1-EXP(-LN(2)/25))/(LN(2)/25)*Calculateur!ER92*Calculateur!ET92*VLOOKUP('Données projet'!$B$15,Paramètres!$A$1:$I$89,3,0)*0.475*44/12</f>
        <v>2.614615946090117</v>
      </c>
      <c r="EX92" s="21">
        <f>EXP(-LN(2)/2)*EX91+(1-EXP(-LN(2)/2))/(LN(2)/2)*ER92*EU92*VLOOKUP('Données projet'!$B$15,Paramètres!$A$1:$I$89,3,0)*0.475*44/12</f>
        <v>3.3771530266517278E-8</v>
      </c>
      <c r="EY92" s="22">
        <f t="shared" si="75"/>
        <v>3.5053062701415816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</v>
      </c>
      <c r="O93" s="13">
        <f>N93*VLOOKUP('Données projet'!$B$9,Paramètres!$A$1:$I$89,3,0)*VLOOKUP('Données projet'!$B$9,Paramètres!$A$1:$I$89,5,0)</f>
        <v>323.91839999999996</v>
      </c>
      <c r="P93" s="13">
        <f t="shared" si="87"/>
        <v>76.168074587293091</v>
      </c>
      <c r="Q93" s="20">
        <f t="shared" si="54"/>
        <v>696.81727657286876</v>
      </c>
      <c r="R93" s="59">
        <f t="shared" si="55"/>
        <v>990.15060990620213</v>
      </c>
      <c r="S93" s="59">
        <f ca="1">AVERAGE(OFFSET($R$3,0,0,'Données projet'!$E$9+1,1))-AVERAGE(OFFSET($H$3,0,0,'Données projet'!$E$9+1,1))</f>
        <v>318.40875902853116</v>
      </c>
      <c r="T93" s="59">
        <f t="shared" si="88"/>
        <v>234.87694492493506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0.73401471048389511</v>
      </c>
      <c r="AA93" s="21">
        <f>EXP(-LN(2)/25)*AA92+(1-EXP(-LN(2)/25))/(LN(2)/25)*Calculateur!V93*Calculateur!X93*VLOOKUP('Données projet'!$B$9,Paramètres!$A$1:$I$89,3,0)*0.475*44/12</f>
        <v>2.1376943458226236</v>
      </c>
      <c r="AB93" s="21">
        <f>EXP(-LN(2)/2)*AB92+(1-EXP(-LN(2)/2))/(LN(2)/2)*V93*Y93*VLOOKUP('Données projet'!$B$9,Paramètres!$A$1:$I$89,3,0)*0.475*44/12</f>
        <v>2.0073109096015505E-8</v>
      </c>
      <c r="AC93" s="22">
        <f t="shared" si="57"/>
        <v>2.8717090763796276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243.38048563215585</v>
      </c>
      <c r="AO93" s="59">
        <f t="shared" si="90"/>
        <v>372.1604147006675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2.2273549835373374</v>
      </c>
      <c r="AV93" s="21">
        <f>EXP(-LN(2)/25)*AV92+(1-EXP(-LN(2)/25))/(LN(2)/25)*Calculateur!AQ93*Calculateur!AS93*VLOOKUP('Données projet'!$B$10,Paramètres!$A$1:$I$89,3,0)*0.475*44/12</f>
        <v>3.6684942121822366</v>
      </c>
      <c r="AW93" s="21">
        <f>EXP(-LN(2)/2)*AW92+(1-EXP(-LN(2)/2))/(LN(2)/2)*AQ93*AT93*VLOOKUP('Données projet'!$B$10,Paramètres!$A$1:$I$89,3,0)*0.475*44/12</f>
        <v>2.7301664662698435E-8</v>
      </c>
      <c r="AX93" s="21">
        <f t="shared" si="60"/>
        <v>5.8958492230212389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-5.1159076974727213E-13</v>
      </c>
      <c r="BE93" s="13">
        <f>BD93*VLOOKUP('Données projet'!$B$11,Paramètres!$A$1:$I$89,3,0)*VLOOKUP('Données projet'!$B$11,Paramètres!$A$1:$I$89,5,0)</f>
        <v>-3.4317508834647017E-13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207.93042467236967</v>
      </c>
      <c r="BJ93" s="59">
        <f t="shared" si="92"/>
        <v>250.70954318710835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0.83842197533720741</v>
      </c>
      <c r="BQ93" s="21">
        <f>EXP(-LN(2)/25)*BQ92+(1-EXP(-LN(2)/25))/(LN(2)/25)*Calculateur!BL93*Calculateur!BN93*VLOOKUP('Données projet'!$B$11,Paramètres!$A$1:$I$89,3,0)*0.475*44/12</f>
        <v>3.2778965119902712</v>
      </c>
      <c r="BR93" s="21">
        <f>EXP(-LN(2)/2)*BR92+(1-EXP(-LN(2)/2))/(LN(2)/2)*BL93*BO93*VLOOKUP('Données projet'!$B$11,Paramètres!$A$1:$I$89,3,0)*0.475*44/12</f>
        <v>1.8876237189736203E-8</v>
      </c>
      <c r="BS93" s="22">
        <f t="shared" si="63"/>
        <v>4.116318506203716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1.7053025658242404E-13</v>
      </c>
      <c r="BZ93" s="13">
        <f>BY93*VLOOKUP('Données projet'!$B$12,Paramètres!$A$1:$I$89,3,0)*VLOOKUP('Données projet'!$B$12,Paramètres!$A$1:$I$89,5,0)</f>
        <v>1.3301360013429075E-13</v>
      </c>
      <c r="CA93" s="13">
        <f t="shared" si="93"/>
        <v>1.9329766731057041E-12</v>
      </c>
      <c r="CB93" s="20">
        <f t="shared" si="64"/>
        <v>3.5982663925596575E-12</v>
      </c>
      <c r="CC93" s="59">
        <f t="shared" si="65"/>
        <v>293.3333333333369</v>
      </c>
      <c r="CD93" s="59">
        <f ca="1">AVERAGE(OFFSET($CC$3,0,0,'Données projet'!$E$12+1,1))-AVERAGE(OFFSET($H$3,0,0,'Données projet'!$E$12+1,1))</f>
        <v>266.30229009596883</v>
      </c>
      <c r="CE93" s="59">
        <f t="shared" si="94"/>
        <v>270.19195828386046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0.44068001399125489</v>
      </c>
      <c r="CL93" s="21">
        <f>EXP(-LN(2)/25)*CL92+(1-EXP(-LN(2)/25))/(LN(2)/25)*Calculateur!CG93*Calculateur!CI93*VLOOKUP('Données projet'!$B$12,Paramètres!$A$1:$I$89,3,0)*0.475*44/12</f>
        <v>1.5859553516869187</v>
      </c>
      <c r="CM93" s="21">
        <f>EXP(-LN(2)/2)*CM92+(1-EXP(-LN(2)/2))/(LN(2)/2)*CG93*CJ93*VLOOKUP('Données projet'!$B$12,Paramètres!$A$1:$I$89,3,0)*0.475*44/12</f>
        <v>1.2173484635261665E-8</v>
      </c>
      <c r="CN93" s="22">
        <f t="shared" si="66"/>
        <v>2.0266353778516581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-5.1159076974727213E-13</v>
      </c>
      <c r="CU93" s="17">
        <f>CT93*VLOOKUP('Données projet'!$B$13,Paramètres!$A$1:$I$89,3,0)*VLOOKUP('Données projet'!$B$13,Paramètres!$A$1:$I$89,5,0)</f>
        <v>-4.0702161641092972E-13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260.20517190557814</v>
      </c>
      <c r="CZ93" s="59">
        <f t="shared" si="96"/>
        <v>307.22009971147133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0.99440745912087503</v>
      </c>
      <c r="DG93" s="21">
        <f>EXP(-LN(2)/25)*DG92+(1-EXP(-LN(2)/25))/(LN(2)/25)*Calculateur!DB93*Calculateur!DD93*VLOOKUP('Données projet'!$B$13,Paramètres!$A$1:$I$89,3,0)*0.475*44/12</f>
        <v>3.8877377235233395</v>
      </c>
      <c r="DH93" s="21">
        <f>EXP(-LN(2)/2)*DH92+(1-EXP(-LN(2)/2))/(LN(2)/2)*DB93*DE93*VLOOKUP('Données projet'!$B$13,Paramètres!$A$1:$I$89,3,0)*0.475*44/12</f>
        <v>2.2388095271547592E-8</v>
      </c>
      <c r="DI93" s="22">
        <f t="shared" si="69"/>
        <v>4.8821452050323098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358</v>
      </c>
      <c r="DM93" s="12">
        <f>VLOOKUP(A93,'Données projet'!$A$165:$I$185,9,0)</f>
        <v>6.6</v>
      </c>
      <c r="DN93" s="12">
        <f t="array" ref="DN93">INDEX(DM:DM,MIN(IF(ISNUMBER(DM93:DM289),ROW(DM93:DM289),"")))</f>
        <v>6.6</v>
      </c>
      <c r="DO93" s="12">
        <f>IF('Données projet'!$A$166&gt;35,DO92+DN93-DW92,IF(A93&lt;'Données projet'!$A$166,$DL$205^A93,IF(A93='Données projet'!$A$166,'Données projet'!$B$166,DO92+DN93-DW92)))</f>
        <v>358</v>
      </c>
      <c r="DP93" s="17">
        <f>DO93*VLOOKUP('Données projet'!$B$14,Paramètres!$A$1:$I$89,3,0)*VLOOKUP('Données projet'!$B$14,Paramètres!$A$1:$I$89,5,0)</f>
        <v>346.25760000000002</v>
      </c>
      <c r="DQ93" s="13">
        <f t="shared" si="97"/>
        <v>80.791430742606195</v>
      </c>
      <c r="DR93" s="20">
        <f t="shared" si="70"/>
        <v>743.77706187670583</v>
      </c>
      <c r="DS93" s="59">
        <f t="shared" si="71"/>
        <v>1037.1103952100391</v>
      </c>
      <c r="DT93" s="59">
        <f ca="1">AVERAGE(OFFSET($DS$3,0,0,'Données projet'!$E$14+1,1))-AVERAGE(OFFSET($H$3,0,0,'Données projet'!$E$14+1,1))</f>
        <v>347.8889410585312</v>
      </c>
      <c r="DU93" s="59">
        <f t="shared" si="98"/>
        <v>254.78167322479203</v>
      </c>
      <c r="DV93" s="15">
        <f>IF(ISNA(VLOOKUP(A93,'Données projet'!$A$165:$I$185,3,0)),0,VLOOKUP(A93,'Données projet'!$A$165:$I$185,3,0))</f>
        <v>8</v>
      </c>
      <c r="DW93" s="15">
        <f>IF(ISNA(VLOOKUP(A93,'Données projet'!$A$165:$I$185,4,0)),0,VLOOKUP(A93,'Données projet'!$A$165:$I$185,4,0))</f>
        <v>56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0.78463641465519884</v>
      </c>
      <c r="EB93" s="21">
        <f>EXP(-LN(2)/25)*EB92+(1-EXP(-LN(2)/25))/(LN(2)/25)*Calculateur!DW93*Calculateur!DY93*VLOOKUP('Données projet'!$B$14,Paramètres!$A$1:$I$89,3,0)*0.475*44/12</f>
        <v>2.285121542086253</v>
      </c>
      <c r="EC93" s="21">
        <f>EXP(-LN(2)/2)*EC92+(1-EXP(-LN(2)/2))/(LN(2)/2)*DW93*DZ93*VLOOKUP('Données projet'!$B$14,Paramètres!$A$1:$I$89,3,0)*0.475*44/12</f>
        <v>2.1457461447464755E-8</v>
      </c>
      <c r="ED93" s="22">
        <f t="shared" si="72"/>
        <v>3.0697579781989135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358</v>
      </c>
      <c r="EH93" s="12">
        <f>VLOOKUP(A93,'Données projet'!$A$191:$I$211,9,0)</f>
        <v>6.6</v>
      </c>
      <c r="EI93" s="12">
        <f t="array" ref="EI93">INDEX(EH:EH,MIN(IF(ISNUMBER(EH93:EH289),ROW(EH93:EH289),"")))</f>
        <v>6.6</v>
      </c>
      <c r="EJ93" s="12">
        <f>IF('Données projet'!$A$192&gt;35,EJ92+EI93-ER92,IF(A93&lt;'Données projet'!$A$192,$EG$205^A93,IF(A93='Données projet'!$A$192,'Données projet'!$B$192,EJ92+EI93-ER92)))</f>
        <v>358</v>
      </c>
      <c r="EK93" s="17">
        <f>EJ93*VLOOKUP('Données projet'!$B$15,Paramètres!$A$1:$I$89,3,0)*VLOOKUP('Données projet'!$B$15,Paramètres!$A$1:$I$89,5,0)</f>
        <v>385.35120000000001</v>
      </c>
      <c r="EL93" s="13">
        <f t="shared" si="99"/>
        <v>88.800427979309902</v>
      </c>
      <c r="EM93" s="20">
        <f t="shared" si="73"/>
        <v>825.81408539729807</v>
      </c>
      <c r="EN93" s="59">
        <f t="shared" si="74"/>
        <v>1119.1474187306314</v>
      </c>
      <c r="EO93" s="59">
        <f ca="1">AVERAGE(OFFSET($EN$3,0,0,'Données projet'!$E$15+1,1))-AVERAGE(OFFSET($H$3,0,0,'Données projet'!$E$15+1,1))</f>
        <v>399.38728019348088</v>
      </c>
      <c r="EP93" s="59">
        <f t="shared" si="100"/>
        <v>289.54922160039791</v>
      </c>
      <c r="EQ93" s="15">
        <f>IF(ISNA(VLOOKUP(A93,'Données projet'!$A$191:$I$211,3,0)),0,VLOOKUP(A93,'Données projet'!$A$191:$I$211,3,0))</f>
        <v>8</v>
      </c>
      <c r="ER93" s="15">
        <f>IF(ISNA(VLOOKUP(A93,'Données projet'!$A$191:$I$211,4,0)),0,VLOOKUP(A93,'Données projet'!$A$191:$I$211,4,0))</f>
        <v>56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0.87322439695497855</v>
      </c>
      <c r="EW93" s="21">
        <f>EXP(-LN(2)/25)*EW92+(1-EXP(-LN(2)/25))/(LN(2)/25)*Calculateur!ER93*Calculateur!ET93*VLOOKUP('Données projet'!$B$15,Paramètres!$A$1:$I$89,3,0)*0.475*44/12</f>
        <v>2.5431191355476059</v>
      </c>
      <c r="EX93" s="21">
        <f>EXP(-LN(2)/2)*EX92+(1-EXP(-LN(2)/2))/(LN(2)/2)*ER93*EU93*VLOOKUP('Données projet'!$B$15,Paramètres!$A$1:$I$89,3,0)*0.475*44/12</f>
        <v>2.38800780625011E-8</v>
      </c>
      <c r="EY93" s="22">
        <f t="shared" si="75"/>
        <v>3.4163435563826625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5.9</v>
      </c>
      <c r="N94" s="13">
        <f>IF('Données projet'!$A$36&gt;35,N93+M94-V93,IF(A94&lt;'Données projet'!$A$36,$K$205^A94,IF(A94='Données projet'!$A$36,'Données projet'!$B$36,N93+M94-V93)))</f>
        <v>307.89999999999998</v>
      </c>
      <c r="O94" s="13">
        <f>N94*VLOOKUP('Données projet'!$B$9,Paramètres!$A$1:$I$89,3,0)*VLOOKUP('Données projet'!$B$9,Paramètres!$A$1:$I$89,5,0)</f>
        <v>278.58791999999994</v>
      </c>
      <c r="P94" s="13">
        <f t="shared" si="87"/>
        <v>66.668508032294213</v>
      </c>
      <c r="Q94" s="20">
        <f t="shared" si="54"/>
        <v>601.32161215624558</v>
      </c>
      <c r="R94" s="59">
        <f t="shared" si="55"/>
        <v>894.65494548957895</v>
      </c>
      <c r="S94" s="59">
        <f ca="1">AVERAGE(OFFSET($R$3,0,0,'Données projet'!$E$9+1,1))-AVERAGE(OFFSET($H$3,0,0,'Données projet'!$E$9+1,1))</f>
        <v>318.40875902853116</v>
      </c>
      <c r="T94" s="59">
        <f t="shared" si="88"/>
        <v>234.87694492493506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0.71962112971607217</v>
      </c>
      <c r="AA94" s="21">
        <f>EXP(-LN(2)/25)*AA93+(1-EXP(-LN(2)/25))/(LN(2)/25)*Calculateur!V94*Calculateur!X94*VLOOKUP('Données projet'!$B$9,Paramètres!$A$1:$I$89,3,0)*0.475*44/12</f>
        <v>2.0792389815196439</v>
      </c>
      <c r="AB94" s="21">
        <f>EXP(-LN(2)/2)*AB93+(1-EXP(-LN(2)/2))/(LN(2)/2)*V94*Y94*VLOOKUP('Données projet'!$B$9,Paramètres!$A$1:$I$89,3,0)*0.475*44/12</f>
        <v>1.4193831561289933E-8</v>
      </c>
      <c r="AC94" s="22">
        <f t="shared" si="57"/>
        <v>2.7988601254295475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243.38048563215585</v>
      </c>
      <c r="AO94" s="59">
        <f t="shared" si="90"/>
        <v>372.1604147006675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2.1836779108625644</v>
      </c>
      <c r="AV94" s="21">
        <f>EXP(-LN(2)/25)*AV93+(1-EXP(-LN(2)/25))/(LN(2)/25)*Calculateur!AQ94*Calculateur!AS94*VLOOKUP('Données projet'!$B$10,Paramètres!$A$1:$I$89,3,0)*0.475*44/12</f>
        <v>3.5681790450323874</v>
      </c>
      <c r="AW94" s="21">
        <f>EXP(-LN(2)/2)*AW93+(1-EXP(-LN(2)/2))/(LN(2)/2)*AQ94*AT94*VLOOKUP('Données projet'!$B$10,Paramètres!$A$1:$I$89,3,0)*0.475*44/12</f>
        <v>1.9305192220675199E-8</v>
      </c>
      <c r="AX94" s="21">
        <f t="shared" si="60"/>
        <v>5.7518569752001438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-5.1159076974727213E-13</v>
      </c>
      <c r="BE94" s="13">
        <f>BD94*VLOOKUP('Données projet'!$B$11,Paramètres!$A$1:$I$89,3,0)*VLOOKUP('Données projet'!$B$11,Paramètres!$A$1:$I$89,5,0)</f>
        <v>-3.4317508834647017E-13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207.93042467236967</v>
      </c>
      <c r="BJ94" s="59">
        <f t="shared" si="92"/>
        <v>250.70954318710835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0.8219810317877545</v>
      </c>
      <c r="BQ94" s="21">
        <f>EXP(-LN(2)/25)*BQ93+(1-EXP(-LN(2)/25))/(LN(2)/25)*Calculateur!BL94*Calculateur!BN94*VLOOKUP('Données projet'!$B$11,Paramètres!$A$1:$I$89,3,0)*0.475*44/12</f>
        <v>3.1882622594928116</v>
      </c>
      <c r="BR94" s="21">
        <f>EXP(-LN(2)/2)*BR93+(1-EXP(-LN(2)/2))/(LN(2)/2)*BL94*BO94*VLOOKUP('Données projet'!$B$11,Paramètres!$A$1:$I$89,3,0)*0.475*44/12</f>
        <v>1.3347515320148168E-8</v>
      </c>
      <c r="BS94" s="22">
        <f t="shared" si="63"/>
        <v>4.010243304628081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1.7053025658242404E-13</v>
      </c>
      <c r="BZ94" s="13">
        <f>BY94*VLOOKUP('Données projet'!$B$12,Paramètres!$A$1:$I$89,3,0)*VLOOKUP('Données projet'!$B$12,Paramètres!$A$1:$I$89,5,0)</f>
        <v>1.3301360013429075E-13</v>
      </c>
      <c r="CA94" s="13">
        <f t="shared" si="93"/>
        <v>1.9329766731057041E-12</v>
      </c>
      <c r="CB94" s="20">
        <f t="shared" si="64"/>
        <v>3.5982663925596575E-12</v>
      </c>
      <c r="CC94" s="59">
        <f t="shared" si="65"/>
        <v>293.3333333333369</v>
      </c>
      <c r="CD94" s="59">
        <f ca="1">AVERAGE(OFFSET($CC$3,0,0,'Données projet'!$E$12+1,1))-AVERAGE(OFFSET($H$3,0,0,'Données projet'!$E$12+1,1))</f>
        <v>266.30229009596883</v>
      </c>
      <c r="CE94" s="59">
        <f t="shared" si="94"/>
        <v>270.19195828386046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0.43203854770515426</v>
      </c>
      <c r="CL94" s="21">
        <f>EXP(-LN(2)/25)*CL93+(1-EXP(-LN(2)/25))/(LN(2)/25)*Calculateur!CG94*Calculateur!CI94*VLOOKUP('Données projet'!$B$12,Paramètres!$A$1:$I$89,3,0)*0.475*44/12</f>
        <v>1.5425873191932726</v>
      </c>
      <c r="CM94" s="21">
        <f>EXP(-LN(2)/2)*CM93+(1-EXP(-LN(2)/2))/(LN(2)/2)*CG94*CJ94*VLOOKUP('Données projet'!$B$12,Paramètres!$A$1:$I$89,3,0)*0.475*44/12</f>
        <v>8.6079535362637686E-9</v>
      </c>
      <c r="CN94" s="22">
        <f t="shared" si="66"/>
        <v>1.9746258755063804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-5.1159076974727213E-13</v>
      </c>
      <c r="CU94" s="17">
        <f>CT94*VLOOKUP('Données projet'!$B$13,Paramètres!$A$1:$I$89,3,0)*VLOOKUP('Données projet'!$B$13,Paramètres!$A$1:$I$89,5,0)</f>
        <v>-4.0702161641092972E-13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260.20517190557814</v>
      </c>
      <c r="CZ94" s="59">
        <f t="shared" si="96"/>
        <v>307.22009971147133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0.97490773537617503</v>
      </c>
      <c r="DG94" s="21">
        <f>EXP(-LN(2)/25)*DG93+(1-EXP(-LN(2)/25))/(LN(2)/25)*Calculateur!DB94*Calculateur!DD94*VLOOKUP('Données projet'!$B$13,Paramètres!$A$1:$I$89,3,0)*0.475*44/12</f>
        <v>3.7814273310263524</v>
      </c>
      <c r="DH94" s="21">
        <f>EXP(-LN(2)/2)*DH93+(1-EXP(-LN(2)/2))/(LN(2)/2)*DB94*DE94*VLOOKUP('Données projet'!$B$13,Paramètres!$A$1:$I$89,3,0)*0.475*44/12</f>
        <v>1.5830773984361782E-8</v>
      </c>
      <c r="DI94" s="22">
        <f t="shared" si="69"/>
        <v>4.7563350822333019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5.9</v>
      </c>
      <c r="DO94" s="12">
        <f>IF('Données projet'!$A$166&gt;35,DO93+DN94-DW93,IF(A94&lt;'Données projet'!$A$166,$DL$205^A94,IF(A94='Données projet'!$A$166,'Données projet'!$B$166,DO93+DN94-DW93)))</f>
        <v>307.89999999999998</v>
      </c>
      <c r="DP94" s="17">
        <f>DO94*VLOOKUP('Données projet'!$B$14,Paramètres!$A$1:$I$89,3,0)*VLOOKUP('Données projet'!$B$14,Paramètres!$A$1:$I$89,5,0)</f>
        <v>297.80088000000001</v>
      </c>
      <c r="DQ94" s="13">
        <f t="shared" si="97"/>
        <v>70.715246231293804</v>
      </c>
      <c r="DR94" s="20">
        <f t="shared" si="70"/>
        <v>641.83225318617008</v>
      </c>
      <c r="DS94" s="59">
        <f t="shared" si="71"/>
        <v>935.16558651950345</v>
      </c>
      <c r="DT94" s="59">
        <f ca="1">AVERAGE(OFFSET($DS$3,0,0,'Données projet'!$E$14+1,1))-AVERAGE(OFFSET($H$3,0,0,'Données projet'!$E$14+1,1))</f>
        <v>347.8889410585312</v>
      </c>
      <c r="DU94" s="59">
        <f t="shared" si="98"/>
        <v>254.78167322479203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0.7692501731447674</v>
      </c>
      <c r="EB94" s="21">
        <f>EXP(-LN(2)/25)*EB93+(1-EXP(-LN(2)/25))/(LN(2)/25)*Calculateur!DW94*Calculateur!DY94*VLOOKUP('Données projet'!$B$14,Paramètres!$A$1:$I$89,3,0)*0.475*44/12</f>
        <v>2.2226347733485854</v>
      </c>
      <c r="EC94" s="21">
        <f>EXP(-LN(2)/2)*EC93+(1-EXP(-LN(2)/2))/(LN(2)/2)*DW94*DZ94*VLOOKUP('Données projet'!$B$14,Paramètres!$A$1:$I$89,3,0)*0.475*44/12</f>
        <v>1.5172716496551239E-8</v>
      </c>
      <c r="ED94" s="22">
        <f t="shared" si="72"/>
        <v>2.9918849616660692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5.9</v>
      </c>
      <c r="EJ94" s="12">
        <f>IF('Données projet'!$A$192&gt;35,EJ93+EI94-ER93,IF(A94&lt;'Données projet'!$A$192,$EG$205^A94,IF(A94='Données projet'!$A$192,'Données projet'!$B$192,EJ93+EI94-ER93)))</f>
        <v>307.89999999999998</v>
      </c>
      <c r="EK94" s="17">
        <f>EJ94*VLOOKUP('Données projet'!$B$15,Paramètres!$A$1:$I$89,3,0)*VLOOKUP('Données projet'!$B$15,Paramètres!$A$1:$I$89,5,0)</f>
        <v>331.42355999999995</v>
      </c>
      <c r="EL94" s="13">
        <f t="shared" si="99"/>
        <v>77.725373499167191</v>
      </c>
      <c r="EM94" s="20">
        <f t="shared" si="73"/>
        <v>712.60105917771614</v>
      </c>
      <c r="EN94" s="59">
        <f t="shared" si="74"/>
        <v>1005.9343925110495</v>
      </c>
      <c r="EO94" s="59">
        <f ca="1">AVERAGE(OFFSET($EN$3,0,0,'Données projet'!$E$15+1,1))-AVERAGE(OFFSET($H$3,0,0,'Données projet'!$E$15+1,1))</f>
        <v>399.38728019348088</v>
      </c>
      <c r="EP94" s="59">
        <f t="shared" si="100"/>
        <v>289.54922160039791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0.85610099914498228</v>
      </c>
      <c r="EW94" s="21">
        <f>EXP(-LN(2)/25)*EW93+(1-EXP(-LN(2)/25))/(LN(2)/25)*Calculateur!ER94*Calculateur!ET94*VLOOKUP('Données projet'!$B$15,Paramètres!$A$1:$I$89,3,0)*0.475*44/12</f>
        <v>2.4735774090492337</v>
      </c>
      <c r="EX94" s="21">
        <f>EXP(-LN(2)/2)*EX93+(1-EXP(-LN(2)/2))/(LN(2)/2)*ER94*EU94*VLOOKUP('Données projet'!$B$15,Paramètres!$A$1:$I$89,3,0)*0.475*44/12</f>
        <v>1.6885765133258639E-8</v>
      </c>
      <c r="EY94" s="22">
        <f t="shared" si="75"/>
        <v>3.3296784250799814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5.9</v>
      </c>
      <c r="N95" s="13">
        <f>IF('Données projet'!$A$36&gt;35,N94+M95-V94,IF(A95&lt;'Données projet'!$A$36,$K$205^A95,IF(A95='Données projet'!$A$36,'Données projet'!$B$36,N94+M95-V94)))</f>
        <v>313.79999999999995</v>
      </c>
      <c r="O95" s="13">
        <f>N95*VLOOKUP('Données projet'!$B$9,Paramètres!$A$1:$I$89,3,0)*VLOOKUP('Données projet'!$B$9,Paramètres!$A$1:$I$89,5,0)</f>
        <v>283.92623999999995</v>
      </c>
      <c r="P95" s="13">
        <f t="shared" si="87"/>
        <v>67.796062628528304</v>
      </c>
      <c r="Q95" s="20">
        <f t="shared" si="54"/>
        <v>612.58301041135337</v>
      </c>
      <c r="R95" s="59">
        <f t="shared" si="55"/>
        <v>905.91634374468663</v>
      </c>
      <c r="S95" s="59">
        <f ca="1">AVERAGE(OFFSET($R$3,0,0,'Données projet'!$E$9+1,1))-AVERAGE(OFFSET($H$3,0,0,'Données projet'!$E$9+1,1))</f>
        <v>318.40875902853116</v>
      </c>
      <c r="T95" s="59">
        <f t="shared" si="88"/>
        <v>234.87694492493506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0.70550979828788885</v>
      </c>
      <c r="AA95" s="21">
        <f>EXP(-LN(2)/25)*AA94+(1-EXP(-LN(2)/25))/(LN(2)/25)*Calculateur!V95*Calculateur!X95*VLOOKUP('Données projet'!$B$9,Paramètres!$A$1:$I$89,3,0)*0.475*44/12</f>
        <v>2.0223820822275633</v>
      </c>
      <c r="AB95" s="21">
        <f>EXP(-LN(2)/2)*AB94+(1-EXP(-LN(2)/2))/(LN(2)/2)*V95*Y95*VLOOKUP('Données projet'!$B$9,Paramètres!$A$1:$I$89,3,0)*0.475*44/12</f>
        <v>1.0036554548007754E-8</v>
      </c>
      <c r="AC95" s="22">
        <f t="shared" si="57"/>
        <v>2.7278918905520069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243.38048563215585</v>
      </c>
      <c r="AO95" s="59">
        <f t="shared" si="90"/>
        <v>372.1604147006675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2.1408573189425595</v>
      </c>
      <c r="AV95" s="21">
        <f>EXP(-LN(2)/25)*AV94+(1-EXP(-LN(2)/25))/(LN(2)/25)*Calculateur!AQ95*Calculateur!AS95*VLOOKUP('Données projet'!$B$10,Paramètres!$A$1:$I$89,3,0)*0.475*44/12</f>
        <v>3.4706070014035961</v>
      </c>
      <c r="AW95" s="21">
        <f>EXP(-LN(2)/2)*AW94+(1-EXP(-LN(2)/2))/(LN(2)/2)*AQ95*AT95*VLOOKUP('Données projet'!$B$10,Paramètres!$A$1:$I$89,3,0)*0.475*44/12</f>
        <v>1.3650832331349218E-8</v>
      </c>
      <c r="AX95" s="21">
        <f t="shared" si="60"/>
        <v>5.6114643339969881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-5.1159076974727213E-13</v>
      </c>
      <c r="BE95" s="13">
        <f>BD95*VLOOKUP('Données projet'!$B$11,Paramètres!$A$1:$I$89,3,0)*VLOOKUP('Données projet'!$B$11,Paramètres!$A$1:$I$89,5,0)</f>
        <v>-3.4317508834647017E-13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207.93042467236967</v>
      </c>
      <c r="BJ95" s="59">
        <f t="shared" si="92"/>
        <v>250.70954318710835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0.80586248511332093</v>
      </c>
      <c r="BQ95" s="21">
        <f>EXP(-LN(2)/25)*BQ94+(1-EXP(-LN(2)/25))/(LN(2)/25)*Calculateur!BL95*Calculateur!BN95*VLOOKUP('Données projet'!$B$11,Paramètres!$A$1:$I$89,3,0)*0.475*44/12</f>
        <v>3.1010790603435554</v>
      </c>
      <c r="BR95" s="21">
        <f>EXP(-LN(2)/2)*BR94+(1-EXP(-LN(2)/2))/(LN(2)/2)*BL95*BO95*VLOOKUP('Données projet'!$B$11,Paramètres!$A$1:$I$89,3,0)*0.475*44/12</f>
        <v>9.4381185948681016E-9</v>
      </c>
      <c r="BS95" s="22">
        <f t="shared" si="63"/>
        <v>3.9069415548949951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1.7053025658242404E-13</v>
      </c>
      <c r="BZ95" s="13">
        <f>BY95*VLOOKUP('Données projet'!$B$12,Paramètres!$A$1:$I$89,3,0)*VLOOKUP('Données projet'!$B$12,Paramètres!$A$1:$I$89,5,0)</f>
        <v>1.3301360013429075E-13</v>
      </c>
      <c r="CA95" s="13">
        <f t="shared" si="93"/>
        <v>1.9329766731057041E-12</v>
      </c>
      <c r="CB95" s="20">
        <f t="shared" si="64"/>
        <v>3.5982663925596575E-12</v>
      </c>
      <c r="CC95" s="59">
        <f t="shared" si="65"/>
        <v>293.3333333333369</v>
      </c>
      <c r="CD95" s="59">
        <f ca="1">AVERAGE(OFFSET($CC$3,0,0,'Données projet'!$E$12+1,1))-AVERAGE(OFFSET($H$3,0,0,'Données projet'!$E$12+1,1))</f>
        <v>266.30229009596883</v>
      </c>
      <c r="CE95" s="59">
        <f t="shared" si="94"/>
        <v>270.19195828386046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0.4235665353021501</v>
      </c>
      <c r="CL95" s="21">
        <f>EXP(-LN(2)/25)*CL94+(1-EXP(-LN(2)/25))/(LN(2)/25)*Calculateur!CG95*Calculateur!CI95*VLOOKUP('Données projet'!$B$12,Paramètres!$A$1:$I$89,3,0)*0.475*44/12</f>
        <v>1.5004051878287912</v>
      </c>
      <c r="CM95" s="21">
        <f>EXP(-LN(2)/2)*CM94+(1-EXP(-LN(2)/2))/(LN(2)/2)*CG95*CJ95*VLOOKUP('Données projet'!$B$12,Paramètres!$A$1:$I$89,3,0)*0.475*44/12</f>
        <v>6.0867423176308327E-9</v>
      </c>
      <c r="CN95" s="22">
        <f t="shared" si="66"/>
        <v>1.9239717292176834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-5.1159076974727213E-13</v>
      </c>
      <c r="CU95" s="17">
        <f>CT95*VLOOKUP('Données projet'!$B$13,Paramètres!$A$1:$I$89,3,0)*VLOOKUP('Données projet'!$B$13,Paramètres!$A$1:$I$89,5,0)</f>
        <v>-4.0702161641092972E-13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260.20517190557814</v>
      </c>
      <c r="CZ95" s="59">
        <f t="shared" si="96"/>
        <v>307.22009971147133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0.95579038932045146</v>
      </c>
      <c r="DG95" s="21">
        <f>EXP(-LN(2)/25)*DG94+(1-EXP(-LN(2)/25))/(LN(2)/25)*Calculateur!DB95*Calculateur!DD95*VLOOKUP('Données projet'!$B$13,Paramètres!$A$1:$I$89,3,0)*0.475*44/12</f>
        <v>3.6780240018028159</v>
      </c>
      <c r="DH95" s="21">
        <f>EXP(-LN(2)/2)*DH94+(1-EXP(-LN(2)/2))/(LN(2)/2)*DB95*DE95*VLOOKUP('Données projet'!$B$13,Paramètres!$A$1:$I$89,3,0)*0.475*44/12</f>
        <v>1.1194047635773796E-8</v>
      </c>
      <c r="DI95" s="22">
        <f t="shared" si="69"/>
        <v>4.6338144023173147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5.9</v>
      </c>
      <c r="DO95" s="12">
        <f>IF('Données projet'!$A$166&gt;35,DO94+DN95-DW94,IF(A95&lt;'Données projet'!$A$166,$DL$205^A95,IF(A95='Données projet'!$A$166,'Données projet'!$B$166,DO94+DN95-DW94)))</f>
        <v>313.79999999999995</v>
      </c>
      <c r="DP95" s="17">
        <f>DO95*VLOOKUP('Données projet'!$B$14,Paramètres!$A$1:$I$89,3,0)*VLOOKUP('Données projet'!$B$14,Paramètres!$A$1:$I$89,5,0)</f>
        <v>303.50736000000001</v>
      </c>
      <c r="DQ95" s="13">
        <f t="shared" si="97"/>
        <v>71.911242710970484</v>
      </c>
      <c r="DR95" s="20">
        <f t="shared" si="70"/>
        <v>653.85406638827351</v>
      </c>
      <c r="DS95" s="59">
        <f t="shared" si="71"/>
        <v>947.18739972160688</v>
      </c>
      <c r="DT95" s="59">
        <f ca="1">AVERAGE(OFFSET($DS$3,0,0,'Données projet'!$E$14+1,1))-AVERAGE(OFFSET($H$3,0,0,'Données projet'!$E$14+1,1))</f>
        <v>347.8889410585312</v>
      </c>
      <c r="DU95" s="59">
        <f t="shared" si="98"/>
        <v>254.78167322479203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0.75416564644567485</v>
      </c>
      <c r="EB95" s="21">
        <f>EXP(-LN(2)/25)*EB94+(1-EXP(-LN(2)/25))/(LN(2)/25)*Calculateur!DW95*Calculateur!DY95*VLOOKUP('Données projet'!$B$14,Paramètres!$A$1:$I$89,3,0)*0.475*44/12</f>
        <v>2.1618567085880853</v>
      </c>
      <c r="EC95" s="21">
        <f>EXP(-LN(2)/2)*EC94+(1-EXP(-LN(2)/2))/(LN(2)/2)*DW95*DZ95*VLOOKUP('Données projet'!$B$14,Paramètres!$A$1:$I$89,3,0)*0.475*44/12</f>
        <v>1.0728730723732377E-8</v>
      </c>
      <c r="ED95" s="22">
        <f t="shared" si="72"/>
        <v>2.9160223657624909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5.9</v>
      </c>
      <c r="EJ95" s="12">
        <f>IF('Données projet'!$A$192&gt;35,EJ94+EI95-ER94,IF(A95&lt;'Données projet'!$A$192,$EG$205^A95,IF(A95='Données projet'!$A$192,'Données projet'!$B$192,EJ94+EI95-ER94)))</f>
        <v>313.79999999999995</v>
      </c>
      <c r="EK95" s="17">
        <f>EJ95*VLOOKUP('Données projet'!$B$15,Paramètres!$A$1:$I$89,3,0)*VLOOKUP('Données projet'!$B$15,Paramètres!$A$1:$I$89,5,0)</f>
        <v>337.77431999999993</v>
      </c>
      <c r="EL95" s="13">
        <f t="shared" si="99"/>
        <v>79.039931222441098</v>
      </c>
      <c r="EM95" s="20">
        <f t="shared" si="73"/>
        <v>725.95148754575155</v>
      </c>
      <c r="EN95" s="59">
        <f t="shared" si="74"/>
        <v>1019.2848208790849</v>
      </c>
      <c r="EO95" s="59">
        <f ca="1">AVERAGE(OFFSET($EN$3,0,0,'Données projet'!$E$15+1,1))-AVERAGE(OFFSET($H$3,0,0,'Données projet'!$E$15+1,1))</f>
        <v>399.38728019348088</v>
      </c>
      <c r="EP95" s="59">
        <f t="shared" si="100"/>
        <v>289.54922160039791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0.83931338072179862</v>
      </c>
      <c r="EW95" s="21">
        <f>EXP(-LN(2)/25)*EW94+(1-EXP(-LN(2)/25))/(LN(2)/25)*Calculateur!ER95*Calculateur!ET95*VLOOKUP('Données projet'!$B$15,Paramètres!$A$1:$I$89,3,0)*0.475*44/12</f>
        <v>2.405937304719</v>
      </c>
      <c r="EX95" s="21">
        <f>EXP(-LN(2)/2)*EX94+(1-EXP(-LN(2)/2))/(LN(2)/2)*ER95*EU95*VLOOKUP('Données projet'!$B$15,Paramètres!$A$1:$I$89,3,0)*0.475*44/12</f>
        <v>1.194003903125055E-8</v>
      </c>
      <c r="EY95" s="22">
        <f t="shared" si="75"/>
        <v>3.2452506973808379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5.9</v>
      </c>
      <c r="N96" s="13">
        <f>IF('Données projet'!$A$36&gt;35,N95+M96-V95,IF(A96&lt;'Données projet'!$A$36,$K$205^A96,IF(A96='Données projet'!$A$36,'Données projet'!$B$36,N95+M96-V95)))</f>
        <v>319.69999999999993</v>
      </c>
      <c r="O96" s="13">
        <f>N96*VLOOKUP('Données projet'!$B$9,Paramètres!$A$1:$I$89,3,0)*VLOOKUP('Données projet'!$B$9,Paramètres!$A$1:$I$89,5,0)</f>
        <v>289.26455999999996</v>
      </c>
      <c r="P96" s="13">
        <f t="shared" si="87"/>
        <v>68.921152085057912</v>
      </c>
      <c r="Q96" s="20">
        <f t="shared" si="54"/>
        <v>623.84011521480909</v>
      </c>
      <c r="R96" s="59">
        <f t="shared" si="55"/>
        <v>917.17344854814246</v>
      </c>
      <c r="S96" s="59">
        <f ca="1">AVERAGE(OFFSET($R$3,0,0,'Données projet'!$E$9+1,1))-AVERAGE(OFFSET($H$3,0,0,'Données projet'!$E$9+1,1))</f>
        <v>318.40875902853116</v>
      </c>
      <c r="T96" s="59">
        <f t="shared" si="88"/>
        <v>234.87694492493506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0.69167518146194984</v>
      </c>
      <c r="AA96" s="21">
        <f>EXP(-LN(2)/25)*AA95+(1-EXP(-LN(2)/25))/(LN(2)/25)*Calculateur!V96*Calculateur!X96*VLOOKUP('Données projet'!$B$9,Paramètres!$A$1:$I$89,3,0)*0.475*44/12</f>
        <v>1.9670799378365991</v>
      </c>
      <c r="AB96" s="21">
        <f>EXP(-LN(2)/2)*AB95+(1-EXP(-LN(2)/2))/(LN(2)/2)*V96*Y96*VLOOKUP('Données projet'!$B$9,Paramètres!$A$1:$I$89,3,0)*0.475*44/12</f>
        <v>7.0969157806449674E-9</v>
      </c>
      <c r="AC96" s="22">
        <f t="shared" si="57"/>
        <v>2.658755126395465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243.38048563215585</v>
      </c>
      <c r="AO96" s="59">
        <f t="shared" si="90"/>
        <v>372.1604147006675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2.0988764127121242</v>
      </c>
      <c r="AV96" s="21">
        <f>EXP(-LN(2)/25)*AV95+(1-EXP(-LN(2)/25))/(LN(2)/25)*Calculateur!AQ96*Calculateur!AS96*VLOOKUP('Données projet'!$B$10,Paramètres!$A$1:$I$89,3,0)*0.475*44/12</f>
        <v>3.3757030704389246</v>
      </c>
      <c r="AW96" s="21">
        <f>EXP(-LN(2)/2)*AW95+(1-EXP(-LN(2)/2))/(LN(2)/2)*AQ96*AT96*VLOOKUP('Données projet'!$B$10,Paramètres!$A$1:$I$89,3,0)*0.475*44/12</f>
        <v>9.6525961103375995E-9</v>
      </c>
      <c r="AX96" s="21">
        <f t="shared" si="60"/>
        <v>5.4745794928036444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-5.1159076974727213E-13</v>
      </c>
      <c r="BE96" s="13">
        <f>BD96*VLOOKUP('Données projet'!$B$11,Paramètres!$A$1:$I$89,3,0)*VLOOKUP('Données projet'!$B$11,Paramètres!$A$1:$I$89,5,0)</f>
        <v>-3.4317508834647017E-13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207.93042467236967</v>
      </c>
      <c r="BJ96" s="59">
        <f t="shared" si="92"/>
        <v>250.70954318710835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0.79006001330783027</v>
      </c>
      <c r="BQ96" s="21">
        <f>EXP(-LN(2)/25)*BQ95+(1-EXP(-LN(2)/25))/(LN(2)/25)*Calculateur!BL96*Calculateur!BN96*VLOOKUP('Données projet'!$B$11,Paramètres!$A$1:$I$89,3,0)*0.475*44/12</f>
        <v>3.0162798903598009</v>
      </c>
      <c r="BR96" s="21">
        <f>EXP(-LN(2)/2)*BR95+(1-EXP(-LN(2)/2))/(LN(2)/2)*BL96*BO96*VLOOKUP('Données projet'!$B$11,Paramètres!$A$1:$I$89,3,0)*0.475*44/12</f>
        <v>6.6737576600740842E-9</v>
      </c>
      <c r="BS96" s="22">
        <f t="shared" si="63"/>
        <v>3.8063399103413889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1.7053025658242404E-13</v>
      </c>
      <c r="BZ96" s="13">
        <f>BY96*VLOOKUP('Données projet'!$B$12,Paramètres!$A$1:$I$89,3,0)*VLOOKUP('Données projet'!$B$12,Paramètres!$A$1:$I$89,5,0)</f>
        <v>1.3301360013429075E-13</v>
      </c>
      <c r="CA96" s="13">
        <f t="shared" si="93"/>
        <v>1.9329766731057041E-12</v>
      </c>
      <c r="CB96" s="20">
        <f t="shared" si="64"/>
        <v>3.5982663925596575E-12</v>
      </c>
      <c r="CC96" s="59">
        <f t="shared" si="65"/>
        <v>293.3333333333369</v>
      </c>
      <c r="CD96" s="59">
        <f ca="1">AVERAGE(OFFSET($CC$3,0,0,'Données projet'!$E$12+1,1))-AVERAGE(OFFSET($H$3,0,0,'Données projet'!$E$12+1,1))</f>
        <v>266.30229009596883</v>
      </c>
      <c r="CE96" s="59">
        <f t="shared" si="94"/>
        <v>270.19195828386046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0.41526065389495154</v>
      </c>
      <c r="CL96" s="21">
        <f>EXP(-LN(2)/25)*CL95+(1-EXP(-LN(2)/25))/(LN(2)/25)*Calculateur!CG96*Calculateur!CI96*VLOOKUP('Données projet'!$B$12,Paramètres!$A$1:$I$89,3,0)*0.475*44/12</f>
        <v>1.4593765290647334</v>
      </c>
      <c r="CM96" s="21">
        <f>EXP(-LN(2)/2)*CM95+(1-EXP(-LN(2)/2))/(LN(2)/2)*CG96*CJ96*VLOOKUP('Données projet'!$B$12,Paramètres!$A$1:$I$89,3,0)*0.475*44/12</f>
        <v>4.3039767681318843E-9</v>
      </c>
      <c r="CN96" s="22">
        <f t="shared" si="66"/>
        <v>1.8746371872636616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-5.1159076974727213E-13</v>
      </c>
      <c r="CU96" s="17">
        <f>CT96*VLOOKUP('Données projet'!$B$13,Paramètres!$A$1:$I$89,3,0)*VLOOKUP('Données projet'!$B$13,Paramètres!$A$1:$I$89,5,0)</f>
        <v>-4.0702161641092972E-13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260.20517190557814</v>
      </c>
      <c r="CZ96" s="59">
        <f t="shared" si="96"/>
        <v>307.22009971147133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0.9370479227604509</v>
      </c>
      <c r="DG96" s="21">
        <f>EXP(-LN(2)/25)*DG95+(1-EXP(-LN(2)/25))/(LN(2)/25)*Calculateur!DB96*Calculateur!DD96*VLOOKUP('Données projet'!$B$13,Paramètres!$A$1:$I$89,3,0)*0.475*44/12</f>
        <v>3.5774482420546416</v>
      </c>
      <c r="DH96" s="21">
        <f>EXP(-LN(2)/2)*DH95+(1-EXP(-LN(2)/2))/(LN(2)/2)*DB96*DE96*VLOOKUP('Données projet'!$B$13,Paramètres!$A$1:$I$89,3,0)*0.475*44/12</f>
        <v>7.915386992180891E-9</v>
      </c>
      <c r="DI96" s="22">
        <f t="shared" si="69"/>
        <v>4.5144961727304791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5.9</v>
      </c>
      <c r="DO96" s="12">
        <f>IF('Données projet'!$A$166&gt;35,DO95+DN96-DW95,IF(A96&lt;'Données projet'!$A$166,$DL$205^A96,IF(A96='Données projet'!$A$166,'Données projet'!$B$166,DO95+DN96-DW95)))</f>
        <v>319.69999999999993</v>
      </c>
      <c r="DP96" s="17">
        <f>DO96*VLOOKUP('Données projet'!$B$14,Paramètres!$A$1:$I$89,3,0)*VLOOKUP('Données projet'!$B$14,Paramètres!$A$1:$I$89,5,0)</f>
        <v>309.21383999999995</v>
      </c>
      <c r="DQ96" s="13">
        <f t="shared" si="97"/>
        <v>73.104624418450427</v>
      </c>
      <c r="DR96" s="20">
        <f t="shared" si="70"/>
        <v>665.87132552880109</v>
      </c>
      <c r="DS96" s="59">
        <f t="shared" si="71"/>
        <v>959.20465886213447</v>
      </c>
      <c r="DT96" s="59">
        <f ca="1">AVERAGE(OFFSET($DS$3,0,0,'Données projet'!$E$14+1,1))-AVERAGE(OFFSET($H$3,0,0,'Données projet'!$E$14+1,1))</f>
        <v>347.8889410585312</v>
      </c>
      <c r="DU96" s="59">
        <f t="shared" si="98"/>
        <v>254.78167322479203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0.73937691811449868</v>
      </c>
      <c r="EB96" s="21">
        <f>EXP(-LN(2)/25)*EB95+(1-EXP(-LN(2)/25))/(LN(2)/25)*Calculateur!DW96*Calculateur!DY96*VLOOKUP('Données projet'!$B$14,Paramètres!$A$1:$I$89,3,0)*0.475*44/12</f>
        <v>2.1027406232046406</v>
      </c>
      <c r="EC96" s="21">
        <f>EXP(-LN(2)/2)*EC95+(1-EXP(-LN(2)/2))/(LN(2)/2)*DW96*DZ96*VLOOKUP('Données projet'!$B$14,Paramètres!$A$1:$I$89,3,0)*0.475*44/12</f>
        <v>7.5863582482756197E-9</v>
      </c>
      <c r="ED96" s="22">
        <f t="shared" si="72"/>
        <v>2.8421175489054975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5.9</v>
      </c>
      <c r="EJ96" s="12">
        <f>IF('Données projet'!$A$192&gt;35,EJ95+EI96-ER95,IF(A96&lt;'Données projet'!$A$192,$EG$205^A96,IF(A96='Données projet'!$A$192,'Données projet'!$B$192,EJ95+EI96-ER95)))</f>
        <v>319.69999999999993</v>
      </c>
      <c r="EK96" s="17">
        <f>EJ96*VLOOKUP('Données projet'!$B$15,Paramètres!$A$1:$I$89,3,0)*VLOOKUP('Données projet'!$B$15,Paramètres!$A$1:$I$89,5,0)</f>
        <v>344.12507999999991</v>
      </c>
      <c r="EL96" s="13">
        <f t="shared" si="99"/>
        <v>80.351614966531784</v>
      </c>
      <c r="EM96" s="20">
        <f t="shared" si="73"/>
        <v>739.29691040004263</v>
      </c>
      <c r="EN96" s="59">
        <f t="shared" si="74"/>
        <v>1032.6302437333759</v>
      </c>
      <c r="EO96" s="59">
        <f ca="1">AVERAGE(OFFSET($EN$3,0,0,'Données projet'!$E$15+1,1))-AVERAGE(OFFSET($H$3,0,0,'Données projet'!$E$15+1,1))</f>
        <v>399.38728019348088</v>
      </c>
      <c r="EP96" s="59">
        <f t="shared" si="100"/>
        <v>289.54922160039791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0.82285495725645741</v>
      </c>
      <c r="EW96" s="21">
        <f>EXP(-LN(2)/25)*EW95+(1-EXP(-LN(2)/25))/(LN(2)/25)*Calculateur!ER96*Calculateur!ET96*VLOOKUP('Données projet'!$B$15,Paramètres!$A$1:$I$89,3,0)*0.475*44/12</f>
        <v>2.3401468225987148</v>
      </c>
      <c r="EX96" s="21">
        <f>EXP(-LN(2)/2)*EX95+(1-EXP(-LN(2)/2))/(LN(2)/2)*ER96*EU96*VLOOKUP('Données projet'!$B$15,Paramètres!$A$1:$I$89,3,0)*0.475*44/12</f>
        <v>8.4428825666293194E-9</v>
      </c>
      <c r="EY96" s="22">
        <f t="shared" si="75"/>
        <v>3.1630017882980543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5.9</v>
      </c>
      <c r="N97" s="13">
        <f>IF('Données projet'!$A$36&gt;35,N96+M97-V96,IF(A97&lt;'Données projet'!$A$36,$K$205^A97,IF(A97='Données projet'!$A$36,'Données projet'!$B$36,N96+M97-V96)))</f>
        <v>325.59999999999991</v>
      </c>
      <c r="O97" s="13">
        <f>N97*VLOOKUP('Données projet'!$B$9,Paramètres!$A$1:$I$89,3,0)*VLOOKUP('Données projet'!$B$9,Paramètres!$A$1:$I$89,5,0)</f>
        <v>294.60287999999991</v>
      </c>
      <c r="P97" s="13">
        <f t="shared" si="87"/>
        <v>70.043827142305673</v>
      </c>
      <c r="Q97" s="20">
        <f t="shared" si="54"/>
        <v>635.09301493951546</v>
      </c>
      <c r="R97" s="59">
        <f t="shared" si="55"/>
        <v>928.42634827284883</v>
      </c>
      <c r="S97" s="59">
        <f ca="1">AVERAGE(OFFSET($R$3,0,0,'Données projet'!$E$9+1,1))-AVERAGE(OFFSET($H$3,0,0,'Données projet'!$E$9+1,1))</f>
        <v>318.40875902853116</v>
      </c>
      <c r="T97" s="59">
        <f t="shared" si="88"/>
        <v>234.87694492493506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0.67811185303368449</v>
      </c>
      <c r="AA97" s="21">
        <f>EXP(-LN(2)/25)*AA96+(1-EXP(-LN(2)/25))/(LN(2)/25)*Calculateur!V97*Calculateur!X97*VLOOKUP('Données projet'!$B$9,Paramètres!$A$1:$I$89,3,0)*0.475*44/12</f>
        <v>1.9132900334922192</v>
      </c>
      <c r="AB97" s="21">
        <f>EXP(-LN(2)/2)*AB96+(1-EXP(-LN(2)/2))/(LN(2)/2)*V97*Y97*VLOOKUP('Données projet'!$B$9,Paramètres!$A$1:$I$89,3,0)*0.475*44/12</f>
        <v>5.018277274003877E-9</v>
      </c>
      <c r="AC97" s="22">
        <f t="shared" si="57"/>
        <v>2.591401891544181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243.38048563215585</v>
      </c>
      <c r="AO97" s="59">
        <f t="shared" si="90"/>
        <v>372.1604147006675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2.0577187264470433</v>
      </c>
      <c r="AV97" s="21">
        <f>EXP(-LN(2)/25)*AV96+(1-EXP(-LN(2)/25))/(LN(2)/25)*Calculateur!AQ97*Calculateur!AS97*VLOOKUP('Données projet'!$B$10,Paramètres!$A$1:$I$89,3,0)*0.475*44/12</f>
        <v>3.2833942924572632</v>
      </c>
      <c r="AW97" s="21">
        <f>EXP(-LN(2)/2)*AW96+(1-EXP(-LN(2)/2))/(LN(2)/2)*AQ97*AT97*VLOOKUP('Données projet'!$B$10,Paramètres!$A$1:$I$89,3,0)*0.475*44/12</f>
        <v>6.8254161656746088E-9</v>
      </c>
      <c r="AX97" s="21">
        <f t="shared" si="60"/>
        <v>5.3411130257297224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-5.1159076974727213E-13</v>
      </c>
      <c r="BE97" s="13">
        <f>BD97*VLOOKUP('Données projet'!$B$11,Paramètres!$A$1:$I$89,3,0)*VLOOKUP('Données projet'!$B$11,Paramètres!$A$1:$I$89,5,0)</f>
        <v>-3.4317508834647017E-13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207.93042467236967</v>
      </c>
      <c r="BJ97" s="59">
        <f t="shared" si="92"/>
        <v>250.70954318710835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0.77456741833588927</v>
      </c>
      <c r="BQ97" s="21">
        <f>EXP(-LN(2)/25)*BQ96+(1-EXP(-LN(2)/25))/(LN(2)/25)*Calculateur!BL97*Calculateur!BN97*VLOOKUP('Données projet'!$B$11,Paramètres!$A$1:$I$89,3,0)*0.475*44/12</f>
        <v>2.9337995581386465</v>
      </c>
      <c r="BR97" s="21">
        <f>EXP(-LN(2)/2)*BR96+(1-EXP(-LN(2)/2))/(LN(2)/2)*BL97*BO97*VLOOKUP('Données projet'!$B$11,Paramètres!$A$1:$I$89,3,0)*0.475*44/12</f>
        <v>4.7190592974340508E-9</v>
      </c>
      <c r="BS97" s="22">
        <f t="shared" si="63"/>
        <v>3.7083669811935951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1.7053025658242404E-13</v>
      </c>
      <c r="BZ97" s="13">
        <f>BY97*VLOOKUP('Données projet'!$B$12,Paramètres!$A$1:$I$89,3,0)*VLOOKUP('Données projet'!$B$12,Paramètres!$A$1:$I$89,5,0)</f>
        <v>1.3301360013429075E-13</v>
      </c>
      <c r="CA97" s="13">
        <f t="shared" si="93"/>
        <v>1.9329766731057041E-12</v>
      </c>
      <c r="CB97" s="20">
        <f t="shared" si="64"/>
        <v>3.5982663925596575E-12</v>
      </c>
      <c r="CC97" s="59">
        <f t="shared" si="65"/>
        <v>293.3333333333369</v>
      </c>
      <c r="CD97" s="59">
        <f ca="1">AVERAGE(OFFSET($CC$3,0,0,'Données projet'!$E$12+1,1))-AVERAGE(OFFSET($H$3,0,0,'Données projet'!$E$12+1,1))</f>
        <v>266.30229009596883</v>
      </c>
      <c r="CE97" s="59">
        <f t="shared" si="94"/>
        <v>270.19195828386046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0.40711764575606069</v>
      </c>
      <c r="CL97" s="21">
        <f>EXP(-LN(2)/25)*CL96+(1-EXP(-LN(2)/25))/(LN(2)/25)*Calculateur!CG97*Calculateur!CI97*VLOOKUP('Données projet'!$B$12,Paramètres!$A$1:$I$89,3,0)*0.475*44/12</f>
        <v>1.419469801132182</v>
      </c>
      <c r="CM97" s="21">
        <f>EXP(-LN(2)/2)*CM96+(1-EXP(-LN(2)/2))/(LN(2)/2)*CG97*CJ97*VLOOKUP('Données projet'!$B$12,Paramètres!$A$1:$I$89,3,0)*0.475*44/12</f>
        <v>3.0433711588154164E-9</v>
      </c>
      <c r="CN97" s="22">
        <f t="shared" si="66"/>
        <v>1.8265874499316139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-5.1159076974727213E-13</v>
      </c>
      <c r="CU97" s="17">
        <f>CT97*VLOOKUP('Données projet'!$B$13,Paramètres!$A$1:$I$89,3,0)*VLOOKUP('Données projet'!$B$13,Paramètres!$A$1:$I$89,5,0)</f>
        <v>-4.0702161641092972E-13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260.20517190557814</v>
      </c>
      <c r="CZ97" s="59">
        <f t="shared" si="96"/>
        <v>307.22009971147133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0.91867298453791613</v>
      </c>
      <c r="DG97" s="21">
        <f>EXP(-LN(2)/25)*DG96+(1-EXP(-LN(2)/25))/(LN(2)/25)*Calculateur!DB97*Calculateur!DD97*VLOOKUP('Données projet'!$B$13,Paramètres!$A$1:$I$89,3,0)*0.475*44/12</f>
        <v>3.4796227317458306</v>
      </c>
      <c r="DH97" s="21">
        <f>EXP(-LN(2)/2)*DH96+(1-EXP(-LN(2)/2))/(LN(2)/2)*DB97*DE97*VLOOKUP('Données projet'!$B$13,Paramètres!$A$1:$I$89,3,0)*0.475*44/12</f>
        <v>5.5970238178868979E-9</v>
      </c>
      <c r="DI97" s="22">
        <f t="shared" si="69"/>
        <v>4.3982957218807712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5.9</v>
      </c>
      <c r="DO97" s="12">
        <f>IF('Données projet'!$A$166&gt;35,DO96+DN97-DW96,IF(A97&lt;'Données projet'!$A$166,$DL$205^A97,IF(A97='Données projet'!$A$166,'Données projet'!$B$166,DO96+DN97-DW96)))</f>
        <v>325.59999999999991</v>
      </c>
      <c r="DP97" s="17">
        <f>DO97*VLOOKUP('Données projet'!$B$14,Paramètres!$A$1:$I$89,3,0)*VLOOKUP('Données projet'!$B$14,Paramètres!$A$1:$I$89,5,0)</f>
        <v>314.92031999999989</v>
      </c>
      <c r="DQ97" s="13">
        <f t="shared" si="97"/>
        <v>74.295445174069485</v>
      </c>
      <c r="DR97" s="20">
        <f t="shared" si="70"/>
        <v>677.88412434483746</v>
      </c>
      <c r="DS97" s="59">
        <f t="shared" si="71"/>
        <v>971.21745767817083</v>
      </c>
      <c r="DT97" s="59">
        <f ca="1">AVERAGE(OFFSET($DS$3,0,0,'Données projet'!$E$14+1,1))-AVERAGE(OFFSET($H$3,0,0,'Données projet'!$E$14+1,1))</f>
        <v>347.8889410585312</v>
      </c>
      <c r="DU97" s="59">
        <f t="shared" si="98"/>
        <v>254.78167322479203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0.72487818772566326</v>
      </c>
      <c r="EB97" s="21">
        <f>EXP(-LN(2)/25)*EB96+(1-EXP(-LN(2)/25))/(LN(2)/25)*Calculateur!DW97*Calculateur!DY97*VLOOKUP('Données projet'!$B$14,Paramètres!$A$1:$I$89,3,0)*0.475*44/12</f>
        <v>2.0452410702847863</v>
      </c>
      <c r="EC97" s="21">
        <f>EXP(-LN(2)/2)*EC96+(1-EXP(-LN(2)/2))/(LN(2)/2)*DW97*DZ97*VLOOKUP('Données projet'!$B$14,Paramètres!$A$1:$I$89,3,0)*0.475*44/12</f>
        <v>5.3643653618661887E-9</v>
      </c>
      <c r="ED97" s="22">
        <f t="shared" si="72"/>
        <v>2.7701192633748151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5.9</v>
      </c>
      <c r="EJ97" s="12">
        <f>IF('Données projet'!$A$192&gt;35,EJ96+EI97-ER96,IF(A97&lt;'Données projet'!$A$192,$EG$205^A97,IF(A97='Données projet'!$A$192,'Données projet'!$B$192,EJ96+EI97-ER96)))</f>
        <v>325.59999999999991</v>
      </c>
      <c r="EK97" s="17">
        <f>EJ97*VLOOKUP('Données projet'!$B$15,Paramètres!$A$1:$I$89,3,0)*VLOOKUP('Données projet'!$B$15,Paramètres!$A$1:$I$89,5,0)</f>
        <v>350.47583999999989</v>
      </c>
      <c r="EL97" s="13">
        <f t="shared" si="99"/>
        <v>81.660483887079877</v>
      </c>
      <c r="EM97" s="20">
        <f t="shared" si="73"/>
        <v>752.6374307699972</v>
      </c>
      <c r="EN97" s="59">
        <f t="shared" si="74"/>
        <v>1045.9707641033306</v>
      </c>
      <c r="EO97" s="59">
        <f ca="1">AVERAGE(OFFSET($EN$3,0,0,'Données projet'!$E$15+1,1))-AVERAGE(OFFSET($H$3,0,0,'Données projet'!$E$15+1,1))</f>
        <v>399.38728019348088</v>
      </c>
      <c r="EP97" s="59">
        <f t="shared" si="100"/>
        <v>289.54922160039791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0.80671927343662453</v>
      </c>
      <c r="EW97" s="21">
        <f>EXP(-LN(2)/25)*EW96+(1-EXP(-LN(2)/25))/(LN(2)/25)*Calculateur!ER97*Calculateur!ET97*VLOOKUP('Données projet'!$B$15,Paramètres!$A$1:$I$89,3,0)*0.475*44/12</f>
        <v>2.2761553846717799</v>
      </c>
      <c r="EX97" s="21">
        <f>EXP(-LN(2)/2)*EX96+(1-EXP(-LN(2)/2))/(LN(2)/2)*ER97*EU97*VLOOKUP('Données projet'!$B$15,Paramètres!$A$1:$I$89,3,0)*0.475*44/12</f>
        <v>5.970019515625275E-9</v>
      </c>
      <c r="EY97" s="22">
        <f t="shared" si="75"/>
        <v>3.0828746640784241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5.9</v>
      </c>
      <c r="N98" s="13">
        <f>IF('Données projet'!$A$36&gt;35,N97+M98-V97,IF(A98&lt;'Données projet'!$A$36,$K$205^A98,IF(A98='Données projet'!$A$36,'Données projet'!$B$36,N97+M98-V97)))</f>
        <v>331.49999999999989</v>
      </c>
      <c r="O98" s="13">
        <f>N98*VLOOKUP('Données projet'!$B$9,Paramètres!$A$1:$I$89,3,0)*VLOOKUP('Données projet'!$B$9,Paramètres!$A$1:$I$89,5,0)</f>
        <v>299.94119999999987</v>
      </c>
      <c r="P98" s="13">
        <f t="shared" si="87"/>
        <v>71.164136596531506</v>
      </c>
      <c r="Q98" s="20">
        <f t="shared" si="54"/>
        <v>646.3417945722922</v>
      </c>
      <c r="R98" s="59">
        <f t="shared" si="55"/>
        <v>939.67512790562546</v>
      </c>
      <c r="S98" s="59">
        <f ca="1">AVERAGE(OFFSET($R$3,0,0,'Données projet'!$E$9+1,1))-AVERAGE(OFFSET($H$3,0,0,'Données projet'!$E$9+1,1))</f>
        <v>318.40875902853116</v>
      </c>
      <c r="T98" s="59">
        <f t="shared" si="88"/>
        <v>234.87694492493506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0.66481449320308394</v>
      </c>
      <c r="AA98" s="21">
        <f>EXP(-LN(2)/25)*AA97+(1-EXP(-LN(2)/25))/(LN(2)/25)*Calculateur!V98*Calculateur!X98*VLOOKUP('Données projet'!$B$9,Paramètres!$A$1:$I$89,3,0)*0.475*44/12</f>
        <v>1.8609710169108244</v>
      </c>
      <c r="AB98" s="21">
        <f>EXP(-LN(2)/2)*AB97+(1-EXP(-LN(2)/2))/(LN(2)/2)*V98*Y98*VLOOKUP('Données projet'!$B$9,Paramètres!$A$1:$I$89,3,0)*0.475*44/12</f>
        <v>3.5484578903224837E-9</v>
      </c>
      <c r="AC98" s="22">
        <f t="shared" si="57"/>
        <v>2.5257855136623664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243.38048563215585</v>
      </c>
      <c r="AO98" s="59">
        <f t="shared" si="90"/>
        <v>372.1604147006675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2.0173681173059106</v>
      </c>
      <c r="AV98" s="21">
        <f>EXP(-LN(2)/25)*AV97+(1-EXP(-LN(2)/25))/(LN(2)/25)*Calculateur!AQ98*Calculateur!AS98*VLOOKUP('Données projet'!$B$10,Paramètres!$A$1:$I$89,3,0)*0.475*44/12</f>
        <v>3.1936097028638177</v>
      </c>
      <c r="AW98" s="21">
        <f>EXP(-LN(2)/2)*AW97+(1-EXP(-LN(2)/2))/(LN(2)/2)*AQ98*AT98*VLOOKUP('Données projet'!$B$10,Paramètres!$A$1:$I$89,3,0)*0.475*44/12</f>
        <v>4.8262980551687997E-9</v>
      </c>
      <c r="AX98" s="21">
        <f t="shared" si="60"/>
        <v>5.2109778249960268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-5.1159076974727213E-13</v>
      </c>
      <c r="BE98" s="13">
        <f>BD98*VLOOKUP('Données projet'!$B$11,Paramètres!$A$1:$I$89,3,0)*VLOOKUP('Données projet'!$B$11,Paramètres!$A$1:$I$89,5,0)</f>
        <v>-3.4317508834647017E-13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207.93042467236967</v>
      </c>
      <c r="BJ98" s="59">
        <f t="shared" si="92"/>
        <v>250.70954318710835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0.75937862370179809</v>
      </c>
      <c r="BQ98" s="21">
        <f>EXP(-LN(2)/25)*BQ97+(1-EXP(-LN(2)/25))/(LN(2)/25)*Calculateur!BL98*Calculateur!BN98*VLOOKUP('Données projet'!$B$11,Paramètres!$A$1:$I$89,3,0)*0.475*44/12</f>
        <v>2.8535746549395316</v>
      </c>
      <c r="BR98" s="21">
        <f>EXP(-LN(2)/2)*BR97+(1-EXP(-LN(2)/2))/(LN(2)/2)*BL98*BO98*VLOOKUP('Données projet'!$B$11,Paramètres!$A$1:$I$89,3,0)*0.475*44/12</f>
        <v>3.3368788300370421E-9</v>
      </c>
      <c r="BS98" s="22">
        <f t="shared" si="63"/>
        <v>3.6129532819782084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1.7053025658242404E-13</v>
      </c>
      <c r="BZ98" s="13">
        <f>BY98*VLOOKUP('Données projet'!$B$12,Paramètres!$A$1:$I$89,3,0)*VLOOKUP('Données projet'!$B$12,Paramètres!$A$1:$I$89,5,0)</f>
        <v>1.3301360013429075E-13</v>
      </c>
      <c r="CA98" s="13">
        <f t="shared" si="93"/>
        <v>1.9329766731057041E-12</v>
      </c>
      <c r="CB98" s="20">
        <f t="shared" si="64"/>
        <v>3.5982663925596575E-12</v>
      </c>
      <c r="CC98" s="59">
        <f t="shared" si="65"/>
        <v>293.3333333333369</v>
      </c>
      <c r="CD98" s="59">
        <f ca="1">AVERAGE(OFFSET($CC$3,0,0,'Données projet'!$E$12+1,1))-AVERAGE(OFFSET($H$3,0,0,'Données projet'!$E$12+1,1))</f>
        <v>266.30229009596883</v>
      </c>
      <c r="CE98" s="59">
        <f t="shared" si="94"/>
        <v>270.19195828386046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0.39913431704002894</v>
      </c>
      <c r="CL98" s="21">
        <f>EXP(-LN(2)/25)*CL97+(1-EXP(-LN(2)/25))/(LN(2)/25)*Calculateur!CG98*Calculateur!CI98*VLOOKUP('Données projet'!$B$12,Paramètres!$A$1:$I$89,3,0)*0.475*44/12</f>
        <v>1.3806543247735499</v>
      </c>
      <c r="CM98" s="21">
        <f>EXP(-LN(2)/2)*CM97+(1-EXP(-LN(2)/2))/(LN(2)/2)*CG98*CJ98*VLOOKUP('Données projet'!$B$12,Paramètres!$A$1:$I$89,3,0)*0.475*44/12</f>
        <v>2.1519883840659421E-9</v>
      </c>
      <c r="CN98" s="22">
        <f t="shared" si="66"/>
        <v>1.7797886439655672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-5.1159076974727213E-13</v>
      </c>
      <c r="CU98" s="17">
        <f>CT98*VLOOKUP('Données projet'!$B$13,Paramètres!$A$1:$I$89,3,0)*VLOOKUP('Données projet'!$B$13,Paramètres!$A$1:$I$89,5,0)</f>
        <v>-4.0702161641092972E-13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260.20517190557814</v>
      </c>
      <c r="CZ98" s="59">
        <f t="shared" si="96"/>
        <v>307.22009971147133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0.90065836764631968</v>
      </c>
      <c r="DG98" s="21">
        <f>EXP(-LN(2)/25)*DG97+(1-EXP(-LN(2)/25))/(LN(2)/25)*Calculateur!DB98*Calculateur!DD98*VLOOKUP('Données projet'!$B$13,Paramètres!$A$1:$I$89,3,0)*0.475*44/12</f>
        <v>3.3844722651608343</v>
      </c>
      <c r="DH98" s="21">
        <f>EXP(-LN(2)/2)*DH97+(1-EXP(-LN(2)/2))/(LN(2)/2)*DB98*DE98*VLOOKUP('Données projet'!$B$13,Paramètres!$A$1:$I$89,3,0)*0.475*44/12</f>
        <v>3.9576934960904455E-9</v>
      </c>
      <c r="DI98" s="22">
        <f t="shared" si="69"/>
        <v>4.2851306367648476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5.9</v>
      </c>
      <c r="DO98" s="12">
        <f>IF('Données projet'!$A$166&gt;35,DO97+DN98-DW97,IF(A98&lt;'Données projet'!$A$166,$DL$205^A98,IF(A98='Données projet'!$A$166,'Données projet'!$B$166,DO97+DN98-DW97)))</f>
        <v>331.49999999999989</v>
      </c>
      <c r="DP98" s="17">
        <f>DO98*VLOOKUP('Données projet'!$B$14,Paramètres!$A$1:$I$89,3,0)*VLOOKUP('Données projet'!$B$14,Paramètres!$A$1:$I$89,5,0)</f>
        <v>320.62679999999989</v>
      </c>
      <c r="DQ98" s="13">
        <f t="shared" si="97"/>
        <v>75.483756735990909</v>
      </c>
      <c r="DR98" s="20">
        <f t="shared" si="70"/>
        <v>689.89255298185071</v>
      </c>
      <c r="DS98" s="59">
        <f t="shared" si="71"/>
        <v>983.22588631518397</v>
      </c>
      <c r="DT98" s="59">
        <f ca="1">AVERAGE(OFFSET($DS$3,0,0,'Données projet'!$E$14+1,1))-AVERAGE(OFFSET($H$3,0,0,'Données projet'!$E$14+1,1))</f>
        <v>347.8889410585312</v>
      </c>
      <c r="DU98" s="59">
        <f t="shared" si="98"/>
        <v>254.78167322479203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0.71066376859640057</v>
      </c>
      <c r="EB98" s="21">
        <f>EXP(-LN(2)/25)*EB97+(1-EXP(-LN(2)/25))/(LN(2)/25)*Calculateur!DW98*Calculateur!DY98*VLOOKUP('Données projet'!$B$14,Paramètres!$A$1:$I$89,3,0)*0.475*44/12</f>
        <v>1.9893138456632955</v>
      </c>
      <c r="EC98" s="21">
        <f>EXP(-LN(2)/2)*EC97+(1-EXP(-LN(2)/2))/(LN(2)/2)*DW98*DZ98*VLOOKUP('Données projet'!$B$14,Paramètres!$A$1:$I$89,3,0)*0.475*44/12</f>
        <v>3.7931791241378099E-9</v>
      </c>
      <c r="ED98" s="22">
        <f t="shared" si="72"/>
        <v>2.6999776180528752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5.9</v>
      </c>
      <c r="EJ98" s="12">
        <f>IF('Données projet'!$A$192&gt;35,EJ97+EI98-ER97,IF(A98&lt;'Données projet'!$A$192,$EG$205^A98,IF(A98='Données projet'!$A$192,'Données projet'!$B$192,EJ97+EI98-ER97)))</f>
        <v>331.49999999999989</v>
      </c>
      <c r="EK98" s="17">
        <f>EJ98*VLOOKUP('Données projet'!$B$15,Paramètres!$A$1:$I$89,3,0)*VLOOKUP('Données projet'!$B$15,Paramètres!$A$1:$I$89,5,0)</f>
        <v>356.82659999999987</v>
      </c>
      <c r="EL98" s="13">
        <f t="shared" si="99"/>
        <v>82.966594873126951</v>
      </c>
      <c r="EM98" s="20">
        <f t="shared" si="73"/>
        <v>765.97314773736252</v>
      </c>
      <c r="EN98" s="59">
        <f t="shared" si="74"/>
        <v>1059.3064810706958</v>
      </c>
      <c r="EO98" s="59">
        <f ca="1">AVERAGE(OFFSET($EN$3,0,0,'Données projet'!$E$15+1,1))-AVERAGE(OFFSET($H$3,0,0,'Données projet'!$E$15+1,1))</f>
        <v>399.38728019348088</v>
      </c>
      <c r="EP98" s="59">
        <f t="shared" si="100"/>
        <v>289.54922160039791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0.79090000053470322</v>
      </c>
      <c r="EW98" s="21">
        <f>EXP(-LN(2)/25)*EW97+(1-EXP(-LN(2)/25))/(LN(2)/25)*Calculateur!ER98*Calculateur!ET98*VLOOKUP('Données projet'!$B$15,Paramètres!$A$1:$I$89,3,0)*0.475*44/12</f>
        <v>2.2139137959801207</v>
      </c>
      <c r="EX98" s="21">
        <f>EXP(-LN(2)/2)*EX97+(1-EXP(-LN(2)/2))/(LN(2)/2)*ER98*EU98*VLOOKUP('Données projet'!$B$15,Paramètres!$A$1:$I$89,3,0)*0.475*44/12</f>
        <v>4.2214412833146597E-9</v>
      </c>
      <c r="EY98" s="22">
        <f t="shared" si="75"/>
        <v>3.0048138007362653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5.9</v>
      </c>
      <c r="N99" s="13">
        <f>IF('Données projet'!$A$36&gt;35,N98+M99-V98,IF(A99&lt;'Données projet'!$A$36,$K$205^A99,IF(A99='Données projet'!$A$36,'Données projet'!$B$36,N98+M99-V98)))</f>
        <v>337.39999999999986</v>
      </c>
      <c r="O99" s="13">
        <f>N99*VLOOKUP('Données projet'!$B$9,Paramètres!$A$1:$I$89,3,0)*VLOOKUP('Données projet'!$B$9,Paramètres!$A$1:$I$89,5,0)</f>
        <v>305.27951999999982</v>
      </c>
      <c r="P99" s="13">
        <f t="shared" si="87"/>
        <v>72.282127407576809</v>
      </c>
      <c r="Q99" s="20">
        <f t="shared" ref="Q99:Q130" si="107">(O99+P99)*0.475*44/12</f>
        <v>657.58653590152937</v>
      </c>
      <c r="R99" s="59">
        <f t="shared" si="55"/>
        <v>950.91986923486274</v>
      </c>
      <c r="S99" s="59">
        <f ca="1">AVERAGE(OFFSET($R$3,0,0,'Données projet'!$E$9+1,1))-AVERAGE(OFFSET($H$3,0,0,'Données projet'!$E$9+1,1))</f>
        <v>318.40875902853116</v>
      </c>
      <c r="T99" s="59">
        <f t="shared" si="88"/>
        <v>234.87694492493506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0.65177788648817281</v>
      </c>
      <c r="AA99" s="21">
        <f>EXP(-LN(2)/25)*AA98+(1-EXP(-LN(2)/25))/(LN(2)/25)*Calculateur!V99*Calculateur!X99*VLOOKUP('Données projet'!$B$9,Paramètres!$A$1:$I$89,3,0)*0.475*44/12</f>
        <v>1.8100826665891854</v>
      </c>
      <c r="AB99" s="21">
        <f>EXP(-LN(2)/2)*AB98+(1-EXP(-LN(2)/2))/(LN(2)/2)*V99*Y99*VLOOKUP('Données projet'!$B$9,Paramètres!$A$1:$I$89,3,0)*0.475*44/12</f>
        <v>2.5091386370019385E-9</v>
      </c>
      <c r="AC99" s="22">
        <f t="shared" si="57"/>
        <v>2.461860555586497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243.38048563215585</v>
      </c>
      <c r="AO99" s="59">
        <f t="shared" si="90"/>
        <v>372.1604147006675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1.9778087589985942</v>
      </c>
      <c r="AV99" s="21">
        <f>EXP(-LN(2)/25)*AV98+(1-EXP(-LN(2)/25))/(LN(2)/25)*Calculateur!AQ99*Calculateur!AS99*VLOOKUP('Données projet'!$B$10,Paramètres!$A$1:$I$89,3,0)*0.475*44/12</f>
        <v>3.1062802775943714</v>
      </c>
      <c r="AW99" s="21">
        <f>EXP(-LN(2)/2)*AW98+(1-EXP(-LN(2)/2))/(LN(2)/2)*AQ99*AT99*VLOOKUP('Données projet'!$B$10,Paramètres!$A$1:$I$89,3,0)*0.475*44/12</f>
        <v>3.4127080828373044E-9</v>
      </c>
      <c r="AX99" s="21">
        <f t="shared" si="60"/>
        <v>5.084089040005674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-5.1159076974727213E-13</v>
      </c>
      <c r="BE99" s="13">
        <f>BD99*VLOOKUP('Données projet'!$B$11,Paramètres!$A$1:$I$89,3,0)*VLOOKUP('Données projet'!$B$11,Paramètres!$A$1:$I$89,5,0)</f>
        <v>-3.4317508834647017E-13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207.93042467236967</v>
      </c>
      <c r="BJ99" s="59">
        <f t="shared" si="92"/>
        <v>250.70954318710835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0.74448767206623157</v>
      </c>
      <c r="BQ99" s="21">
        <f>EXP(-LN(2)/25)*BQ98+(1-EXP(-LN(2)/25))/(LN(2)/25)*Calculateur!BL99*Calculateur!BN99*VLOOKUP('Données projet'!$B$11,Paramètres!$A$1:$I$89,3,0)*0.475*44/12</f>
        <v>2.7755435059372409</v>
      </c>
      <c r="BR99" s="21">
        <f>EXP(-LN(2)/2)*BR98+(1-EXP(-LN(2)/2))/(LN(2)/2)*BL99*BO99*VLOOKUP('Données projet'!$B$11,Paramètres!$A$1:$I$89,3,0)*0.475*44/12</f>
        <v>2.3595296487170254E-9</v>
      </c>
      <c r="BS99" s="22">
        <f t="shared" si="63"/>
        <v>3.5200311803630018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1.7053025658242404E-13</v>
      </c>
      <c r="BZ99" s="13">
        <f>BY99*VLOOKUP('Données projet'!$B$12,Paramètres!$A$1:$I$89,3,0)*VLOOKUP('Données projet'!$B$12,Paramètres!$A$1:$I$89,5,0)</f>
        <v>1.3301360013429075E-13</v>
      </c>
      <c r="CA99" s="13">
        <f t="shared" si="93"/>
        <v>1.9329766731057041E-12</v>
      </c>
      <c r="CB99" s="20">
        <f t="shared" si="64"/>
        <v>3.5982663925596575E-12</v>
      </c>
      <c r="CC99" s="59">
        <f t="shared" si="65"/>
        <v>293.3333333333369</v>
      </c>
      <c r="CD99" s="59">
        <f ca="1">AVERAGE(OFFSET($CC$3,0,0,'Données projet'!$E$12+1,1))-AVERAGE(OFFSET($H$3,0,0,'Données projet'!$E$12+1,1))</f>
        <v>266.30229009596883</v>
      </c>
      <c r="CE99" s="59">
        <f t="shared" si="94"/>
        <v>270.19195828386046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0.39130753653076888</v>
      </c>
      <c r="CL99" s="21">
        <f>EXP(-LN(2)/25)*CL98+(1-EXP(-LN(2)/25))/(LN(2)/25)*Calculateur!CG99*Calculateur!CI99*VLOOKUP('Données projet'!$B$12,Paramètres!$A$1:$I$89,3,0)*0.475*44/12</f>
        <v>1.3429002596571618</v>
      </c>
      <c r="CM99" s="21">
        <f>EXP(-LN(2)/2)*CM98+(1-EXP(-LN(2)/2))/(LN(2)/2)*CG99*CJ99*VLOOKUP('Données projet'!$B$12,Paramètres!$A$1:$I$89,3,0)*0.475*44/12</f>
        <v>1.5216855794077082E-9</v>
      </c>
      <c r="CN99" s="22">
        <f t="shared" si="66"/>
        <v>1.7342077977096164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-5.1159076974727213E-13</v>
      </c>
      <c r="CU99" s="17">
        <f>CT99*VLOOKUP('Données projet'!$B$13,Paramètres!$A$1:$I$89,3,0)*VLOOKUP('Données projet'!$B$13,Paramètres!$A$1:$I$89,5,0)</f>
        <v>-4.0702161641092972E-13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260.20517190557814</v>
      </c>
      <c r="CZ99" s="59">
        <f t="shared" si="96"/>
        <v>307.22009971147133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0.88299700640413603</v>
      </c>
      <c r="DG99" s="21">
        <f>EXP(-LN(2)/25)*DG98+(1-EXP(-LN(2)/25))/(LN(2)/25)*Calculateur!DB99*Calculateur!DD99*VLOOKUP('Données projet'!$B$13,Paramètres!$A$1:$I$89,3,0)*0.475*44/12</f>
        <v>3.2919236930883504</v>
      </c>
      <c r="DH99" s="21">
        <f>EXP(-LN(2)/2)*DH98+(1-EXP(-LN(2)/2))/(LN(2)/2)*DB99*DE99*VLOOKUP('Données projet'!$B$13,Paramètres!$A$1:$I$89,3,0)*0.475*44/12</f>
        <v>2.7985119089434489E-9</v>
      </c>
      <c r="DI99" s="22">
        <f t="shared" si="69"/>
        <v>4.174920702290998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5.9</v>
      </c>
      <c r="DO99" s="12">
        <f>IF('Données projet'!$A$166&gt;35,DO98+DN99-DW98,IF(A99&lt;'Données projet'!$A$166,$DL$205^A99,IF(A99='Données projet'!$A$166,'Données projet'!$B$166,DO98+DN99-DW98)))</f>
        <v>337.39999999999986</v>
      </c>
      <c r="DP99" s="17">
        <f>DO99*VLOOKUP('Données projet'!$B$14,Paramètres!$A$1:$I$89,3,0)*VLOOKUP('Données projet'!$B$14,Paramètres!$A$1:$I$89,5,0)</f>
        <v>326.33327999999983</v>
      </c>
      <c r="DQ99" s="13">
        <f t="shared" si="97"/>
        <v>76.669608914490098</v>
      </c>
      <c r="DR99" s="20">
        <f t="shared" si="70"/>
        <v>701.89669819273661</v>
      </c>
      <c r="DS99" s="59">
        <f t="shared" si="71"/>
        <v>995.23003152606998</v>
      </c>
      <c r="DT99" s="59">
        <f ca="1">AVERAGE(OFFSET($DS$3,0,0,'Données projet'!$E$14+1,1))-AVERAGE(OFFSET($H$3,0,0,'Données projet'!$E$14+1,1))</f>
        <v>347.8889410585312</v>
      </c>
      <c r="DU99" s="59">
        <f t="shared" si="98"/>
        <v>254.78167322479203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0.69672808555632315</v>
      </c>
      <c r="EB99" s="21">
        <f>EXP(-LN(2)/25)*EB98+(1-EXP(-LN(2)/25))/(LN(2)/25)*Calculateur!DW99*Calculateur!DY99*VLOOKUP('Données projet'!$B$14,Paramètres!$A$1:$I$89,3,0)*0.475*44/12</f>
        <v>1.9349159539401641</v>
      </c>
      <c r="EC99" s="21">
        <f>EXP(-LN(2)/2)*EC98+(1-EXP(-LN(2)/2))/(LN(2)/2)*DW99*DZ99*VLOOKUP('Données projet'!$B$14,Paramètres!$A$1:$I$89,3,0)*0.475*44/12</f>
        <v>2.6821826809330944E-9</v>
      </c>
      <c r="ED99" s="22">
        <f t="shared" si="72"/>
        <v>2.63164404217867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5.9</v>
      </c>
      <c r="EJ99" s="12">
        <f>IF('Données projet'!$A$192&gt;35,EJ98+EI99-ER98,IF(A99&lt;'Données projet'!$A$192,$EG$205^A99,IF(A99='Données projet'!$A$192,'Données projet'!$B$192,EJ98+EI99-ER98)))</f>
        <v>337.39999999999986</v>
      </c>
      <c r="EK99" s="17">
        <f>EJ99*VLOOKUP('Données projet'!$B$15,Paramètres!$A$1:$I$89,3,0)*VLOOKUP('Données projet'!$B$15,Paramètres!$A$1:$I$89,5,0)</f>
        <v>363.17735999999985</v>
      </c>
      <c r="EL99" s="13">
        <f t="shared" si="99"/>
        <v>84.27000267272912</v>
      </c>
      <c r="EM99" s="20">
        <f t="shared" si="73"/>
        <v>779.30415665500288</v>
      </c>
      <c r="EN99" s="59">
        <f t="shared" si="74"/>
        <v>1072.6374899883363</v>
      </c>
      <c r="EO99" s="59">
        <f ca="1">AVERAGE(OFFSET($EN$3,0,0,'Données projet'!$E$15+1,1))-AVERAGE(OFFSET($H$3,0,0,'Données projet'!$E$15+1,1))</f>
        <v>399.38728019348088</v>
      </c>
      <c r="EP99" s="59">
        <f t="shared" si="100"/>
        <v>289.54922160039791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0.77539093392558489</v>
      </c>
      <c r="EW99" s="21">
        <f>EXP(-LN(2)/25)*EW98+(1-EXP(-LN(2)/25))/(LN(2)/25)*Calculateur!ER99*Calculateur!ET99*VLOOKUP('Données projet'!$B$15,Paramètres!$A$1:$I$89,3,0)*0.475*44/12</f>
        <v>2.153374206804378</v>
      </c>
      <c r="EX99" s="21">
        <f>EXP(-LN(2)/2)*EX98+(1-EXP(-LN(2)/2))/(LN(2)/2)*ER99*EU99*VLOOKUP('Données projet'!$B$15,Paramètres!$A$1:$I$89,3,0)*0.475*44/12</f>
        <v>2.9850097578126375E-9</v>
      </c>
      <c r="EY99" s="22">
        <f t="shared" si="75"/>
        <v>2.9287651437149727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5.9</v>
      </c>
      <c r="N100" s="13">
        <f>IF('Données projet'!$A$36&gt;35,N99+M100-V99,IF(A100&lt;'Données projet'!$A$36,$K$205^A100,IF(A100='Données projet'!$A$36,'Données projet'!$B$36,N99+M100-V99)))</f>
        <v>343.29999999999984</v>
      </c>
      <c r="O100" s="13">
        <f>N100*VLOOKUP('Données projet'!$B$9,Paramètres!$A$1:$I$89,3,0)*VLOOKUP('Données projet'!$B$9,Paramètres!$A$1:$I$89,5,0)</f>
        <v>310.61783999999983</v>
      </c>
      <c r="P100" s="13">
        <f t="shared" si="87"/>
        <v>73.397844798859666</v>
      </c>
      <c r="Q100" s="20">
        <f t="shared" si="107"/>
        <v>668.82731769134693</v>
      </c>
      <c r="R100" s="59">
        <f t="shared" si="55"/>
        <v>962.16065102468019</v>
      </c>
      <c r="S100" s="59">
        <f ca="1">AVERAGE(OFFSET($R$3,0,0,'Données projet'!$E$9+1,1))-AVERAGE(OFFSET($H$3,0,0,'Données projet'!$E$9+1,1))</f>
        <v>318.40875902853116</v>
      </c>
      <c r="T100" s="59">
        <f t="shared" si="88"/>
        <v>234.87694492493506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0.6389969196793962</v>
      </c>
      <c r="AA100" s="21">
        <f>EXP(-LN(2)/25)*AA99+(1-EXP(-LN(2)/25))/(LN(2)/25)*Calculateur!V100*Calculateur!X100*VLOOKUP('Données projet'!$B$9,Paramètres!$A$1:$I$89,3,0)*0.475*44/12</f>
        <v>1.7605858608831937</v>
      </c>
      <c r="AB100" s="21">
        <f>EXP(-LN(2)/2)*AB99+(1-EXP(-LN(2)/2))/(LN(2)/2)*V100*Y100*VLOOKUP('Données projet'!$B$9,Paramètres!$A$1:$I$89,3,0)*0.475*44/12</f>
        <v>1.7742289451612418E-9</v>
      </c>
      <c r="AC100" s="22">
        <f t="shared" si="57"/>
        <v>2.3995827823368185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243.38048563215585</v>
      </c>
      <c r="AO100" s="59">
        <f t="shared" si="90"/>
        <v>372.1604147006675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1.9390251355788581</v>
      </c>
      <c r="AV100" s="21">
        <f>EXP(-LN(2)/25)*AV99+(1-EXP(-LN(2)/25))/(LN(2)/25)*Calculateur!AQ100*Calculateur!AS100*VLOOKUP('Données projet'!$B$10,Paramètres!$A$1:$I$89,3,0)*0.475*44/12</f>
        <v>3.0213388800513732</v>
      </c>
      <c r="AW100" s="21">
        <f>EXP(-LN(2)/2)*AW99+(1-EXP(-LN(2)/2))/(LN(2)/2)*AQ100*AT100*VLOOKUP('Données projet'!$B$10,Paramètres!$A$1:$I$89,3,0)*0.475*44/12</f>
        <v>2.4131490275843999E-9</v>
      </c>
      <c r="AX100" s="21">
        <f t="shared" si="60"/>
        <v>4.9603640180433803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-5.1159076974727213E-13</v>
      </c>
      <c r="BE100" s="13">
        <f>BD100*VLOOKUP('Données projet'!$B$11,Paramètres!$A$1:$I$89,3,0)*VLOOKUP('Données projet'!$B$11,Paramètres!$A$1:$I$89,5,0)</f>
        <v>-3.4317508834647017E-13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207.93042467236967</v>
      </c>
      <c r="BJ100" s="59">
        <f t="shared" si="92"/>
        <v>250.70954318710835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0.72988872290965479</v>
      </c>
      <c r="BQ100" s="21">
        <f>EXP(-LN(2)/25)*BQ99+(1-EXP(-LN(2)/25))/(LN(2)/25)*Calculateur!BL100*Calculateur!BN100*VLOOKUP('Données projet'!$B$11,Paramètres!$A$1:$I$89,3,0)*0.475*44/12</f>
        <v>2.6996461228078976</v>
      </c>
      <c r="BR100" s="21">
        <f>EXP(-LN(2)/2)*BR99+(1-EXP(-LN(2)/2))/(LN(2)/2)*BL100*BO100*VLOOKUP('Données projet'!$B$11,Paramètres!$A$1:$I$89,3,0)*0.475*44/12</f>
        <v>1.668439415018521E-9</v>
      </c>
      <c r="BS100" s="22">
        <f t="shared" si="63"/>
        <v>3.4295348473859919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1.7053025658242404E-13</v>
      </c>
      <c r="BZ100" s="13">
        <f>BY100*VLOOKUP('Données projet'!$B$12,Paramètres!$A$1:$I$89,3,0)*VLOOKUP('Données projet'!$B$12,Paramètres!$A$1:$I$89,5,0)</f>
        <v>1.3301360013429075E-13</v>
      </c>
      <c r="CA100" s="13">
        <f t="shared" si="93"/>
        <v>1.9329766731057041E-12</v>
      </c>
      <c r="CB100" s="20">
        <f t="shared" si="64"/>
        <v>3.5982663925596575E-12</v>
      </c>
      <c r="CC100" s="59">
        <f t="shared" si="65"/>
        <v>293.3333333333369</v>
      </c>
      <c r="CD100" s="59">
        <f ca="1">AVERAGE(OFFSET($CC$3,0,0,'Données projet'!$E$12+1,1))-AVERAGE(OFFSET($H$3,0,0,'Données projet'!$E$12+1,1))</f>
        <v>266.30229009596883</v>
      </c>
      <c r="CE100" s="59">
        <f t="shared" si="94"/>
        <v>270.19195828386046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0.3836342344134307</v>
      </c>
      <c r="CL100" s="21">
        <f>EXP(-LN(2)/25)*CL99+(1-EXP(-LN(2)/25))/(LN(2)/25)*Calculateur!CG100*Calculateur!CI100*VLOOKUP('Données projet'!$B$12,Paramètres!$A$1:$I$89,3,0)*0.475*44/12</f>
        <v>1.3061785814367812</v>
      </c>
      <c r="CM100" s="21">
        <f>EXP(-LN(2)/2)*CM99+(1-EXP(-LN(2)/2))/(LN(2)/2)*CG100*CJ100*VLOOKUP('Données projet'!$B$12,Paramètres!$A$1:$I$89,3,0)*0.475*44/12</f>
        <v>1.0759941920329711E-9</v>
      </c>
      <c r="CN100" s="22">
        <f t="shared" si="66"/>
        <v>1.6898128169262061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-5.1159076974727213E-13</v>
      </c>
      <c r="CU100" s="17">
        <f>CT100*VLOOKUP('Données projet'!$B$13,Paramètres!$A$1:$I$89,3,0)*VLOOKUP('Données projet'!$B$13,Paramètres!$A$1:$I$89,5,0)</f>
        <v>-4.0702161641092972E-13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260.20517190557814</v>
      </c>
      <c r="CZ100" s="59">
        <f t="shared" si="96"/>
        <v>307.22009971147133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0.86568197368354494</v>
      </c>
      <c r="DG100" s="21">
        <f>EXP(-LN(2)/25)*DG99+(1-EXP(-LN(2)/25))/(LN(2)/25)*Calculateur!DB100*Calculateur!DD100*VLOOKUP('Données projet'!$B$13,Paramètres!$A$1:$I$89,3,0)*0.475*44/12</f>
        <v>3.2019058665861064</v>
      </c>
      <c r="DH100" s="21">
        <f>EXP(-LN(2)/2)*DH99+(1-EXP(-LN(2)/2))/(LN(2)/2)*DB100*DE100*VLOOKUP('Données projet'!$B$13,Paramètres!$A$1:$I$89,3,0)*0.475*44/12</f>
        <v>1.9788467480452227E-9</v>
      </c>
      <c r="DI100" s="22">
        <f t="shared" si="69"/>
        <v>4.0675878422484981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5.9</v>
      </c>
      <c r="DO100" s="12">
        <f>IF('Données projet'!$A$166&gt;35,DO99+DN100-DW99,IF(A100&lt;'Données projet'!$A$166,$DL$205^A100,IF(A100='Données projet'!$A$166,'Données projet'!$B$166,DO99+DN100-DW99)))</f>
        <v>343.29999999999984</v>
      </c>
      <c r="DP100" s="17">
        <f>DO100*VLOOKUP('Données projet'!$B$14,Paramètres!$A$1:$I$89,3,0)*VLOOKUP('Données projet'!$B$14,Paramètres!$A$1:$I$89,5,0)</f>
        <v>332.03975999999983</v>
      </c>
      <c r="DQ100" s="13">
        <f t="shared" si="97"/>
        <v>77.853049678019502</v>
      </c>
      <c r="DR100" s="20">
        <f t="shared" si="70"/>
        <v>713.89664352255022</v>
      </c>
      <c r="DS100" s="59">
        <f t="shared" si="71"/>
        <v>1007.2299768558835</v>
      </c>
      <c r="DT100" s="59">
        <f ca="1">AVERAGE(OFFSET($DS$3,0,0,'Données projet'!$E$14+1,1))-AVERAGE(OFFSET($H$3,0,0,'Données projet'!$E$14+1,1))</f>
        <v>347.8889410585312</v>
      </c>
      <c r="DU100" s="59">
        <f t="shared" si="98"/>
        <v>254.78167322479203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0.68306567276073427</v>
      </c>
      <c r="EB100" s="21">
        <f>EXP(-LN(2)/25)*EB99+(1-EXP(-LN(2)/25))/(LN(2)/25)*Calculateur!DW100*Calculateur!DY100*VLOOKUP('Données projet'!$B$14,Paramètres!$A$1:$I$89,3,0)*0.475*44/12</f>
        <v>1.8820055754268625</v>
      </c>
      <c r="EC100" s="21">
        <f>EXP(-LN(2)/2)*EC99+(1-EXP(-LN(2)/2))/(LN(2)/2)*DW100*DZ100*VLOOKUP('Données projet'!$B$14,Paramètres!$A$1:$I$89,3,0)*0.475*44/12</f>
        <v>1.8965895620689049E-9</v>
      </c>
      <c r="ED100" s="22">
        <f t="shared" si="72"/>
        <v>2.5650712500841863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5.9</v>
      </c>
      <c r="EJ100" s="12">
        <f>IF('Données projet'!$A$192&gt;35,EJ99+EI100-ER99,IF(A100&lt;'Données projet'!$A$192,$EG$205^A100,IF(A100='Données projet'!$A$192,'Données projet'!$B$192,EJ99+EI100-ER99)))</f>
        <v>343.29999999999984</v>
      </c>
      <c r="EK100" s="17">
        <f>EJ100*VLOOKUP('Données projet'!$B$15,Paramètres!$A$1:$I$89,3,0)*VLOOKUP('Données projet'!$B$15,Paramètres!$A$1:$I$89,5,0)</f>
        <v>369.52811999999983</v>
      </c>
      <c r="EL100" s="13">
        <f t="shared" si="99"/>
        <v>85.570760009536031</v>
      </c>
      <c r="EM100" s="20">
        <f t="shared" si="73"/>
        <v>792.63054934994159</v>
      </c>
      <c r="EN100" s="59">
        <f t="shared" si="74"/>
        <v>1085.963882683275</v>
      </c>
      <c r="EO100" s="59">
        <f ca="1">AVERAGE(OFFSET($EN$3,0,0,'Données projet'!$E$15+1,1))-AVERAGE(OFFSET($H$3,0,0,'Données projet'!$E$15+1,1))</f>
        <v>399.38728019348088</v>
      </c>
      <c r="EP100" s="59">
        <f t="shared" si="100"/>
        <v>289.54922160039791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0.76018599065307479</v>
      </c>
      <c r="EW100" s="21">
        <f>EXP(-LN(2)/25)*EW99+(1-EXP(-LN(2)/25))/(LN(2)/25)*Calculateur!ER100*Calculateur!ET100*VLOOKUP('Données projet'!$B$15,Paramètres!$A$1:$I$89,3,0)*0.475*44/12</f>
        <v>2.0944900758782845</v>
      </c>
      <c r="EX100" s="21">
        <f>EXP(-LN(2)/2)*EX99+(1-EXP(-LN(2)/2))/(LN(2)/2)*ER100*EU100*VLOOKUP('Données projet'!$B$15,Paramètres!$A$1:$I$89,3,0)*0.475*44/12</f>
        <v>2.1107206416573299E-9</v>
      </c>
      <c r="EY100" s="22">
        <f t="shared" si="75"/>
        <v>2.85467606864208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5.9</v>
      </c>
      <c r="N101" s="13">
        <f>IF('Données projet'!$A$36&gt;35,N100+M101-V100,IF(A101&lt;'Données projet'!$A$36,$K$205^A101,IF(A101='Données projet'!$A$36,'Données projet'!$B$36,N100+M101-V100)))</f>
        <v>349.19999999999982</v>
      </c>
      <c r="O101" s="13">
        <f>N101*VLOOKUP('Données projet'!$B$9,Paramètres!$A$1:$I$89,3,0)*VLOOKUP('Données projet'!$B$9,Paramètres!$A$1:$I$89,5,0)</f>
        <v>315.95615999999984</v>
      </c>
      <c r="P101" s="13">
        <f t="shared" si="87"/>
        <v>74.511332350300975</v>
      </c>
      <c r="Q101" s="20">
        <f t="shared" si="107"/>
        <v>680.06421584344059</v>
      </c>
      <c r="R101" s="59">
        <f t="shared" si="55"/>
        <v>973.39754917677396</v>
      </c>
      <c r="S101" s="59">
        <f ca="1">AVERAGE(OFFSET($R$3,0,0,'Données projet'!$E$9+1,1))-AVERAGE(OFFSET($H$3,0,0,'Données projet'!$E$9+1,1))</f>
        <v>318.40875902853116</v>
      </c>
      <c r="T101" s="59">
        <f t="shared" si="88"/>
        <v>234.87694492493506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0.62646657983411969</v>
      </c>
      <c r="AA101" s="21">
        <f>EXP(-LN(2)/25)*AA100+(1-EXP(-LN(2)/25))/(LN(2)/25)*Calculateur!V101*Calculateur!X101*VLOOKUP('Données projet'!$B$9,Paramètres!$A$1:$I$89,3,0)*0.475*44/12</f>
        <v>1.7124425479321561</v>
      </c>
      <c r="AB101" s="21">
        <f>EXP(-LN(2)/2)*AB100+(1-EXP(-LN(2)/2))/(LN(2)/2)*V101*Y101*VLOOKUP('Données projet'!$B$9,Paramètres!$A$1:$I$89,3,0)*0.475*44/12</f>
        <v>1.2545693185009692E-9</v>
      </c>
      <c r="AC101" s="22">
        <f t="shared" si="57"/>
        <v>2.3389091290208452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243.38048563215585</v>
      </c>
      <c r="AO101" s="59">
        <f t="shared" si="90"/>
        <v>372.1604147006675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1.9010020353587087</v>
      </c>
      <c r="AV101" s="21">
        <f>EXP(-LN(2)/25)*AV100+(1-EXP(-LN(2)/25))/(LN(2)/25)*Calculateur!AQ101*Calculateur!AS101*VLOOKUP('Données projet'!$B$10,Paramètres!$A$1:$I$89,3,0)*0.475*44/12</f>
        <v>2.9387202094910618</v>
      </c>
      <c r="AW101" s="21">
        <f>EXP(-LN(2)/2)*AW100+(1-EXP(-LN(2)/2))/(LN(2)/2)*AQ101*AT101*VLOOKUP('Données projet'!$B$10,Paramètres!$A$1:$I$89,3,0)*0.475*44/12</f>
        <v>1.7063540414186522E-9</v>
      </c>
      <c r="AX101" s="21">
        <f t="shared" si="60"/>
        <v>4.8397222465561249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-5.1159076974727213E-13</v>
      </c>
      <c r="BE101" s="13">
        <f>BD101*VLOOKUP('Données projet'!$B$11,Paramètres!$A$1:$I$89,3,0)*VLOOKUP('Données projet'!$B$11,Paramètres!$A$1:$I$89,5,0)</f>
        <v>-3.4317508834647017E-13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207.93042467236967</v>
      </c>
      <c r="BJ101" s="59">
        <f t="shared" si="92"/>
        <v>250.70954318710835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0.71557605024155879</v>
      </c>
      <c r="BQ101" s="21">
        <f>EXP(-LN(2)/25)*BQ100+(1-EXP(-LN(2)/25))/(LN(2)/25)*Calculateur!BL101*Calculateur!BN101*VLOOKUP('Données projet'!$B$11,Paramètres!$A$1:$I$89,3,0)*0.475*44/12</f>
        <v>2.625824157611496</v>
      </c>
      <c r="BR101" s="21">
        <f>EXP(-LN(2)/2)*BR100+(1-EXP(-LN(2)/2))/(LN(2)/2)*BL101*BO101*VLOOKUP('Données projet'!$B$11,Paramètres!$A$1:$I$89,3,0)*0.475*44/12</f>
        <v>1.1797648243585127E-9</v>
      </c>
      <c r="BS101" s="22">
        <f t="shared" si="63"/>
        <v>3.3414002090328196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1.7053025658242404E-13</v>
      </c>
      <c r="BZ101" s="13">
        <f>BY101*VLOOKUP('Données projet'!$B$12,Paramètres!$A$1:$I$89,3,0)*VLOOKUP('Données projet'!$B$12,Paramètres!$A$1:$I$89,5,0)</f>
        <v>1.3301360013429075E-13</v>
      </c>
      <c r="CA101" s="13">
        <f t="shared" si="93"/>
        <v>1.9329766731057041E-12</v>
      </c>
      <c r="CB101" s="20">
        <f t="shared" si="64"/>
        <v>3.5982663925596575E-12</v>
      </c>
      <c r="CC101" s="59">
        <f t="shared" si="65"/>
        <v>293.3333333333369</v>
      </c>
      <c r="CD101" s="59">
        <f ca="1">AVERAGE(OFFSET($CC$3,0,0,'Données projet'!$E$12+1,1))-AVERAGE(OFFSET($H$3,0,0,'Données projet'!$E$12+1,1))</f>
        <v>266.30229009596883</v>
      </c>
      <c r="CE101" s="59">
        <f t="shared" si="94"/>
        <v>270.19195828386046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0.37611140107036134</v>
      </c>
      <c r="CL101" s="21">
        <f>EXP(-LN(2)/25)*CL100+(1-EXP(-LN(2)/25))/(LN(2)/25)*Calculateur!CG101*Calculateur!CI101*VLOOKUP('Données projet'!$B$12,Paramètres!$A$1:$I$89,3,0)*0.475*44/12</f>
        <v>1.2704610594384462</v>
      </c>
      <c r="CM101" s="21">
        <f>EXP(-LN(2)/2)*CM100+(1-EXP(-LN(2)/2))/(LN(2)/2)*CG101*CJ101*VLOOKUP('Données projet'!$B$12,Paramètres!$A$1:$I$89,3,0)*0.475*44/12</f>
        <v>7.6084278970385409E-10</v>
      </c>
      <c r="CN101" s="22">
        <f t="shared" si="66"/>
        <v>1.6465724612696502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-5.1159076974727213E-13</v>
      </c>
      <c r="CU101" s="17">
        <f>CT101*VLOOKUP('Données projet'!$B$13,Paramètres!$A$1:$I$89,3,0)*VLOOKUP('Données projet'!$B$13,Paramètres!$A$1:$I$89,5,0)</f>
        <v>-4.0702161641092972E-13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260.20517190557814</v>
      </c>
      <c r="CZ101" s="59">
        <f t="shared" si="96"/>
        <v>307.22009971147133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0.84870647819347755</v>
      </c>
      <c r="DG101" s="21">
        <f>EXP(-LN(2)/25)*DG100+(1-EXP(-LN(2)/25))/(LN(2)/25)*Calculateur!DB101*Calculateur!DD101*VLOOKUP('Données projet'!$B$13,Paramètres!$A$1:$I$89,3,0)*0.475*44/12</f>
        <v>3.1143495822833978</v>
      </c>
      <c r="DH101" s="21">
        <f>EXP(-LN(2)/2)*DH100+(1-EXP(-LN(2)/2))/(LN(2)/2)*DB101*DE101*VLOOKUP('Données projet'!$B$13,Paramètres!$A$1:$I$89,3,0)*0.475*44/12</f>
        <v>1.3992559544717245E-9</v>
      </c>
      <c r="DI101" s="22">
        <f t="shared" si="69"/>
        <v>3.9630560618761312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5.9</v>
      </c>
      <c r="DO101" s="12">
        <f>IF('Données projet'!$A$166&gt;35,DO100+DN101-DW100,IF(A101&lt;'Données projet'!$A$166,$DL$205^A101,IF(A101='Données projet'!$A$166,'Données projet'!$B$166,DO100+DN101-DW100)))</f>
        <v>349.19999999999982</v>
      </c>
      <c r="DP101" s="17">
        <f>DO101*VLOOKUP('Données projet'!$B$14,Paramètres!$A$1:$I$89,3,0)*VLOOKUP('Données projet'!$B$14,Paramètres!$A$1:$I$89,5,0)</f>
        <v>337.74623999999983</v>
      </c>
      <c r="DQ101" s="13">
        <f t="shared" si="97"/>
        <v>79.034125251774896</v>
      </c>
      <c r="DR101" s="20">
        <f t="shared" si="70"/>
        <v>725.89246948017433</v>
      </c>
      <c r="DS101" s="59">
        <f t="shared" si="71"/>
        <v>1019.2258028135077</v>
      </c>
      <c r="DT101" s="59">
        <f ca="1">AVERAGE(OFFSET($DS$3,0,0,'Données projet'!$E$14+1,1))-AVERAGE(OFFSET($H$3,0,0,'Données projet'!$E$14+1,1))</f>
        <v>347.8889410585312</v>
      </c>
      <c r="DU101" s="59">
        <f t="shared" si="98"/>
        <v>254.78167322479203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0.66967117154681799</v>
      </c>
      <c r="EB101" s="21">
        <f>EXP(-LN(2)/25)*EB100+(1-EXP(-LN(2)/25))/(LN(2)/25)*Calculateur!DW101*Calculateur!DY101*VLOOKUP('Données projet'!$B$14,Paramètres!$A$1:$I$89,3,0)*0.475*44/12</f>
        <v>1.8305420339964431</v>
      </c>
      <c r="EC101" s="21">
        <f>EXP(-LN(2)/2)*EC100+(1-EXP(-LN(2)/2))/(LN(2)/2)*DW101*DZ101*VLOOKUP('Données projet'!$B$14,Paramètres!$A$1:$I$89,3,0)*0.475*44/12</f>
        <v>1.3410913404665472E-9</v>
      </c>
      <c r="ED101" s="22">
        <f t="shared" si="72"/>
        <v>2.5002132068843523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5.9</v>
      </c>
      <c r="EJ101" s="12">
        <f>IF('Données projet'!$A$192&gt;35,EJ100+EI101-ER100,IF(A101&lt;'Données projet'!$A$192,$EG$205^A101,IF(A101='Données projet'!$A$192,'Données projet'!$B$192,EJ100+EI101-ER100)))</f>
        <v>349.19999999999982</v>
      </c>
      <c r="EK101" s="17">
        <f>EJ101*VLOOKUP('Données projet'!$B$15,Paramètres!$A$1:$I$89,3,0)*VLOOKUP('Données projet'!$B$15,Paramètres!$A$1:$I$89,5,0)</f>
        <v>375.87887999999981</v>
      </c>
      <c r="EL101" s="13">
        <f t="shared" si="99"/>
        <v>86.868917691128757</v>
      </c>
      <c r="EM101" s="20">
        <f t="shared" si="73"/>
        <v>805.95241431204886</v>
      </c>
      <c r="EN101" s="59">
        <f t="shared" si="74"/>
        <v>1099.2857476453821</v>
      </c>
      <c r="EO101" s="59">
        <f ca="1">AVERAGE(OFFSET($EN$3,0,0,'Données projet'!$E$15+1,1))-AVERAGE(OFFSET($H$3,0,0,'Données projet'!$E$15+1,1))</f>
        <v>399.38728019348088</v>
      </c>
      <c r="EP101" s="59">
        <f t="shared" si="100"/>
        <v>289.54922160039791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0.74527920704403894</v>
      </c>
      <c r="EW101" s="21">
        <f>EXP(-LN(2)/25)*EW100+(1-EXP(-LN(2)/25))/(LN(2)/25)*Calculateur!ER101*Calculateur!ET101*VLOOKUP('Données projet'!$B$15,Paramètres!$A$1:$I$89,3,0)*0.475*44/12</f>
        <v>2.0372161346089466</v>
      </c>
      <c r="EX101" s="21">
        <f>EXP(-LN(2)/2)*EX100+(1-EXP(-LN(2)/2))/(LN(2)/2)*ER101*EU101*VLOOKUP('Données projet'!$B$15,Paramètres!$A$1:$I$89,3,0)*0.475*44/12</f>
        <v>1.4925048789063187E-9</v>
      </c>
      <c r="EY101" s="22">
        <f t="shared" si="75"/>
        <v>2.7824953431454902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5.9</v>
      </c>
      <c r="N102" s="13">
        <f>IF('Données projet'!$A$36&gt;35,N101+M102-V101,IF(A102&lt;'Données projet'!$A$36,$K$205^A102,IF(A102='Données projet'!$A$36,'Données projet'!$B$36,N101+M102-V101)))</f>
        <v>355.0999999999998</v>
      </c>
      <c r="O102" s="13">
        <f>N102*VLOOKUP('Données projet'!$B$9,Paramètres!$A$1:$I$89,3,0)*VLOOKUP('Données projet'!$B$9,Paramètres!$A$1:$I$89,5,0)</f>
        <v>321.29447999999979</v>
      </c>
      <c r="P102" s="13">
        <f t="shared" si="87"/>
        <v>75.6226320847924</v>
      </c>
      <c r="Q102" s="20">
        <f t="shared" si="107"/>
        <v>691.29730354767969</v>
      </c>
      <c r="R102" s="59">
        <f t="shared" si="55"/>
        <v>984.63063688101306</v>
      </c>
      <c r="S102" s="59">
        <f ca="1">AVERAGE(OFFSET($R$3,0,0,'Données projet'!$E$9+1,1))-AVERAGE(OFFSET($H$3,0,0,'Données projet'!$E$9+1,1))</f>
        <v>318.40875902853116</v>
      </c>
      <c r="T102" s="59">
        <f t="shared" si="88"/>
        <v>234.87694492493506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0.61418195231045636</v>
      </c>
      <c r="AA102" s="21">
        <f>EXP(-LN(2)/25)*AA101+(1-EXP(-LN(2)/25))/(LN(2)/25)*Calculateur!V102*Calculateur!X102*VLOOKUP('Données projet'!$B$9,Paramètres!$A$1:$I$89,3,0)*0.475*44/12</f>
        <v>1.6656157164055116</v>
      </c>
      <c r="AB102" s="21">
        <f>EXP(-LN(2)/2)*AB101+(1-EXP(-LN(2)/2))/(LN(2)/2)*V102*Y102*VLOOKUP('Données projet'!$B$9,Paramètres!$A$1:$I$89,3,0)*0.475*44/12</f>
        <v>8.8711447258062092E-10</v>
      </c>
      <c r="AC102" s="22">
        <f t="shared" si="57"/>
        <v>2.2797976696030826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243.38048563215585</v>
      </c>
      <c r="AO102" s="59">
        <f t="shared" si="90"/>
        <v>372.1604147006675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1.8637245449420752</v>
      </c>
      <c r="AV102" s="21">
        <f>EXP(-LN(2)/25)*AV101+(1-EXP(-LN(2)/25))/(LN(2)/25)*Calculateur!AQ102*Calculateur!AS102*VLOOKUP('Données projet'!$B$10,Paramètres!$A$1:$I$89,3,0)*0.475*44/12</f>
        <v>2.8583607508219493</v>
      </c>
      <c r="AW102" s="21">
        <f>EXP(-LN(2)/2)*AW101+(1-EXP(-LN(2)/2))/(LN(2)/2)*AQ102*AT102*VLOOKUP('Données projet'!$B$10,Paramètres!$A$1:$I$89,3,0)*0.475*44/12</f>
        <v>1.2065745137921999E-9</v>
      </c>
      <c r="AX102" s="21">
        <f t="shared" si="60"/>
        <v>4.7220852969705991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-5.1159076974727213E-13</v>
      </c>
      <c r="BE102" s="13">
        <f>BD102*VLOOKUP('Données projet'!$B$11,Paramètres!$A$1:$I$89,3,0)*VLOOKUP('Données projet'!$B$11,Paramètres!$A$1:$I$89,5,0)</f>
        <v>-3.4317508834647017E-13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207.93042467236967</v>
      </c>
      <c r="BJ102" s="59">
        <f t="shared" si="92"/>
        <v>250.70954318710835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0.70154404035461582</v>
      </c>
      <c r="BQ102" s="21">
        <f>EXP(-LN(2)/25)*BQ101+(1-EXP(-LN(2)/25))/(LN(2)/25)*Calculateur!BL102*Calculateur!BN102*VLOOKUP('Données projet'!$B$11,Paramètres!$A$1:$I$89,3,0)*0.475*44/12</f>
        <v>2.5540208579355186</v>
      </c>
      <c r="BR102" s="21">
        <f>EXP(-LN(2)/2)*BR101+(1-EXP(-LN(2)/2))/(LN(2)/2)*BL102*BO102*VLOOKUP('Données projet'!$B$11,Paramètres!$A$1:$I$89,3,0)*0.475*44/12</f>
        <v>8.3421970750926052E-10</v>
      </c>
      <c r="BS102" s="22">
        <f t="shared" si="63"/>
        <v>3.2555648991243542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1.7053025658242404E-13</v>
      </c>
      <c r="BZ102" s="13">
        <f>BY102*VLOOKUP('Données projet'!$B$12,Paramètres!$A$1:$I$89,3,0)*VLOOKUP('Données projet'!$B$12,Paramètres!$A$1:$I$89,5,0)</f>
        <v>1.3301360013429075E-13</v>
      </c>
      <c r="CA102" s="13">
        <f t="shared" si="93"/>
        <v>1.9329766731057041E-12</v>
      </c>
      <c r="CB102" s="20">
        <f t="shared" si="64"/>
        <v>3.5982663925596575E-12</v>
      </c>
      <c r="CC102" s="59">
        <f t="shared" si="65"/>
        <v>293.3333333333369</v>
      </c>
      <c r="CD102" s="59">
        <f ca="1">AVERAGE(OFFSET($CC$3,0,0,'Données projet'!$E$12+1,1))-AVERAGE(OFFSET($H$3,0,0,'Données projet'!$E$12+1,1))</f>
        <v>266.30229009596883</v>
      </c>
      <c r="CE102" s="59">
        <f t="shared" si="94"/>
        <v>270.19195828386046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0.3687360859006743</v>
      </c>
      <c r="CL102" s="21">
        <f>EXP(-LN(2)/25)*CL101+(1-EXP(-LN(2)/25))/(LN(2)/25)*Calculateur!CG102*Calculateur!CI102*VLOOKUP('Données projet'!$B$12,Paramètres!$A$1:$I$89,3,0)*0.475*44/12</f>
        <v>1.2357202349574585</v>
      </c>
      <c r="CM102" s="21">
        <f>EXP(-LN(2)/2)*CM101+(1-EXP(-LN(2)/2))/(LN(2)/2)*CG102*CJ102*VLOOKUP('Données projet'!$B$12,Paramètres!$A$1:$I$89,3,0)*0.475*44/12</f>
        <v>5.3799709601648554E-10</v>
      </c>
      <c r="CN102" s="22">
        <f t="shared" si="66"/>
        <v>1.60445632139613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-5.1159076974727213E-13</v>
      </c>
      <c r="CU102" s="17">
        <f>CT102*VLOOKUP('Données projet'!$B$13,Paramètres!$A$1:$I$89,3,0)*VLOOKUP('Données projet'!$B$13,Paramètres!$A$1:$I$89,5,0)</f>
        <v>-4.0702161641092972E-13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260.20517190557814</v>
      </c>
      <c r="CZ102" s="59">
        <f t="shared" si="96"/>
        <v>307.22009971147133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0.8320638618159405</v>
      </c>
      <c r="DG102" s="21">
        <f>EXP(-LN(2)/25)*DG101+(1-EXP(-LN(2)/25))/(LN(2)/25)*Calculateur!DB102*Calculateur!DD102*VLOOKUP('Données projet'!$B$13,Paramètres!$A$1:$I$89,3,0)*0.475*44/12</f>
        <v>3.0291875291793318</v>
      </c>
      <c r="DH102" s="21">
        <f>EXP(-LN(2)/2)*DH101+(1-EXP(-LN(2)/2))/(LN(2)/2)*DB102*DE102*VLOOKUP('Données projet'!$B$13,Paramètres!$A$1:$I$89,3,0)*0.475*44/12</f>
        <v>9.8942337402261137E-10</v>
      </c>
      <c r="DI102" s="22">
        <f t="shared" si="69"/>
        <v>3.8612513919846956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5.9</v>
      </c>
      <c r="DO102" s="12">
        <f>IF('Données projet'!$A$166&gt;35,DO101+DN102-DW101,IF(A102&lt;'Données projet'!$A$166,$DL$205^A102,IF(A102='Données projet'!$A$166,'Données projet'!$B$166,DO101+DN102-DW101)))</f>
        <v>355.0999999999998</v>
      </c>
      <c r="DP102" s="17">
        <f>DO102*VLOOKUP('Données projet'!$B$14,Paramètres!$A$1:$I$89,3,0)*VLOOKUP('Données projet'!$B$14,Paramètres!$A$1:$I$89,5,0)</f>
        <v>343.45271999999977</v>
      </c>
      <c r="DQ102" s="13">
        <f t="shared" si="97"/>
        <v>80.212880209411864</v>
      </c>
      <c r="DR102" s="20">
        <f t="shared" si="70"/>
        <v>737.88425369805861</v>
      </c>
      <c r="DS102" s="59">
        <f t="shared" si="71"/>
        <v>1031.217587031392</v>
      </c>
      <c r="DT102" s="59">
        <f ca="1">AVERAGE(OFFSET($DS$3,0,0,'Données projet'!$E$14+1,1))-AVERAGE(OFFSET($H$3,0,0,'Données projet'!$E$14+1,1))</f>
        <v>347.8889410585312</v>
      </c>
      <c r="DU102" s="59">
        <f t="shared" si="98"/>
        <v>254.78167322479203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0.65653932833186757</v>
      </c>
      <c r="EB102" s="21">
        <f>EXP(-LN(2)/25)*EB101+(1-EXP(-LN(2)/25))/(LN(2)/25)*Calculateur!DW102*Calculateur!DY102*VLOOKUP('Données projet'!$B$14,Paramètres!$A$1:$I$89,3,0)*0.475*44/12</f>
        <v>1.7804857658127886</v>
      </c>
      <c r="EC102" s="21">
        <f>EXP(-LN(2)/2)*EC101+(1-EXP(-LN(2)/2))/(LN(2)/2)*DW102*DZ102*VLOOKUP('Données projet'!$B$14,Paramètres!$A$1:$I$89,3,0)*0.475*44/12</f>
        <v>9.4829478103445246E-10</v>
      </c>
      <c r="ED102" s="22">
        <f t="shared" si="72"/>
        <v>2.4370250950929511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5.9</v>
      </c>
      <c r="EJ102" s="12">
        <f>IF('Données projet'!$A$192&gt;35,EJ101+EI102-ER101,IF(A102&lt;'Données projet'!$A$192,$EG$205^A102,IF(A102='Données projet'!$A$192,'Données projet'!$B$192,EJ101+EI102-ER101)))</f>
        <v>355.0999999999998</v>
      </c>
      <c r="EK102" s="17">
        <f>EJ102*VLOOKUP('Données projet'!$B$15,Paramètres!$A$1:$I$89,3,0)*VLOOKUP('Données projet'!$B$15,Paramètres!$A$1:$I$89,5,0)</f>
        <v>382.22963999999973</v>
      </c>
      <c r="EL102" s="13">
        <f t="shared" si="99"/>
        <v>88.164524709828427</v>
      </c>
      <c r="EM102" s="20">
        <f t="shared" si="73"/>
        <v>819.26983686961739</v>
      </c>
      <c r="EN102" s="59">
        <f t="shared" si="74"/>
        <v>1112.6031702029507</v>
      </c>
      <c r="EO102" s="59">
        <f ca="1">AVERAGE(OFFSET($EN$3,0,0,'Données projet'!$E$15+1,1))-AVERAGE(OFFSET($H$3,0,0,'Données projet'!$E$15+1,1))</f>
        <v>399.38728019348088</v>
      </c>
      <c r="EP102" s="59">
        <f t="shared" si="100"/>
        <v>289.54922160039791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0.73066473636933604</v>
      </c>
      <c r="EW102" s="21">
        <f>EXP(-LN(2)/25)*EW101+(1-EXP(-LN(2)/25))/(LN(2)/25)*Calculateur!ER102*Calculateur!ET102*VLOOKUP('Données projet'!$B$15,Paramètres!$A$1:$I$89,3,0)*0.475*44/12</f>
        <v>1.9815083522755246</v>
      </c>
      <c r="EX102" s="21">
        <f>EXP(-LN(2)/2)*EX101+(1-EXP(-LN(2)/2))/(LN(2)/2)*ER102*EU102*VLOOKUP('Données projet'!$B$15,Paramètres!$A$1:$I$89,3,0)*0.475*44/12</f>
        <v>1.0553603208286649E-9</v>
      </c>
      <c r="EY102" s="22">
        <f t="shared" si="75"/>
        <v>2.712173089700221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361</v>
      </c>
      <c r="L103" s="12">
        <f>VLOOKUP(A103,'Données projet'!$A$35:$I$55,9,0)</f>
        <v>5.9</v>
      </c>
      <c r="M103" s="12">
        <f t="array" ref="M103">INDEX(L:L,MIN(IF(ISNUMBER(L103:L299),ROW(L103:L299),"")))</f>
        <v>5.9</v>
      </c>
      <c r="N103" s="13">
        <f>IF('Données projet'!$A$36&gt;35,N102+M103-V102,IF(A103&lt;'Données projet'!$A$36,$K$205^A103,IF(A103='Données projet'!$A$36,'Données projet'!$B$36,N102+M103-V102)))</f>
        <v>360.99999999999977</v>
      </c>
      <c r="O103" s="13">
        <f>N103*VLOOKUP('Données projet'!$B$9,Paramètres!$A$1:$I$89,3,0)*VLOOKUP('Données projet'!$B$9,Paramètres!$A$1:$I$89,5,0)</f>
        <v>326.6327999999998</v>
      </c>
      <c r="P103" s="13">
        <f t="shared" si="87"/>
        <v>76.731784548754774</v>
      </c>
      <c r="Q103" s="20">
        <f t="shared" si="107"/>
        <v>702.52665142241415</v>
      </c>
      <c r="R103" s="59">
        <f t="shared" si="55"/>
        <v>995.85998475574752</v>
      </c>
      <c r="S103" s="59">
        <f ca="1">AVERAGE(OFFSET($R$3,0,0,'Données projet'!$E$9+1,1))-AVERAGE(OFFSET($H$3,0,0,'Données projet'!$E$9+1,1))</f>
        <v>318.40875902853116</v>
      </c>
      <c r="T103" s="59">
        <f t="shared" si="88"/>
        <v>234.87694492493506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55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0.60213821883964913</v>
      </c>
      <c r="AA103" s="21">
        <f>EXP(-LN(2)/25)*AA102+(1-EXP(-LN(2)/25))/(LN(2)/25)*Calculateur!V103*Calculateur!X103*VLOOKUP('Données projet'!$B$9,Paramètres!$A$1:$I$89,3,0)*0.475*44/12</f>
        <v>1.6200693670494792</v>
      </c>
      <c r="AB103" s="21">
        <f>EXP(-LN(2)/2)*AB102+(1-EXP(-LN(2)/2))/(LN(2)/2)*V103*Y103*VLOOKUP('Données projet'!$B$9,Paramètres!$A$1:$I$89,3,0)*0.475*44/12</f>
        <v>6.2728465925048462E-10</v>
      </c>
      <c r="AC103" s="22">
        <f t="shared" si="57"/>
        <v>2.2222075865164128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243.38048563215585</v>
      </c>
      <c r="AO103" s="59">
        <f t="shared" si="90"/>
        <v>372.1604147006675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1.8271780433754878</v>
      </c>
      <c r="AV103" s="21">
        <f>EXP(-LN(2)/25)*AV102+(1-EXP(-LN(2)/25))/(LN(2)/25)*Calculateur!AQ103*Calculateur!AS103*VLOOKUP('Données projet'!$B$10,Paramètres!$A$1:$I$89,3,0)*0.475*44/12</f>
        <v>2.7801987257760641</v>
      </c>
      <c r="AW103" s="21">
        <f>EXP(-LN(2)/2)*AW102+(1-EXP(-LN(2)/2))/(LN(2)/2)*AQ103*AT103*VLOOKUP('Données projet'!$B$10,Paramètres!$A$1:$I$89,3,0)*0.475*44/12</f>
        <v>8.531770207093261E-10</v>
      </c>
      <c r="AX103" s="21">
        <f t="shared" si="60"/>
        <v>4.6073767700047288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-5.1159076974727213E-13</v>
      </c>
      <c r="BE103" s="13">
        <f>BD103*VLOOKUP('Données projet'!$B$11,Paramètres!$A$1:$I$89,3,0)*VLOOKUP('Données projet'!$B$11,Paramètres!$A$1:$I$89,5,0)</f>
        <v>-3.4317508834647017E-13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207.93042467236967</v>
      </c>
      <c r="BJ103" s="59">
        <f t="shared" si="92"/>
        <v>250.70954318710835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0.68778718962287488</v>
      </c>
      <c r="BQ103" s="21">
        <f>EXP(-LN(2)/25)*BQ102+(1-EXP(-LN(2)/25))/(LN(2)/25)*Calculateur!BL103*Calculateur!BN103*VLOOKUP('Données projet'!$B$11,Paramètres!$A$1:$I$89,3,0)*0.475*44/12</f>
        <v>2.484181023265152</v>
      </c>
      <c r="BR103" s="21">
        <f>EXP(-LN(2)/2)*BR102+(1-EXP(-LN(2)/2))/(LN(2)/2)*BL103*BO103*VLOOKUP('Données projet'!$B$11,Paramètres!$A$1:$I$89,3,0)*0.475*44/12</f>
        <v>5.8988241217925635E-10</v>
      </c>
      <c r="BS103" s="22">
        <f t="shared" si="63"/>
        <v>3.1719682134779092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1.7053025658242404E-13</v>
      </c>
      <c r="BZ103" s="13">
        <f>BY103*VLOOKUP('Données projet'!$B$12,Paramètres!$A$1:$I$89,3,0)*VLOOKUP('Données projet'!$B$12,Paramètres!$A$1:$I$89,5,0)</f>
        <v>1.3301360013429075E-13</v>
      </c>
      <c r="CA103" s="13">
        <f t="shared" si="93"/>
        <v>1.9329766731057041E-12</v>
      </c>
      <c r="CB103" s="20">
        <f t="shared" si="64"/>
        <v>3.5982663925596575E-12</v>
      </c>
      <c r="CC103" s="59">
        <f t="shared" si="65"/>
        <v>293.3333333333369</v>
      </c>
      <c r="CD103" s="59">
        <f ca="1">AVERAGE(OFFSET($CC$3,0,0,'Données projet'!$E$12+1,1))-AVERAGE(OFFSET($H$3,0,0,'Données projet'!$E$12+1,1))</f>
        <v>266.30229009596883</v>
      </c>
      <c r="CE103" s="59">
        <f t="shared" si="94"/>
        <v>270.19195828386046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0.36150539616296679</v>
      </c>
      <c r="CL103" s="21">
        <f>EXP(-LN(2)/25)*CL102+(1-EXP(-LN(2)/25))/(LN(2)/25)*Calculateur!CG103*Calculateur!CI103*VLOOKUP('Données projet'!$B$12,Paramètres!$A$1:$I$89,3,0)*0.475*44/12</f>
        <v>1.2019294001488439</v>
      </c>
      <c r="CM103" s="21">
        <f>EXP(-LN(2)/2)*CM102+(1-EXP(-LN(2)/2))/(LN(2)/2)*CG103*CJ103*VLOOKUP('Données projet'!$B$12,Paramètres!$A$1:$I$89,3,0)*0.475*44/12</f>
        <v>3.8042139485192705E-10</v>
      </c>
      <c r="CN103" s="22">
        <f t="shared" si="66"/>
        <v>1.5634347966922322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-5.1159076974727213E-13</v>
      </c>
      <c r="CU103" s="17">
        <f>CT103*VLOOKUP('Données projet'!$B$13,Paramètres!$A$1:$I$89,3,0)*VLOOKUP('Données projet'!$B$13,Paramètres!$A$1:$I$89,5,0)</f>
        <v>-4.0702161641092972E-13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260.20517190557814</v>
      </c>
      <c r="CZ103" s="59">
        <f t="shared" si="96"/>
        <v>307.22009971147133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0.81574759699457322</v>
      </c>
      <c r="DG103" s="21">
        <f>EXP(-LN(2)/25)*DG102+(1-EXP(-LN(2)/25))/(LN(2)/25)*Calculateur!DB103*Calculateur!DD103*VLOOKUP('Données projet'!$B$13,Paramètres!$A$1:$I$89,3,0)*0.475*44/12</f>
        <v>2.9463542368958739</v>
      </c>
      <c r="DH103" s="21">
        <f>EXP(-LN(2)/2)*DH102+(1-EXP(-LN(2)/2))/(LN(2)/2)*DB103*DE103*VLOOKUP('Données projet'!$B$13,Paramètres!$A$1:$I$89,3,0)*0.475*44/12</f>
        <v>6.9962797723586224E-10</v>
      </c>
      <c r="DI103" s="22">
        <f t="shared" si="69"/>
        <v>3.7621018345900752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361</v>
      </c>
      <c r="DM103" s="12">
        <f>VLOOKUP(A103,'Données projet'!$A$165:$I$185,9,0)</f>
        <v>5.9</v>
      </c>
      <c r="DN103" s="12">
        <f t="array" ref="DN103">INDEX(DM:DM,MIN(IF(ISNUMBER(DM103:DM299),ROW(DM103:DM299),"")))</f>
        <v>5.9</v>
      </c>
      <c r="DO103" s="12">
        <f>IF('Données projet'!$A$166&gt;35,DO102+DN103-DW102,IF(A103&lt;'Données projet'!$A$166,$DL$205^A103,IF(A103='Données projet'!$A$166,'Données projet'!$B$166,DO102+DN103-DW102)))</f>
        <v>360.99999999999977</v>
      </c>
      <c r="DP103" s="17">
        <f>DO103*VLOOKUP('Données projet'!$B$14,Paramètres!$A$1:$I$89,3,0)*VLOOKUP('Données projet'!$B$14,Paramètres!$A$1:$I$89,5,0)</f>
        <v>349.15919999999977</v>
      </c>
      <c r="DQ103" s="13">
        <f t="shared" si="97"/>
        <v>81.389357558494837</v>
      </c>
      <c r="DR103" s="20">
        <f t="shared" si="70"/>
        <v>749.87207108104474</v>
      </c>
      <c r="DS103" s="59">
        <f t="shared" si="71"/>
        <v>1043.2054044143781</v>
      </c>
      <c r="DT103" s="59">
        <f ca="1">AVERAGE(OFFSET($DS$3,0,0,'Données projet'!$E$14+1,1))-AVERAGE(OFFSET($H$3,0,0,'Données projet'!$E$14+1,1))</f>
        <v>347.8889410585312</v>
      </c>
      <c r="DU103" s="59">
        <f t="shared" si="98"/>
        <v>254.78167322479203</v>
      </c>
      <c r="DV103" s="15">
        <f>IF(ISNA(VLOOKUP(A103,'Données projet'!$A$165:$I$185,3,0)),0,VLOOKUP(A103,'Données projet'!$A$165:$I$185,3,0))</f>
        <v>9</v>
      </c>
      <c r="DW103" s="15">
        <f>IF(ISNA(VLOOKUP(A103,'Données projet'!$A$165:$I$185,4,0)),0,VLOOKUP(A103,'Données projet'!$A$165:$I$185,4,0))</f>
        <v>55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0.6436649925527288</v>
      </c>
      <c r="EB103" s="21">
        <f>EXP(-LN(2)/25)*EB102+(1-EXP(-LN(2)/25))/(LN(2)/25)*Calculateur!DW103*Calculateur!DY103*VLOOKUP('Données projet'!$B$14,Paramètres!$A$1:$I$89,3,0)*0.475*44/12</f>
        <v>1.7317982889149608</v>
      </c>
      <c r="EC103" s="21">
        <f>EXP(-LN(2)/2)*EC102+(1-EXP(-LN(2)/2))/(LN(2)/2)*DW103*DZ103*VLOOKUP('Données projet'!$B$14,Paramètres!$A$1:$I$89,3,0)*0.475*44/12</f>
        <v>6.7054567023327359E-10</v>
      </c>
      <c r="ED103" s="22">
        <f t="shared" si="72"/>
        <v>2.3754632821382353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361</v>
      </c>
      <c r="EH103" s="12">
        <f>VLOOKUP(A103,'Données projet'!$A$191:$I$211,9,0)</f>
        <v>5.9</v>
      </c>
      <c r="EI103" s="12">
        <f t="array" ref="EI103">INDEX(EH:EH,MIN(IF(ISNUMBER(EH103:EH299),ROW(EH103:EH299),"")))</f>
        <v>5.9</v>
      </c>
      <c r="EJ103" s="12">
        <f>IF('Données projet'!$A$192&gt;35,EJ102+EI103-ER102,IF(A103&lt;'Données projet'!$A$192,$EG$205^A103,IF(A103='Données projet'!$A$192,'Données projet'!$B$192,EJ102+EI103-ER102)))</f>
        <v>360.99999999999977</v>
      </c>
      <c r="EK103" s="17">
        <f>EJ103*VLOOKUP('Données projet'!$B$15,Paramètres!$A$1:$I$89,3,0)*VLOOKUP('Données projet'!$B$15,Paramètres!$A$1:$I$89,5,0)</f>
        <v>388.58039999999977</v>
      </c>
      <c r="EL103" s="13">
        <f t="shared" si="99"/>
        <v>89.457628336614817</v>
      </c>
      <c r="EM103" s="20">
        <f t="shared" si="73"/>
        <v>832.58289935293715</v>
      </c>
      <c r="EN103" s="59">
        <f t="shared" si="74"/>
        <v>1125.9162326862704</v>
      </c>
      <c r="EO103" s="59">
        <f ca="1">AVERAGE(OFFSET($EN$3,0,0,'Données projet'!$E$15+1,1))-AVERAGE(OFFSET($H$3,0,0,'Données projet'!$E$15+1,1))</f>
        <v>399.38728019348088</v>
      </c>
      <c r="EP103" s="59">
        <f t="shared" si="100"/>
        <v>289.54922160039791</v>
      </c>
      <c r="EQ103" s="15">
        <f>IF(ISNA(VLOOKUP(A103,'Données projet'!$A$191:$I$211,3,0)),0,VLOOKUP(A103,'Données projet'!$A$191:$I$211,3,0))</f>
        <v>9</v>
      </c>
      <c r="ER103" s="15">
        <f>IF(ISNA(VLOOKUP(A103,'Données projet'!$A$191:$I$211,4,0)),0,VLOOKUP(A103,'Données projet'!$A$191:$I$211,4,0))</f>
        <v>55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0.71633684655061713</v>
      </c>
      <c r="EW103" s="21">
        <f>EXP(-LN(2)/25)*EW102+(1-EXP(-LN(2)/25))/(LN(2)/25)*Calculateur!ER103*Calculateur!ET103*VLOOKUP('Données projet'!$B$15,Paramètres!$A$1:$I$89,3,0)*0.475*44/12</f>
        <v>1.927323902179555</v>
      </c>
      <c r="EX103" s="21">
        <f>EXP(-LN(2)/2)*EX102+(1-EXP(-LN(2)/2))/(LN(2)/2)*ER103*EU103*VLOOKUP('Données projet'!$B$15,Paramètres!$A$1:$I$89,3,0)*0.475*44/12</f>
        <v>7.4625243945315937E-10</v>
      </c>
      <c r="EY103" s="22">
        <f t="shared" si="75"/>
        <v>2.6436607494764246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311.19999999999976</v>
      </c>
      <c r="O104" s="13">
        <f>N104*VLOOKUP('Données projet'!$B$9,Paramètres!$A$1:$I$89,3,0)*VLOOKUP('Données projet'!$B$9,Paramètres!$A$1:$I$89,5,0)</f>
        <v>281.57375999999977</v>
      </c>
      <c r="P104" s="13">
        <f t="shared" si="87"/>
        <v>67.299481043334993</v>
      </c>
      <c r="Q104" s="20">
        <f t="shared" si="107"/>
        <v>607.62089481714133</v>
      </c>
      <c r="R104" s="59">
        <f t="shared" si="55"/>
        <v>900.95422815047459</v>
      </c>
      <c r="S104" s="59">
        <f ca="1">AVERAGE(OFFSET($R$3,0,0,'Données projet'!$E$9+1,1))-AVERAGE(OFFSET($H$3,0,0,'Données projet'!$E$9+1,1))</f>
        <v>318.40875902853116</v>
      </c>
      <c r="T104" s="59">
        <f t="shared" si="88"/>
        <v>234.87694492493506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0.59033065563625242</v>
      </c>
      <c r="AA104" s="21">
        <f>EXP(-LN(2)/25)*AA103+(1-EXP(-LN(2)/25))/(LN(2)/25)*Calculateur!V104*Calculateur!X104*VLOOKUP('Données projet'!$B$9,Paramètres!$A$1:$I$89,3,0)*0.475*44/12</f>
        <v>1.5757684850117659</v>
      </c>
      <c r="AB104" s="21">
        <f>EXP(-LN(2)/2)*AB103+(1-EXP(-LN(2)/2))/(LN(2)/2)*V104*Y104*VLOOKUP('Données projet'!$B$9,Paramètres!$A$1:$I$89,3,0)*0.475*44/12</f>
        <v>4.4355723629031046E-10</v>
      </c>
      <c r="AC104" s="22">
        <f t="shared" si="57"/>
        <v>2.1660991410915758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243.38048563215585</v>
      </c>
      <c r="AO104" s="59">
        <f t="shared" si="90"/>
        <v>372.1604147006675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1.7913481964134563</v>
      </c>
      <c r="AV104" s="21">
        <f>EXP(-LN(2)/25)*AV103+(1-EXP(-LN(2)/25))/(LN(2)/25)*Calculateur!AQ104*Calculateur!AS104*VLOOKUP('Données projet'!$B$10,Paramètres!$A$1:$I$89,3,0)*0.475*44/12</f>
        <v>2.7041740454154208</v>
      </c>
      <c r="AW104" s="21">
        <f>EXP(-LN(2)/2)*AW103+(1-EXP(-LN(2)/2))/(LN(2)/2)*AQ104*AT104*VLOOKUP('Données projet'!$B$10,Paramètres!$A$1:$I$89,3,0)*0.475*44/12</f>
        <v>6.0328725689609997E-10</v>
      </c>
      <c r="AX104" s="21">
        <f t="shared" si="60"/>
        <v>4.4955222424321644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-5.1159076974727213E-13</v>
      </c>
      <c r="BE104" s="13">
        <f>BD104*VLOOKUP('Données projet'!$B$11,Paramètres!$A$1:$I$89,3,0)*VLOOKUP('Données projet'!$B$11,Paramètres!$A$1:$I$89,5,0)</f>
        <v>-3.4317508834647017E-13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207.93042467236967</v>
      </c>
      <c r="BJ104" s="59">
        <f t="shared" si="92"/>
        <v>250.70954318710835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0.67430010234313298</v>
      </c>
      <c r="BQ104" s="21">
        <f>EXP(-LN(2)/25)*BQ103+(1-EXP(-LN(2)/25))/(LN(2)/25)*Calculateur!BL104*Calculateur!BN104*VLOOKUP('Données projet'!$B$11,Paramètres!$A$1:$I$89,3,0)*0.475*44/12</f>
        <v>2.416250962546564</v>
      </c>
      <c r="BR104" s="21">
        <f>EXP(-LN(2)/2)*BR103+(1-EXP(-LN(2)/2))/(LN(2)/2)*BL104*BO104*VLOOKUP('Données projet'!$B$11,Paramètres!$A$1:$I$89,3,0)*0.475*44/12</f>
        <v>4.1710985375463026E-10</v>
      </c>
      <c r="BS104" s="22">
        <f t="shared" si="63"/>
        <v>3.0905510653068067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1.7053025658242404E-13</v>
      </c>
      <c r="BZ104" s="13">
        <f>BY104*VLOOKUP('Données projet'!$B$12,Paramètres!$A$1:$I$89,3,0)*VLOOKUP('Données projet'!$B$12,Paramètres!$A$1:$I$89,5,0)</f>
        <v>1.3301360013429075E-13</v>
      </c>
      <c r="CA104" s="13">
        <f t="shared" si="93"/>
        <v>1.9329766731057041E-12</v>
      </c>
      <c r="CB104" s="20">
        <f t="shared" si="64"/>
        <v>3.5982663925596575E-12</v>
      </c>
      <c r="CC104" s="59">
        <f t="shared" si="65"/>
        <v>293.3333333333369</v>
      </c>
      <c r="CD104" s="59">
        <f ca="1">AVERAGE(OFFSET($CC$3,0,0,'Données projet'!$E$12+1,1))-AVERAGE(OFFSET($H$3,0,0,'Données projet'!$E$12+1,1))</f>
        <v>266.30229009596883</v>
      </c>
      <c r="CE104" s="59">
        <f t="shared" si="94"/>
        <v>270.19195828386046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0.35441649584073043</v>
      </c>
      <c r="CL104" s="21">
        <f>EXP(-LN(2)/25)*CL103+(1-EXP(-LN(2)/25))/(LN(2)/25)*Calculateur!CG104*Calculateur!CI104*VLOOKUP('Données projet'!$B$12,Paramètres!$A$1:$I$89,3,0)*0.475*44/12</f>
        <v>1.1690625774950536</v>
      </c>
      <c r="CM104" s="21">
        <f>EXP(-LN(2)/2)*CM103+(1-EXP(-LN(2)/2))/(LN(2)/2)*CG104*CJ104*VLOOKUP('Données projet'!$B$12,Paramètres!$A$1:$I$89,3,0)*0.475*44/12</f>
        <v>2.6899854800824277E-10</v>
      </c>
      <c r="CN104" s="22">
        <f t="shared" si="66"/>
        <v>1.5234790736047827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-5.1159076974727213E-13</v>
      </c>
      <c r="CU104" s="17">
        <f>CT104*VLOOKUP('Données projet'!$B$13,Paramètres!$A$1:$I$89,3,0)*VLOOKUP('Données projet'!$B$13,Paramètres!$A$1:$I$89,5,0)</f>
        <v>-4.0702161641092972E-13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260.20517190557814</v>
      </c>
      <c r="CZ104" s="59">
        <f t="shared" si="96"/>
        <v>307.22009971147133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0.7997512841744141</v>
      </c>
      <c r="DG104" s="21">
        <f>EXP(-LN(2)/25)*DG103+(1-EXP(-LN(2)/25))/(LN(2)/25)*Calculateur!DB104*Calculateur!DD104*VLOOKUP('Données projet'!$B$13,Paramètres!$A$1:$I$89,3,0)*0.475*44/12</f>
        <v>2.8657860253459209</v>
      </c>
      <c r="DH104" s="21">
        <f>EXP(-LN(2)/2)*DH103+(1-EXP(-LN(2)/2))/(LN(2)/2)*DB104*DE104*VLOOKUP('Données projet'!$B$13,Paramètres!$A$1:$I$89,3,0)*0.475*44/12</f>
        <v>4.9471168701130569E-10</v>
      </c>
      <c r="DI104" s="22">
        <f t="shared" si="69"/>
        <v>3.665537310015047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5.2</v>
      </c>
      <c r="DO104" s="12">
        <f>IF('Données projet'!$A$166&gt;35,DO103+DN104-DW103,IF(A104&lt;'Données projet'!$A$166,$DL$205^A104,IF(A104='Données projet'!$A$166,'Données projet'!$B$166,DO103+DN104-DW103)))</f>
        <v>311.19999999999976</v>
      </c>
      <c r="DP104" s="17">
        <f>DO104*VLOOKUP('Données projet'!$B$14,Paramètres!$A$1:$I$89,3,0)*VLOOKUP('Données projet'!$B$14,Paramètres!$A$1:$I$89,5,0)</f>
        <v>300.99263999999977</v>
      </c>
      <c r="DQ104" s="13">
        <f t="shared" si="97"/>
        <v>71.384518923273518</v>
      </c>
      <c r="DR104" s="20">
        <f t="shared" si="70"/>
        <v>648.5568851247009</v>
      </c>
      <c r="DS104" s="59">
        <f t="shared" si="71"/>
        <v>941.89021845803427</v>
      </c>
      <c r="DT104" s="59">
        <f ca="1">AVERAGE(OFFSET($DS$3,0,0,'Données projet'!$E$14+1,1))-AVERAGE(OFFSET($H$3,0,0,'Données projet'!$E$14+1,1))</f>
        <v>347.8889410585312</v>
      </c>
      <c r="DU104" s="59">
        <f t="shared" si="98"/>
        <v>254.78167322479203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0.63104311464564955</v>
      </c>
      <c r="EB104" s="21">
        <f>EXP(-LN(2)/25)*EB103+(1-EXP(-LN(2)/25))/(LN(2)/25)*Calculateur!DW104*Calculateur!DY104*VLOOKUP('Données projet'!$B$14,Paramètres!$A$1:$I$89,3,0)*0.475*44/12</f>
        <v>1.6844421736332673</v>
      </c>
      <c r="EC104" s="21">
        <f>EXP(-LN(2)/2)*EC103+(1-EXP(-LN(2)/2))/(LN(2)/2)*DW104*DZ104*VLOOKUP('Données projet'!$B$14,Paramètres!$A$1:$I$89,3,0)*0.475*44/12</f>
        <v>4.7414739051722623E-10</v>
      </c>
      <c r="ED104" s="22">
        <f t="shared" si="72"/>
        <v>2.3154852887530644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5.2</v>
      </c>
      <c r="EJ104" s="12">
        <f>IF('Données projet'!$A$192&gt;35,EJ103+EI104-ER103,IF(A104&lt;'Données projet'!$A$192,$EG$205^A104,IF(A104='Données projet'!$A$192,'Données projet'!$B$192,EJ103+EI104-ER103)))</f>
        <v>311.19999999999976</v>
      </c>
      <c r="EK104" s="17">
        <f>EJ104*VLOOKUP('Données projet'!$B$15,Paramètres!$A$1:$I$89,3,0)*VLOOKUP('Données projet'!$B$15,Paramètres!$A$1:$I$89,5,0)</f>
        <v>334.97567999999973</v>
      </c>
      <c r="EL104" s="13">
        <f t="shared" si="99"/>
        <v>78.46099237528307</v>
      </c>
      <c r="EM104" s="20">
        <f t="shared" si="73"/>
        <v>720.0688710536175</v>
      </c>
      <c r="EN104" s="59">
        <f t="shared" si="74"/>
        <v>1013.4022043869509</v>
      </c>
      <c r="EO104" s="59">
        <f ca="1">AVERAGE(OFFSET($EN$3,0,0,'Données projet'!$E$15+1,1))-AVERAGE(OFFSET($H$3,0,0,'Données projet'!$E$15+1,1))</f>
        <v>399.38728019348088</v>
      </c>
      <c r="EP104" s="59">
        <f t="shared" si="100"/>
        <v>289.54922160039791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0.70228991791209339</v>
      </c>
      <c r="EW104" s="21">
        <f>EXP(-LN(2)/25)*EW103+(1-EXP(-LN(2)/25))/(LN(2)/25)*Calculateur!ER104*Calculateur!ET104*VLOOKUP('Données projet'!$B$15,Paramètres!$A$1:$I$89,3,0)*0.475*44/12</f>
        <v>1.874621128720896</v>
      </c>
      <c r="EX104" s="21">
        <f>EXP(-LN(2)/2)*EX103+(1-EXP(-LN(2)/2))/(LN(2)/2)*ER104*EU104*VLOOKUP('Données projet'!$B$15,Paramètres!$A$1:$I$89,3,0)*0.475*44/12</f>
        <v>5.2768016041433246E-10</v>
      </c>
      <c r="EY104" s="22">
        <f t="shared" si="75"/>
        <v>2.5769110471606695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316.39999999999975</v>
      </c>
      <c r="O105" s="13">
        <f>N105*VLOOKUP('Données projet'!$B$9,Paramètres!$A$1:$I$89,3,0)*VLOOKUP('Données projet'!$B$9,Paramètres!$A$1:$I$89,5,0)</f>
        <v>286.27871999999974</v>
      </c>
      <c r="P105" s="13">
        <f t="shared" si="87"/>
        <v>68.292165517667542</v>
      </c>
      <c r="Q105" s="20">
        <f t="shared" si="107"/>
        <v>617.54429227660387</v>
      </c>
      <c r="R105" s="59">
        <f t="shared" si="55"/>
        <v>910.87762560993724</v>
      </c>
      <c r="S105" s="59">
        <f ca="1">AVERAGE(OFFSET($R$3,0,0,'Données projet'!$E$9+1,1))-AVERAGE(OFFSET($H$3,0,0,'Données projet'!$E$9+1,1))</f>
        <v>318.40875902853116</v>
      </c>
      <c r="T105" s="59">
        <f t="shared" si="88"/>
        <v>234.87694492493506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0.57875463154537188</v>
      </c>
      <c r="AA105" s="21">
        <f>EXP(-LN(2)/25)*AA104+(1-EXP(-LN(2)/25))/(LN(2)/25)*Calculateur!V105*Calculateur!X105*VLOOKUP('Données projet'!$B$9,Paramètres!$A$1:$I$89,3,0)*0.475*44/12</f>
        <v>1.5326790129230561</v>
      </c>
      <c r="AB105" s="21">
        <f>EXP(-LN(2)/2)*AB104+(1-EXP(-LN(2)/2))/(LN(2)/2)*V105*Y105*VLOOKUP('Données projet'!$B$9,Paramètres!$A$1:$I$89,3,0)*0.475*44/12</f>
        <v>3.1364232962524231E-10</v>
      </c>
      <c r="AC105" s="22">
        <f t="shared" si="57"/>
        <v>2.1114336447820703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243.38048563215585</v>
      </c>
      <c r="AO105" s="59">
        <f t="shared" si="90"/>
        <v>372.1604147006675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1.7562209508963016</v>
      </c>
      <c r="AV105" s="21">
        <f>EXP(-LN(2)/25)*AV104+(1-EXP(-LN(2)/25))/(LN(2)/25)*Calculateur!AQ105*Calculateur!AS105*VLOOKUP('Données projet'!$B$10,Paramètres!$A$1:$I$89,3,0)*0.475*44/12</f>
        <v>2.6302282639372034</v>
      </c>
      <c r="AW105" s="21">
        <f>EXP(-LN(2)/2)*AW104+(1-EXP(-LN(2)/2))/(LN(2)/2)*AQ105*AT105*VLOOKUP('Données projet'!$B$10,Paramètres!$A$1:$I$89,3,0)*0.475*44/12</f>
        <v>4.2658851035466305E-10</v>
      </c>
      <c r="AX105" s="21">
        <f t="shared" si="60"/>
        <v>4.3864492152600931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-5.1159076974727213E-13</v>
      </c>
      <c r="BE105" s="13">
        <f>BD105*VLOOKUP('Données projet'!$B$11,Paramètres!$A$1:$I$89,3,0)*VLOOKUP('Données projet'!$B$11,Paramètres!$A$1:$I$89,5,0)</f>
        <v>-3.4317508834647017E-13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207.93042467236967</v>
      </c>
      <c r="BJ105" s="59">
        <f t="shared" si="92"/>
        <v>250.70954318710835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0.6610774886186358</v>
      </c>
      <c r="BQ105" s="21">
        <f>EXP(-LN(2)/25)*BQ104+(1-EXP(-LN(2)/25))/(LN(2)/25)*Calculateur!BL105*Calculateur!BN105*VLOOKUP('Données projet'!$B$11,Paramètres!$A$1:$I$89,3,0)*0.475*44/12</f>
        <v>2.3501784529106127</v>
      </c>
      <c r="BR105" s="21">
        <f>EXP(-LN(2)/2)*BR104+(1-EXP(-LN(2)/2))/(LN(2)/2)*BL105*BO105*VLOOKUP('Données projet'!$B$11,Paramètres!$A$1:$I$89,3,0)*0.475*44/12</f>
        <v>2.9494120608962818E-10</v>
      </c>
      <c r="BS105" s="22">
        <f t="shared" si="63"/>
        <v>3.01125594182419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1.7053025658242404E-13</v>
      </c>
      <c r="BZ105" s="13">
        <f>BY105*VLOOKUP('Données projet'!$B$12,Paramètres!$A$1:$I$89,3,0)*VLOOKUP('Données projet'!$B$12,Paramètres!$A$1:$I$89,5,0)</f>
        <v>1.3301360013429075E-13</v>
      </c>
      <c r="CA105" s="13">
        <f t="shared" si="93"/>
        <v>1.9329766731057041E-12</v>
      </c>
      <c r="CB105" s="20">
        <f t="shared" si="64"/>
        <v>3.5982663925596575E-12</v>
      </c>
      <c r="CC105" s="59">
        <f t="shared" si="65"/>
        <v>293.3333333333369</v>
      </c>
      <c r="CD105" s="59">
        <f ca="1">AVERAGE(OFFSET($CC$3,0,0,'Données projet'!$E$12+1,1))-AVERAGE(OFFSET($H$3,0,0,'Données projet'!$E$12+1,1))</f>
        <v>266.30229009596883</v>
      </c>
      <c r="CE105" s="59">
        <f t="shared" si="94"/>
        <v>270.19195828386046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0.34746660453001088</v>
      </c>
      <c r="CL105" s="21">
        <f>EXP(-LN(2)/25)*CL104+(1-EXP(-LN(2)/25))/(LN(2)/25)*Calculateur!CG105*Calculateur!CI105*VLOOKUP('Données projet'!$B$12,Paramètres!$A$1:$I$89,3,0)*0.475*44/12</f>
        <v>1.1370944998351222</v>
      </c>
      <c r="CM105" s="21">
        <f>EXP(-LN(2)/2)*CM104+(1-EXP(-LN(2)/2))/(LN(2)/2)*CG105*CJ105*VLOOKUP('Données projet'!$B$12,Paramètres!$A$1:$I$89,3,0)*0.475*44/12</f>
        <v>1.9021069742596352E-10</v>
      </c>
      <c r="CN105" s="22">
        <f t="shared" si="66"/>
        <v>1.484561104555344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-5.1159076974727213E-13</v>
      </c>
      <c r="CU105" s="17">
        <f>CT105*VLOOKUP('Données projet'!$B$13,Paramètres!$A$1:$I$89,3,0)*VLOOKUP('Données projet'!$B$13,Paramètres!$A$1:$I$89,5,0)</f>
        <v>-4.0702161641092972E-13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260.20517190557814</v>
      </c>
      <c r="CZ105" s="59">
        <f t="shared" si="96"/>
        <v>307.22009971147133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0.78406864929187092</v>
      </c>
      <c r="DG105" s="21">
        <f>EXP(-LN(2)/25)*DG104+(1-EXP(-LN(2)/25))/(LN(2)/25)*Calculateur!DB105*Calculateur!DD105*VLOOKUP('Données projet'!$B$13,Paramètres!$A$1:$I$89,3,0)*0.475*44/12</f>
        <v>2.7874209557776992</v>
      </c>
      <c r="DH105" s="21">
        <f>EXP(-LN(2)/2)*DH104+(1-EXP(-LN(2)/2))/(LN(2)/2)*DB105*DE105*VLOOKUP('Données projet'!$B$13,Paramètres!$A$1:$I$89,3,0)*0.475*44/12</f>
        <v>3.4981398861793112E-10</v>
      </c>
      <c r="DI105" s="22">
        <f t="shared" si="69"/>
        <v>3.5714896054193841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5.2</v>
      </c>
      <c r="DO105" s="12">
        <f>IF('Données projet'!$A$166&gt;35,DO104+DN105-DW104,IF(A105&lt;'Données projet'!$A$166,$DL$205^A105,IF(A105='Données projet'!$A$166,'Données projet'!$B$166,DO104+DN105-DW104)))</f>
        <v>316.39999999999975</v>
      </c>
      <c r="DP105" s="17">
        <f>DO105*VLOOKUP('Données projet'!$B$14,Paramètres!$A$1:$I$89,3,0)*VLOOKUP('Données projet'!$B$14,Paramètres!$A$1:$I$89,5,0)</f>
        <v>306.02207999999973</v>
      </c>
      <c r="DQ105" s="13">
        <f t="shared" si="97"/>
        <v>72.437458746051632</v>
      </c>
      <c r="DR105" s="20">
        <f t="shared" si="70"/>
        <v>659.15036331603949</v>
      </c>
      <c r="DS105" s="59">
        <f t="shared" si="71"/>
        <v>952.48369664937286</v>
      </c>
      <c r="DT105" s="59">
        <f ca="1">AVERAGE(OFFSET($DS$3,0,0,'Données projet'!$E$14+1,1))-AVERAGE(OFFSET($H$3,0,0,'Données projet'!$E$14+1,1))</f>
        <v>347.8889410585312</v>
      </c>
      <c r="DU105" s="59">
        <f t="shared" si="98"/>
        <v>254.78167322479203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0.61866874406574279</v>
      </c>
      <c r="EB105" s="21">
        <f>EXP(-LN(2)/25)*EB104+(1-EXP(-LN(2)/25))/(LN(2)/25)*Calculateur!DW105*Calculateur!DY105*VLOOKUP('Données projet'!$B$14,Paramètres!$A$1:$I$89,3,0)*0.475*44/12</f>
        <v>1.6383810138143016</v>
      </c>
      <c r="EC105" s="21">
        <f>EXP(-LN(2)/2)*EC104+(1-EXP(-LN(2)/2))/(LN(2)/2)*DW105*DZ105*VLOOKUP('Données projet'!$B$14,Paramètres!$A$1:$I$89,3,0)*0.475*44/12</f>
        <v>3.3527283511663679E-10</v>
      </c>
      <c r="ED105" s="22">
        <f t="shared" si="72"/>
        <v>2.2570497582153171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5.2</v>
      </c>
      <c r="EJ105" s="12">
        <f>IF('Données projet'!$A$192&gt;35,EJ104+EI105-ER104,IF(A105&lt;'Données projet'!$A$192,$EG$205^A105,IF(A105='Données projet'!$A$192,'Données projet'!$B$192,EJ104+EI105-ER104)))</f>
        <v>316.39999999999975</v>
      </c>
      <c r="EK105" s="17">
        <f>EJ105*VLOOKUP('Données projet'!$B$15,Paramètres!$A$1:$I$89,3,0)*VLOOKUP('Données projet'!$B$15,Paramètres!$A$1:$I$89,5,0)</f>
        <v>340.57295999999968</v>
      </c>
      <c r="EL105" s="13">
        <f t="shared" si="99"/>
        <v>79.618311982569722</v>
      </c>
      <c r="EM105" s="20">
        <f t="shared" si="73"/>
        <v>731.83313203630826</v>
      </c>
      <c r="EN105" s="59">
        <f t="shared" si="74"/>
        <v>1025.1664653696416</v>
      </c>
      <c r="EO105" s="59">
        <f ca="1">AVERAGE(OFFSET($EN$3,0,0,'Données projet'!$E$15+1,1))-AVERAGE(OFFSET($H$3,0,0,'Données projet'!$E$15+1,1))</f>
        <v>399.38728019348088</v>
      </c>
      <c r="EP105" s="59">
        <f t="shared" si="100"/>
        <v>289.54922160039791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0.6885184409763907</v>
      </c>
      <c r="EW105" s="21">
        <f>EXP(-LN(2)/25)*EW104+(1-EXP(-LN(2)/25))/(LN(2)/25)*Calculateur!ER105*Calculateur!ET105*VLOOKUP('Données projet'!$B$15,Paramètres!$A$1:$I$89,3,0)*0.475*44/12</f>
        <v>1.8233595153739826</v>
      </c>
      <c r="EX105" s="21">
        <f>EXP(-LN(2)/2)*EX104+(1-EXP(-LN(2)/2))/(LN(2)/2)*ER105*EU105*VLOOKUP('Données projet'!$B$15,Paramètres!$A$1:$I$89,3,0)*0.475*44/12</f>
        <v>3.7312621972657969E-10</v>
      </c>
      <c r="EY105" s="22">
        <f t="shared" si="75"/>
        <v>2.5118779567234997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321.59999999999974</v>
      </c>
      <c r="O106" s="13">
        <f>N106*VLOOKUP('Données projet'!$B$9,Paramètres!$A$1:$I$89,3,0)*VLOOKUP('Données projet'!$B$9,Paramètres!$A$1:$I$89,5,0)</f>
        <v>290.98367999999977</v>
      </c>
      <c r="P106" s="13">
        <f t="shared" si="87"/>
        <v>69.282952690245352</v>
      </c>
      <c r="Q106" s="20">
        <f t="shared" si="107"/>
        <v>627.46438526884356</v>
      </c>
      <c r="R106" s="59">
        <f t="shared" si="55"/>
        <v>920.79771860217693</v>
      </c>
      <c r="S106" s="59">
        <f ca="1">AVERAGE(OFFSET($R$3,0,0,'Données projet'!$E$9+1,1))-AVERAGE(OFFSET($H$3,0,0,'Données projet'!$E$9+1,1))</f>
        <v>318.40875902853116</v>
      </c>
      <c r="T106" s="59">
        <f t="shared" si="88"/>
        <v>234.87694492493506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0.56740560622623604</v>
      </c>
      <c r="AA106" s="21">
        <f>EXP(-LN(2)/25)*AA105+(1-EXP(-LN(2)/25))/(LN(2)/25)*Calculateur!V106*Calculateur!X106*VLOOKUP('Données projet'!$B$9,Paramètres!$A$1:$I$89,3,0)*0.475*44/12</f>
        <v>1.4907678247145888</v>
      </c>
      <c r="AB106" s="21">
        <f>EXP(-LN(2)/2)*AB105+(1-EXP(-LN(2)/2))/(LN(2)/2)*V106*Y106*VLOOKUP('Données projet'!$B$9,Paramètres!$A$1:$I$89,3,0)*0.475*44/12</f>
        <v>2.2177861814515523E-10</v>
      </c>
      <c r="AC106" s="22">
        <f t="shared" si="57"/>
        <v>2.0581734311626034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243.38048563215585</v>
      </c>
      <c r="AO106" s="59">
        <f t="shared" si="90"/>
        <v>372.1604147006675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1.721782529238234</v>
      </c>
      <c r="AV106" s="21">
        <f>EXP(-LN(2)/25)*AV105+(1-EXP(-LN(2)/25))/(LN(2)/25)*Calculateur!AQ106*Calculateur!AS106*VLOOKUP('Données projet'!$B$10,Paramètres!$A$1:$I$89,3,0)*0.475*44/12</f>
        <v>2.5583045337421475</v>
      </c>
      <c r="AW106" s="21">
        <f>EXP(-LN(2)/2)*AW105+(1-EXP(-LN(2)/2))/(LN(2)/2)*AQ106*AT106*VLOOKUP('Données projet'!$B$10,Paramètres!$A$1:$I$89,3,0)*0.475*44/12</f>
        <v>3.0164362844804998E-10</v>
      </c>
      <c r="AX106" s="21">
        <f t="shared" si="60"/>
        <v>4.2800870632820258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-5.1159076974727213E-13</v>
      </c>
      <c r="BE106" s="13">
        <f>BD106*VLOOKUP('Données projet'!$B$11,Paramètres!$A$1:$I$89,3,0)*VLOOKUP('Données projet'!$B$11,Paramètres!$A$1:$I$89,5,0)</f>
        <v>-3.4317508834647017E-13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207.93042467236967</v>
      </c>
      <c r="BJ106" s="59">
        <f t="shared" si="92"/>
        <v>250.70954318710835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0.64811416228427798</v>
      </c>
      <c r="BQ106" s="21">
        <f>EXP(-LN(2)/25)*BQ105+(1-EXP(-LN(2)/25))/(LN(2)/25)*Calculateur!BL106*Calculateur!BN106*VLOOKUP('Données projet'!$B$11,Paramètres!$A$1:$I$89,3,0)*0.475*44/12</f>
        <v>2.2859126995252583</v>
      </c>
      <c r="BR106" s="21">
        <f>EXP(-LN(2)/2)*BR105+(1-EXP(-LN(2)/2))/(LN(2)/2)*BL106*BO106*VLOOKUP('Données projet'!$B$11,Paramètres!$A$1:$I$89,3,0)*0.475*44/12</f>
        <v>2.0855492687731513E-10</v>
      </c>
      <c r="BS106" s="22">
        <f t="shared" si="63"/>
        <v>2.9340268620180914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1.7053025658242404E-13</v>
      </c>
      <c r="BZ106" s="13">
        <f>BY106*VLOOKUP('Données projet'!$B$12,Paramètres!$A$1:$I$89,3,0)*VLOOKUP('Données projet'!$B$12,Paramètres!$A$1:$I$89,5,0)</f>
        <v>1.3301360013429075E-13</v>
      </c>
      <c r="CA106" s="13">
        <f t="shared" si="93"/>
        <v>1.9329766731057041E-12</v>
      </c>
      <c r="CB106" s="20">
        <f t="shared" si="64"/>
        <v>3.5982663925596575E-12</v>
      </c>
      <c r="CC106" s="59">
        <f t="shared" si="65"/>
        <v>293.3333333333369</v>
      </c>
      <c r="CD106" s="59">
        <f ca="1">AVERAGE(OFFSET($CC$3,0,0,'Données projet'!$E$12+1,1))-AVERAGE(OFFSET($H$3,0,0,'Données projet'!$E$12+1,1))</f>
        <v>266.30229009596883</v>
      </c>
      <c r="CE106" s="59">
        <f t="shared" si="94"/>
        <v>270.19195828386046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0.34065299634887941</v>
      </c>
      <c r="CL106" s="21">
        <f>EXP(-LN(2)/25)*CL105+(1-EXP(-LN(2)/25))/(LN(2)/25)*Calculateur!CG106*Calculateur!CI106*VLOOKUP('Données projet'!$B$12,Paramètres!$A$1:$I$89,3,0)*0.475*44/12</f>
        <v>1.10600059093993</v>
      </c>
      <c r="CM106" s="21">
        <f>EXP(-LN(2)/2)*CM105+(1-EXP(-LN(2)/2))/(LN(2)/2)*CG106*CJ106*VLOOKUP('Données projet'!$B$12,Paramètres!$A$1:$I$89,3,0)*0.475*44/12</f>
        <v>1.3449927400412138E-10</v>
      </c>
      <c r="CN106" s="22">
        <f t="shared" si="66"/>
        <v>1.4466535874233086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-5.1159076974727213E-13</v>
      </c>
      <c r="CU106" s="17">
        <f>CT106*VLOOKUP('Données projet'!$B$13,Paramètres!$A$1:$I$89,3,0)*VLOOKUP('Données projet'!$B$13,Paramètres!$A$1:$I$89,5,0)</f>
        <v>-4.0702161641092972E-13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260.20517190557814</v>
      </c>
      <c r="CZ106" s="59">
        <f t="shared" si="96"/>
        <v>307.22009971147133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0.76869354131391165</v>
      </c>
      <c r="DG106" s="21">
        <f>EXP(-LN(2)/25)*DG105+(1-EXP(-LN(2)/25))/(LN(2)/25)*Calculateur!DB106*Calculateur!DD106*VLOOKUP('Données projet'!$B$13,Paramètres!$A$1:$I$89,3,0)*0.475*44/12</f>
        <v>2.7111987831578608</v>
      </c>
      <c r="DH106" s="21">
        <f>EXP(-LN(2)/2)*DH105+(1-EXP(-LN(2)/2))/(LN(2)/2)*DB106*DE106*VLOOKUP('Données projet'!$B$13,Paramètres!$A$1:$I$89,3,0)*0.475*44/12</f>
        <v>2.4735584350565284E-10</v>
      </c>
      <c r="DI106" s="22">
        <f t="shared" si="69"/>
        <v>3.4798923247191285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5.2</v>
      </c>
      <c r="DO106" s="12">
        <f>IF('Données projet'!$A$166&gt;35,DO105+DN106-DW105,IF(A106&lt;'Données projet'!$A$166,$DL$205^A106,IF(A106='Données projet'!$A$166,'Données projet'!$B$166,DO105+DN106-DW105)))</f>
        <v>321.59999999999974</v>
      </c>
      <c r="DP106" s="17">
        <f>DO106*VLOOKUP('Données projet'!$B$14,Paramètres!$A$1:$I$89,3,0)*VLOOKUP('Données projet'!$B$14,Paramètres!$A$1:$I$89,5,0)</f>
        <v>311.05151999999975</v>
      </c>
      <c r="DQ106" s="13">
        <f t="shared" si="97"/>
        <v>73.488386102003744</v>
      </c>
      <c r="DR106" s="20">
        <f t="shared" si="70"/>
        <v>669.7403364609894</v>
      </c>
      <c r="DS106" s="59">
        <f t="shared" si="71"/>
        <v>963.07366979432277</v>
      </c>
      <c r="DT106" s="59">
        <f ca="1">AVERAGE(OFFSET($DS$3,0,0,'Données projet'!$E$14+1,1))-AVERAGE(OFFSET($H$3,0,0,'Données projet'!$E$14+1,1))</f>
        <v>347.8889410585312</v>
      </c>
      <c r="DU106" s="59">
        <f t="shared" si="98"/>
        <v>254.78167322479203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0.60653702734528714</v>
      </c>
      <c r="EB106" s="21">
        <f>EXP(-LN(2)/25)*EB105+(1-EXP(-LN(2)/25))/(LN(2)/25)*Calculateur!DW106*Calculateur!DY106*VLOOKUP('Données projet'!$B$14,Paramètres!$A$1:$I$89,3,0)*0.475*44/12</f>
        <v>1.5935793988328366</v>
      </c>
      <c r="EC106" s="21">
        <f>EXP(-LN(2)/2)*EC105+(1-EXP(-LN(2)/2))/(LN(2)/2)*DW106*DZ106*VLOOKUP('Données projet'!$B$14,Paramètres!$A$1:$I$89,3,0)*0.475*44/12</f>
        <v>2.3707369525861312E-10</v>
      </c>
      <c r="ED106" s="22">
        <f t="shared" si="72"/>
        <v>2.2001164264151978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5.2</v>
      </c>
      <c r="EJ106" s="12">
        <f>IF('Données projet'!$A$192&gt;35,EJ105+EI106-ER105,IF(A106&lt;'Données projet'!$A$192,$EG$205^A106,IF(A106='Données projet'!$A$192,'Données projet'!$B$192,EJ105+EI106-ER105)))</f>
        <v>321.59999999999974</v>
      </c>
      <c r="EK106" s="17">
        <f>EJ106*VLOOKUP('Données projet'!$B$15,Paramètres!$A$1:$I$89,3,0)*VLOOKUP('Données projet'!$B$15,Paramètres!$A$1:$I$89,5,0)</f>
        <v>346.17023999999969</v>
      </c>
      <c r="EL106" s="13">
        <f t="shared" si="99"/>
        <v>80.773419623639043</v>
      </c>
      <c r="EM106" s="20">
        <f t="shared" si="73"/>
        <v>743.59354051117077</v>
      </c>
      <c r="EN106" s="59">
        <f t="shared" si="74"/>
        <v>1036.9268738445041</v>
      </c>
      <c r="EO106" s="59">
        <f ca="1">AVERAGE(OFFSET($EN$3,0,0,'Données projet'!$E$15+1,1))-AVERAGE(OFFSET($H$3,0,0,'Données projet'!$E$15+1,1))</f>
        <v>399.38728019348088</v>
      </c>
      <c r="EP106" s="59">
        <f t="shared" si="100"/>
        <v>289.54922160039791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0.6750170143036256</v>
      </c>
      <c r="EW106" s="21">
        <f>EXP(-LN(2)/25)*EW105+(1-EXP(-LN(2)/25))/(LN(2)/25)*Calculateur!ER106*Calculateur!ET106*VLOOKUP('Données projet'!$B$15,Paramètres!$A$1:$I$89,3,0)*0.475*44/12</f>
        <v>1.7734996535397713</v>
      </c>
      <c r="EX106" s="21">
        <f>EXP(-LN(2)/2)*EX105+(1-EXP(-LN(2)/2))/(LN(2)/2)*ER106*EU106*VLOOKUP('Données projet'!$B$15,Paramètres!$A$1:$I$89,3,0)*0.475*44/12</f>
        <v>2.6384008020716623E-10</v>
      </c>
      <c r="EY106" s="22">
        <f t="shared" si="75"/>
        <v>2.4485166681072372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326.79999999999973</v>
      </c>
      <c r="O107" s="13">
        <f>N107*VLOOKUP('Données projet'!$B$9,Paramètres!$A$1:$I$89,3,0)*VLOOKUP('Données projet'!$B$9,Paramètres!$A$1:$I$89,5,0)</f>
        <v>295.68863999999974</v>
      </c>
      <c r="P107" s="13">
        <f t="shared" si="87"/>
        <v>70.271876780519676</v>
      </c>
      <c r="Q107" s="20">
        <f t="shared" si="107"/>
        <v>637.38123339273795</v>
      </c>
      <c r="R107" s="59">
        <f t="shared" si="55"/>
        <v>930.71456672607133</v>
      </c>
      <c r="S107" s="59">
        <f ca="1">AVERAGE(OFFSET($R$3,0,0,'Données projet'!$E$9+1,1))-AVERAGE(OFFSET($H$3,0,0,'Données projet'!$E$9+1,1))</f>
        <v>318.40875902853116</v>
      </c>
      <c r="T107" s="59">
        <f t="shared" si="88"/>
        <v>234.87694492493506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0.55627912837138649</v>
      </c>
      <c r="AA107" s="21">
        <f>EXP(-LN(2)/25)*AA106+(1-EXP(-LN(2)/25))/(LN(2)/25)*Calculateur!V107*Calculateur!X107*VLOOKUP('Données projet'!$B$9,Paramètres!$A$1:$I$89,3,0)*0.475*44/12</f>
        <v>1.4500027001516957</v>
      </c>
      <c r="AB107" s="21">
        <f>EXP(-LN(2)/2)*AB106+(1-EXP(-LN(2)/2))/(LN(2)/2)*V107*Y107*VLOOKUP('Données projet'!$B$9,Paramètres!$A$1:$I$89,3,0)*0.475*44/12</f>
        <v>1.5682116481262116E-10</v>
      </c>
      <c r="AC107" s="22">
        <f t="shared" si="57"/>
        <v>2.0062818286799033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243.38048563215585</v>
      </c>
      <c r="AO107" s="59">
        <f t="shared" si="90"/>
        <v>372.1604147006675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1.688019424023518</v>
      </c>
      <c r="AV107" s="21">
        <f>EXP(-LN(2)/25)*AV106+(1-EXP(-LN(2)/25))/(LN(2)/25)*Calculateur!AQ107*Calculateur!AS107*VLOOKUP('Données projet'!$B$10,Paramètres!$A$1:$I$89,3,0)*0.475*44/12</f>
        <v>2.48834756173158</v>
      </c>
      <c r="AW107" s="21">
        <f>EXP(-LN(2)/2)*AW106+(1-EXP(-LN(2)/2))/(LN(2)/2)*AQ107*AT107*VLOOKUP('Données projet'!$B$10,Paramètres!$A$1:$I$89,3,0)*0.475*44/12</f>
        <v>2.1329425517733152E-10</v>
      </c>
      <c r="AX107" s="21">
        <f t="shared" si="60"/>
        <v>4.1763669859683921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-5.1159076974727213E-13</v>
      </c>
      <c r="BE107" s="13">
        <f>BD107*VLOOKUP('Données projet'!$B$11,Paramètres!$A$1:$I$89,3,0)*VLOOKUP('Données projet'!$B$11,Paramètres!$A$1:$I$89,5,0)</f>
        <v>-3.4317508834647017E-13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207.93042467236967</v>
      </c>
      <c r="BJ107" s="59">
        <f t="shared" si="92"/>
        <v>250.70954318710835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0.63540503887248856</v>
      </c>
      <c r="BQ107" s="21">
        <f>EXP(-LN(2)/25)*BQ106+(1-EXP(-LN(2)/25))/(LN(2)/25)*Calculateur!BL107*Calculateur!BN107*VLOOKUP('Données projet'!$B$11,Paramètres!$A$1:$I$89,3,0)*0.475*44/12</f>
        <v>2.2234042965458158</v>
      </c>
      <c r="BR107" s="21">
        <f>EXP(-LN(2)/2)*BR106+(1-EXP(-LN(2)/2))/(LN(2)/2)*BL107*BO107*VLOOKUP('Données projet'!$B$11,Paramètres!$A$1:$I$89,3,0)*0.475*44/12</f>
        <v>1.4747060304481409E-10</v>
      </c>
      <c r="BS107" s="22">
        <f t="shared" si="63"/>
        <v>2.8588093355657751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1.7053025658242404E-13</v>
      </c>
      <c r="BZ107" s="13">
        <f>BY107*VLOOKUP('Données projet'!$B$12,Paramètres!$A$1:$I$89,3,0)*VLOOKUP('Données projet'!$B$12,Paramètres!$A$1:$I$89,5,0)</f>
        <v>1.3301360013429075E-13</v>
      </c>
      <c r="CA107" s="13">
        <f t="shared" si="93"/>
        <v>1.9329766731057041E-12</v>
      </c>
      <c r="CB107" s="20">
        <f t="shared" si="64"/>
        <v>3.5982663925596575E-12</v>
      </c>
      <c r="CC107" s="59">
        <f t="shared" si="65"/>
        <v>293.3333333333369</v>
      </c>
      <c r="CD107" s="59">
        <f ca="1">AVERAGE(OFFSET($CC$3,0,0,'Données projet'!$E$12+1,1))-AVERAGE(OFFSET($H$3,0,0,'Données projet'!$E$12+1,1))</f>
        <v>266.30229009596883</v>
      </c>
      <c r="CE107" s="59">
        <f t="shared" si="94"/>
        <v>270.19195828386046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0.33397299886828929</v>
      </c>
      <c r="CL107" s="21">
        <f>EXP(-LN(2)/25)*CL106+(1-EXP(-LN(2)/25))/(LN(2)/25)*Calculateur!CG107*Calculateur!CI107*VLOOKUP('Données projet'!$B$12,Paramètres!$A$1:$I$89,3,0)*0.475*44/12</f>
        <v>1.0757569466186343</v>
      </c>
      <c r="CM107" s="21">
        <f>EXP(-LN(2)/2)*CM106+(1-EXP(-LN(2)/2))/(LN(2)/2)*CG107*CJ107*VLOOKUP('Données projet'!$B$12,Paramètres!$A$1:$I$89,3,0)*0.475*44/12</f>
        <v>9.5105348712981761E-11</v>
      </c>
      <c r="CN107" s="22">
        <f t="shared" si="66"/>
        <v>1.4097299455820289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-5.1159076974727213E-13</v>
      </c>
      <c r="CU107" s="17">
        <f>CT107*VLOOKUP('Données projet'!$B$13,Paramètres!$A$1:$I$89,3,0)*VLOOKUP('Données projet'!$B$13,Paramètres!$A$1:$I$89,5,0)</f>
        <v>-4.0702161641092972E-13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260.20517190557814</v>
      </c>
      <c r="CZ107" s="59">
        <f t="shared" si="96"/>
        <v>307.22009971147133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0.75361992982551029</v>
      </c>
      <c r="DG107" s="21">
        <f>EXP(-LN(2)/25)*DG106+(1-EXP(-LN(2)/25))/(LN(2)/25)*Calculateur!DB107*Calculateur!DD107*VLOOKUP('Données projet'!$B$13,Paramètres!$A$1:$I$89,3,0)*0.475*44/12</f>
        <v>2.6370609098566615</v>
      </c>
      <c r="DH107" s="21">
        <f>EXP(-LN(2)/2)*DH106+(1-EXP(-LN(2)/2))/(LN(2)/2)*DB107*DE107*VLOOKUP('Données projet'!$B$13,Paramètres!$A$1:$I$89,3,0)*0.475*44/12</f>
        <v>1.7490699430896556E-10</v>
      </c>
      <c r="DI107" s="22">
        <f t="shared" si="69"/>
        <v>3.3906808398570791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5.2</v>
      </c>
      <c r="DO107" s="12">
        <f>IF('Données projet'!$A$166&gt;35,DO106+DN107-DW106,IF(A107&lt;'Données projet'!$A$166,$DL$205^A107,IF(A107='Données projet'!$A$166,'Données projet'!$B$166,DO106+DN107-DW106)))</f>
        <v>326.79999999999973</v>
      </c>
      <c r="DP107" s="17">
        <f>DO107*VLOOKUP('Données projet'!$B$14,Paramètres!$A$1:$I$89,3,0)*VLOOKUP('Données projet'!$B$14,Paramètres!$A$1:$I$89,5,0)</f>
        <v>316.08095999999978</v>
      </c>
      <c r="DQ107" s="13">
        <f t="shared" si="97"/>
        <v>74.537337287681041</v>
      </c>
      <c r="DR107" s="20">
        <f t="shared" si="70"/>
        <v>680.32686777604408</v>
      </c>
      <c r="DS107" s="59">
        <f t="shared" si="71"/>
        <v>973.66020110937734</v>
      </c>
      <c r="DT107" s="59">
        <f ca="1">AVERAGE(OFFSET($DS$3,0,0,'Données projet'!$E$14+1,1))-AVERAGE(OFFSET($H$3,0,0,'Données projet'!$E$14+1,1))</f>
        <v>347.8889410585312</v>
      </c>
      <c r="DU107" s="59">
        <f t="shared" si="98"/>
        <v>254.78167322479203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0.59464320619010314</v>
      </c>
      <c r="EB107" s="21">
        <f>EXP(-LN(2)/25)*EB106+(1-EXP(-LN(2)/25))/(LN(2)/25)*Calculateur!DW107*Calculateur!DY107*VLOOKUP('Données projet'!$B$14,Paramètres!$A$1:$I$89,3,0)*0.475*44/12</f>
        <v>1.5500028863690543</v>
      </c>
      <c r="EC107" s="21">
        <f>EXP(-LN(2)/2)*EC106+(1-EXP(-LN(2)/2))/(LN(2)/2)*DW107*DZ107*VLOOKUP('Données projet'!$B$14,Paramètres!$A$1:$I$89,3,0)*0.475*44/12</f>
        <v>1.676364175583184E-10</v>
      </c>
      <c r="ED107" s="22">
        <f t="shared" si="72"/>
        <v>2.1446460927267941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5.2</v>
      </c>
      <c r="EJ107" s="12">
        <f>IF('Données projet'!$A$192&gt;35,EJ106+EI107-ER106,IF(A107&lt;'Données projet'!$A$192,$EG$205^A107,IF(A107='Données projet'!$A$192,'Données projet'!$B$192,EJ106+EI107-ER106)))</f>
        <v>326.79999999999973</v>
      </c>
      <c r="EK107" s="17">
        <f>EJ107*VLOOKUP('Données projet'!$B$15,Paramètres!$A$1:$I$89,3,0)*VLOOKUP('Données projet'!$B$15,Paramètres!$A$1:$I$89,5,0)</f>
        <v>351.76751999999971</v>
      </c>
      <c r="EL107" s="13">
        <f t="shared" si="99"/>
        <v>81.926355193183539</v>
      </c>
      <c r="EM107" s="20">
        <f t="shared" si="73"/>
        <v>755.35016596146079</v>
      </c>
      <c r="EN107" s="59">
        <f t="shared" si="74"/>
        <v>1048.683499294794</v>
      </c>
      <c r="EO107" s="59">
        <f ca="1">AVERAGE(OFFSET($EN$3,0,0,'Données projet'!$E$15+1,1))-AVERAGE(OFFSET($H$3,0,0,'Données projet'!$E$15+1,1))</f>
        <v>399.38728019348088</v>
      </c>
      <c r="EP107" s="59">
        <f t="shared" si="100"/>
        <v>289.54922160039791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0.66178034237285632</v>
      </c>
      <c r="EW107" s="21">
        <f>EXP(-LN(2)/25)*EW106+(1-EXP(-LN(2)/25))/(LN(2)/25)*Calculateur!ER107*Calculateur!ET107*VLOOKUP('Données projet'!$B$15,Paramètres!$A$1:$I$89,3,0)*0.475*44/12</f>
        <v>1.725003212249433</v>
      </c>
      <c r="EX107" s="21">
        <f>EXP(-LN(2)/2)*EX106+(1-EXP(-LN(2)/2))/(LN(2)/2)*ER107*EU107*VLOOKUP('Données projet'!$B$15,Paramètres!$A$1:$I$89,3,0)*0.475*44/12</f>
        <v>1.8656310986328984E-10</v>
      </c>
      <c r="EY107" s="22">
        <f t="shared" si="75"/>
        <v>2.3867835548088525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331.99999999999972</v>
      </c>
      <c r="O108" s="13">
        <f>N108*VLOOKUP('Données projet'!$B$9,Paramètres!$A$1:$I$89,3,0)*VLOOKUP('Données projet'!$B$9,Paramètres!$A$1:$I$89,5,0)</f>
        <v>300.39359999999976</v>
      </c>
      <c r="P108" s="13">
        <f t="shared" si="87"/>
        <v>71.258970856492667</v>
      </c>
      <c r="Q108" s="20">
        <f t="shared" si="107"/>
        <v>647.29489424172436</v>
      </c>
      <c r="R108" s="59">
        <f t="shared" si="55"/>
        <v>940.62822757505774</v>
      </c>
      <c r="S108" s="59">
        <f ca="1">AVERAGE(OFFSET($R$3,0,0,'Données projet'!$E$9+1,1))-AVERAGE(OFFSET($H$3,0,0,'Données projet'!$E$9+1,1))</f>
        <v>318.40875902853116</v>
      </c>
      <c r="T108" s="59">
        <f t="shared" si="88"/>
        <v>234.87694492493506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0.54537083396078911</v>
      </c>
      <c r="AA108" s="21">
        <f>EXP(-LN(2)/25)*AA107+(1-EXP(-LN(2)/25))/(LN(2)/25)*Calculateur!V108*Calculateur!X108*VLOOKUP('Données projet'!$B$9,Paramètres!$A$1:$I$89,3,0)*0.475*44/12</f>
        <v>1.4103523000637197</v>
      </c>
      <c r="AB108" s="21">
        <f>EXP(-LN(2)/2)*AB107+(1-EXP(-LN(2)/2))/(LN(2)/2)*V108*Y108*VLOOKUP('Données projet'!$B$9,Paramètres!$A$1:$I$89,3,0)*0.475*44/12</f>
        <v>1.1088930907257761E-10</v>
      </c>
      <c r="AC108" s="22">
        <f t="shared" si="57"/>
        <v>1.955723134135398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243.38048563215585</v>
      </c>
      <c r="AO108" s="59">
        <f t="shared" si="90"/>
        <v>372.1604147006675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1.654918392708602</v>
      </c>
      <c r="AV108" s="21">
        <f>EXP(-LN(2)/25)*AV107+(1-EXP(-LN(2)/25))/(LN(2)/25)*Calculateur!AQ108*Calculateur!AS108*VLOOKUP('Données projet'!$B$10,Paramètres!$A$1:$I$89,3,0)*0.475*44/12</f>
        <v>2.420303566799519</v>
      </c>
      <c r="AW108" s="21">
        <f>EXP(-LN(2)/2)*AW107+(1-EXP(-LN(2)/2))/(LN(2)/2)*AQ108*AT108*VLOOKUP('Données projet'!$B$10,Paramètres!$A$1:$I$89,3,0)*0.475*44/12</f>
        <v>1.5082181422402499E-10</v>
      </c>
      <c r="AX108" s="21">
        <f t="shared" si="60"/>
        <v>4.0752219596589425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-5.1159076974727213E-13</v>
      </c>
      <c r="BE108" s="13">
        <f>BD108*VLOOKUP('Données projet'!$B$11,Paramètres!$A$1:$I$89,3,0)*VLOOKUP('Données projet'!$B$11,Paramètres!$A$1:$I$89,5,0)</f>
        <v>-3.4317508834647017E-13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207.93042467236967</v>
      </c>
      <c r="BJ108" s="59">
        <f t="shared" si="92"/>
        <v>250.70954318710835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0.6229451336190045</v>
      </c>
      <c r="BQ108" s="21">
        <f>EXP(-LN(2)/25)*BQ107+(1-EXP(-LN(2)/25))/(LN(2)/25)*Calculateur!BL108*Calculateur!BN108*VLOOKUP('Données projet'!$B$11,Paramètres!$A$1:$I$89,3,0)*0.475*44/12</f>
        <v>2.16260518913302</v>
      </c>
      <c r="BR108" s="21">
        <f>EXP(-LN(2)/2)*BR107+(1-EXP(-LN(2)/2))/(LN(2)/2)*BL108*BO108*VLOOKUP('Données projet'!$B$11,Paramètres!$A$1:$I$89,3,0)*0.475*44/12</f>
        <v>1.0427746343865757E-10</v>
      </c>
      <c r="BS108" s="22">
        <f t="shared" si="63"/>
        <v>2.7855503228563019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1.7053025658242404E-13</v>
      </c>
      <c r="BZ108" s="13">
        <f>BY108*VLOOKUP('Données projet'!$B$12,Paramètres!$A$1:$I$89,3,0)*VLOOKUP('Données projet'!$B$12,Paramètres!$A$1:$I$89,5,0)</f>
        <v>1.3301360013429075E-13</v>
      </c>
      <c r="CA108" s="13">
        <f t="shared" si="93"/>
        <v>1.9329766731057041E-12</v>
      </c>
      <c r="CB108" s="20">
        <f t="shared" si="64"/>
        <v>3.5982663925596575E-12</v>
      </c>
      <c r="CC108" s="59">
        <f t="shared" si="65"/>
        <v>293.3333333333369</v>
      </c>
      <c r="CD108" s="59">
        <f ca="1">AVERAGE(OFFSET($CC$3,0,0,'Données projet'!$E$12+1,1))-AVERAGE(OFFSET($H$3,0,0,'Données projet'!$E$12+1,1))</f>
        <v>266.30229009596883</v>
      </c>
      <c r="CE108" s="59">
        <f t="shared" si="94"/>
        <v>270.19195828386046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0.32742399206389738</v>
      </c>
      <c r="CL108" s="21">
        <f>EXP(-LN(2)/25)*CL107+(1-EXP(-LN(2)/25))/(LN(2)/25)*Calculateur!CG108*Calculateur!CI108*VLOOKUP('Données projet'!$B$12,Paramètres!$A$1:$I$89,3,0)*0.475*44/12</f>
        <v>1.0463403163417486</v>
      </c>
      <c r="CM108" s="21">
        <f>EXP(-LN(2)/2)*CM107+(1-EXP(-LN(2)/2))/(LN(2)/2)*CG108*CJ108*VLOOKUP('Données projet'!$B$12,Paramètres!$A$1:$I$89,3,0)*0.475*44/12</f>
        <v>6.7249637002060692E-11</v>
      </c>
      <c r="CN108" s="22">
        <f t="shared" si="66"/>
        <v>1.3737643084728954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-5.1159076974727213E-13</v>
      </c>
      <c r="CU108" s="17">
        <f>CT108*VLOOKUP('Données projet'!$B$13,Paramètres!$A$1:$I$89,3,0)*VLOOKUP('Données projet'!$B$13,Paramètres!$A$1:$I$89,5,0)</f>
        <v>-4.0702161641092972E-13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260.20517190557814</v>
      </c>
      <c r="CZ108" s="59">
        <f t="shared" si="96"/>
        <v>307.22009971147133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0.73884190266440131</v>
      </c>
      <c r="DG108" s="21">
        <f>EXP(-LN(2)/25)*DG107+(1-EXP(-LN(2)/25))/(LN(2)/25)*Calculateur!DB108*Calculateur!DD108*VLOOKUP('Données projet'!$B$13,Paramètres!$A$1:$I$89,3,0)*0.475*44/12</f>
        <v>2.564950340599625</v>
      </c>
      <c r="DH108" s="21">
        <f>EXP(-LN(2)/2)*DH107+(1-EXP(-LN(2)/2))/(LN(2)/2)*DB108*DE108*VLOOKUP('Données projet'!$B$13,Paramètres!$A$1:$I$89,3,0)*0.475*44/12</f>
        <v>1.2367792175282642E-10</v>
      </c>
      <c r="DI108" s="22">
        <f t="shared" si="69"/>
        <v>3.3037922433877043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5.2</v>
      </c>
      <c r="DO108" s="12">
        <f>IF('Données projet'!$A$166&gt;35,DO107+DN108-DW107,IF(A108&lt;'Données projet'!$A$166,$DL$205^A108,IF(A108='Données projet'!$A$166,'Données projet'!$B$166,DO107+DN108-DW107)))</f>
        <v>331.99999999999972</v>
      </c>
      <c r="DP108" s="17">
        <f>DO108*VLOOKUP('Données projet'!$B$14,Paramètres!$A$1:$I$89,3,0)*VLOOKUP('Données projet'!$B$14,Paramètres!$A$1:$I$89,5,0)</f>
        <v>321.11039999999974</v>
      </c>
      <c r="DQ108" s="13">
        <f t="shared" si="97"/>
        <v>75.584347378293245</v>
      </c>
      <c r="DR108" s="20">
        <f t="shared" si="70"/>
        <v>690.91001835052691</v>
      </c>
      <c r="DS108" s="59">
        <f t="shared" si="71"/>
        <v>984.24335168386028</v>
      </c>
      <c r="DT108" s="59">
        <f ca="1">AVERAGE(OFFSET($DS$3,0,0,'Données projet'!$E$14+1,1))-AVERAGE(OFFSET($H$3,0,0,'Données projet'!$E$14+1,1))</f>
        <v>347.8889410585312</v>
      </c>
      <c r="DU108" s="59">
        <f t="shared" si="98"/>
        <v>254.78167322479203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0.5829826156132577</v>
      </c>
      <c r="EB108" s="21">
        <f>EXP(-LN(2)/25)*EB107+(1-EXP(-LN(2)/25))/(LN(2)/25)*Calculateur!DW108*Calculateur!DY108*VLOOKUP('Données projet'!$B$14,Paramètres!$A$1:$I$89,3,0)*0.475*44/12</f>
        <v>1.5076179759301833</v>
      </c>
      <c r="EC108" s="21">
        <f>EXP(-LN(2)/2)*EC107+(1-EXP(-LN(2)/2))/(LN(2)/2)*DW108*DZ108*VLOOKUP('Données projet'!$B$14,Paramètres!$A$1:$I$89,3,0)*0.475*44/12</f>
        <v>1.1853684762930656E-10</v>
      </c>
      <c r="ED108" s="22">
        <f t="shared" si="72"/>
        <v>2.0906005916619779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5.2</v>
      </c>
      <c r="EJ108" s="12">
        <f>IF('Données projet'!$A$192&gt;35,EJ107+EI108-ER107,IF(A108&lt;'Données projet'!$A$192,$EG$205^A108,IF(A108='Données projet'!$A$192,'Données projet'!$B$192,EJ107+EI108-ER107)))</f>
        <v>331.99999999999972</v>
      </c>
      <c r="EK108" s="17">
        <f>EJ108*VLOOKUP('Données projet'!$B$15,Paramètres!$A$1:$I$89,3,0)*VLOOKUP('Données projet'!$B$15,Paramètres!$A$1:$I$89,5,0)</f>
        <v>357.36479999999966</v>
      </c>
      <c r="EL108" s="13">
        <f t="shared" si="99"/>
        <v>83.077157243480698</v>
      </c>
      <c r="EM108" s="20">
        <f t="shared" si="73"/>
        <v>767.10307553239488</v>
      </c>
      <c r="EN108" s="59">
        <f t="shared" si="74"/>
        <v>1060.4364088657283</v>
      </c>
      <c r="EO108" s="59">
        <f ca="1">AVERAGE(OFFSET($EN$3,0,0,'Données projet'!$E$15+1,1))-AVERAGE(OFFSET($H$3,0,0,'Données projet'!$E$15+1,1))</f>
        <v>399.38728019348088</v>
      </c>
      <c r="EP108" s="59">
        <f t="shared" si="100"/>
        <v>289.54922160039791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0.64880323350507674</v>
      </c>
      <c r="EW108" s="21">
        <f>EXP(-LN(2)/25)*EW107+(1-EXP(-LN(2)/25))/(LN(2)/25)*Calculateur!ER108*Calculateur!ET108*VLOOKUP('Données projet'!$B$15,Paramètres!$A$1:$I$89,3,0)*0.475*44/12</f>
        <v>1.6778329086964958</v>
      </c>
      <c r="EX108" s="21">
        <f>EXP(-LN(2)/2)*EX107+(1-EXP(-LN(2)/2))/(LN(2)/2)*ER108*EU108*VLOOKUP('Données projet'!$B$15,Paramètres!$A$1:$I$89,3,0)*0.475*44/12</f>
        <v>1.3192004010358312E-10</v>
      </c>
      <c r="EY108" s="22">
        <f t="shared" si="75"/>
        <v>2.3266361423334927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337.1999999999997</v>
      </c>
      <c r="O109" s="13">
        <f>N109*VLOOKUP('Données projet'!$B$9,Paramètres!$A$1:$I$89,3,0)*VLOOKUP('Données projet'!$B$9,Paramètres!$A$1:$I$89,5,0)</f>
        <v>305.09855999999974</v>
      </c>
      <c r="P109" s="13">
        <f t="shared" si="87"/>
        <v>72.244266890878734</v>
      </c>
      <c r="Q109" s="20">
        <f t="shared" si="107"/>
        <v>657.20542350161338</v>
      </c>
      <c r="R109" s="59">
        <f t="shared" si="55"/>
        <v>950.53875683494675</v>
      </c>
      <c r="S109" s="59">
        <f ca="1">AVERAGE(OFFSET($R$3,0,0,'Données projet'!$E$9+1,1))-AVERAGE(OFFSET($H$3,0,0,'Données projet'!$E$9+1,1))</f>
        <v>318.40875902853116</v>
      </c>
      <c r="T109" s="59">
        <f t="shared" si="88"/>
        <v>234.87694492493506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0.53467644455018093</v>
      </c>
      <c r="AA109" s="21">
        <f>EXP(-LN(2)/25)*AA108+(1-EXP(-LN(2)/25))/(LN(2)/25)*Calculateur!V109*Calculateur!X109*VLOOKUP('Données projet'!$B$9,Paramètres!$A$1:$I$89,3,0)*0.475*44/12</f>
        <v>1.3717861422512732</v>
      </c>
      <c r="AB109" s="21">
        <f>EXP(-LN(2)/2)*AB108+(1-EXP(-LN(2)/2))/(LN(2)/2)*V109*Y109*VLOOKUP('Données projet'!$B$9,Paramètres!$A$1:$I$89,3,0)*0.475*44/12</f>
        <v>7.8410582406310578E-11</v>
      </c>
      <c r="AC109" s="22">
        <f t="shared" si="57"/>
        <v>1.9064625868798646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243.38048563215585</v>
      </c>
      <c r="AO109" s="59">
        <f t="shared" si="90"/>
        <v>372.1604147006675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1.6224664524281358</v>
      </c>
      <c r="AV109" s="21">
        <f>EXP(-LN(2)/25)*AV108+(1-EXP(-LN(2)/25))/(LN(2)/25)*Calculateur!AQ109*Calculateur!AS109*VLOOKUP('Données projet'!$B$10,Paramètres!$A$1:$I$89,3,0)*0.475*44/12</f>
        <v>2.3541202384871531</v>
      </c>
      <c r="AW109" s="21">
        <f>EXP(-LN(2)/2)*AW108+(1-EXP(-LN(2)/2))/(LN(2)/2)*AQ109*AT109*VLOOKUP('Données projet'!$B$10,Paramètres!$A$1:$I$89,3,0)*0.475*44/12</f>
        <v>1.0664712758866576E-10</v>
      </c>
      <c r="AX109" s="21">
        <f t="shared" si="60"/>
        <v>3.9765866910219358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-5.1159076974727213E-13</v>
      </c>
      <c r="BE109" s="13">
        <f>BD109*VLOOKUP('Données projet'!$B$11,Paramètres!$A$1:$I$89,3,0)*VLOOKUP('Données projet'!$B$11,Paramètres!$A$1:$I$89,5,0)</f>
        <v>-3.4317508834647017E-13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207.93042467236967</v>
      </c>
      <c r="BJ109" s="59">
        <f t="shared" si="92"/>
        <v>250.70954318710835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0.61072955950774954</v>
      </c>
      <c r="BQ109" s="21">
        <f>EXP(-LN(2)/25)*BQ108+(1-EXP(-LN(2)/25))/(LN(2)/25)*Calculateur!BL109*Calculateur!BN109*VLOOKUP('Données projet'!$B$11,Paramètres!$A$1:$I$89,3,0)*0.475*44/12</f>
        <v>2.1034686365097133</v>
      </c>
      <c r="BR109" s="21">
        <f>EXP(-LN(2)/2)*BR108+(1-EXP(-LN(2)/2))/(LN(2)/2)*BL109*BO109*VLOOKUP('Données projet'!$B$11,Paramètres!$A$1:$I$89,3,0)*0.475*44/12</f>
        <v>7.3735301522407044E-11</v>
      </c>
      <c r="BS109" s="22">
        <f t="shared" si="63"/>
        <v>2.7141981960911981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1.7053025658242404E-13</v>
      </c>
      <c r="BZ109" s="13">
        <f>BY109*VLOOKUP('Données projet'!$B$12,Paramètres!$A$1:$I$89,3,0)*VLOOKUP('Données projet'!$B$12,Paramètres!$A$1:$I$89,5,0)</f>
        <v>1.3301360013429075E-13</v>
      </c>
      <c r="CA109" s="13">
        <f t="shared" si="93"/>
        <v>1.9329766731057041E-12</v>
      </c>
      <c r="CB109" s="20">
        <f t="shared" si="64"/>
        <v>3.5982663925596575E-12</v>
      </c>
      <c r="CC109" s="59">
        <f t="shared" si="65"/>
        <v>293.3333333333369</v>
      </c>
      <c r="CD109" s="59">
        <f ca="1">AVERAGE(OFFSET($CC$3,0,0,'Données projet'!$E$12+1,1))-AVERAGE(OFFSET($H$3,0,0,'Données projet'!$E$12+1,1))</f>
        <v>266.30229009596883</v>
      </c>
      <c r="CE109" s="59">
        <f t="shared" si="94"/>
        <v>270.19195828386046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0.3210034072884399</v>
      </c>
      <c r="CL109" s="21">
        <f>EXP(-LN(2)/25)*CL108+(1-EXP(-LN(2)/25))/(LN(2)/25)*Calculateur!CG109*Calculateur!CI109*VLOOKUP('Données projet'!$B$12,Paramètres!$A$1:$I$89,3,0)*0.475*44/12</f>
        <v>1.0177280853667376</v>
      </c>
      <c r="CM109" s="21">
        <f>EXP(-LN(2)/2)*CM108+(1-EXP(-LN(2)/2))/(LN(2)/2)*CG109*CJ109*VLOOKUP('Données projet'!$B$12,Paramètres!$A$1:$I$89,3,0)*0.475*44/12</f>
        <v>4.7552674356490881E-11</v>
      </c>
      <c r="CN109" s="22">
        <f t="shared" si="66"/>
        <v>1.3387314927027303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-5.1159076974727213E-13</v>
      </c>
      <c r="CU109" s="17">
        <f>CT109*VLOOKUP('Données projet'!$B$13,Paramètres!$A$1:$I$89,3,0)*VLOOKUP('Données projet'!$B$13,Paramètres!$A$1:$I$89,5,0)</f>
        <v>-4.0702161641092972E-13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260.20517190557814</v>
      </c>
      <c r="CZ109" s="59">
        <f t="shared" si="96"/>
        <v>307.22009971147133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0.72435366360221509</v>
      </c>
      <c r="DG109" s="21">
        <f>EXP(-LN(2)/25)*DG108+(1-EXP(-LN(2)/25))/(LN(2)/25)*Calculateur!DB109*Calculateur!DD109*VLOOKUP('Données projet'!$B$13,Paramètres!$A$1:$I$89,3,0)*0.475*44/12</f>
        <v>2.4948116386510519</v>
      </c>
      <c r="DH109" s="21">
        <f>EXP(-LN(2)/2)*DH108+(1-EXP(-LN(2)/2))/(LN(2)/2)*DB109*DE109*VLOOKUP('Données projet'!$B$13,Paramètres!$A$1:$I$89,3,0)*0.475*44/12</f>
        <v>8.7453497154482779E-11</v>
      </c>
      <c r="DI109" s="22">
        <f t="shared" si="69"/>
        <v>3.2191653023407207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5.2</v>
      </c>
      <c r="DO109" s="12">
        <f>IF('Données projet'!$A$166&gt;35,DO108+DN109-DW108,IF(A109&lt;'Données projet'!$A$166,$DL$205^A109,IF(A109='Données projet'!$A$166,'Données projet'!$B$166,DO108+DN109-DW108)))</f>
        <v>337.1999999999997</v>
      </c>
      <c r="DP109" s="17">
        <f>DO109*VLOOKUP('Données projet'!$B$14,Paramètres!$A$1:$I$89,3,0)*VLOOKUP('Données projet'!$B$14,Paramètres!$A$1:$I$89,5,0)</f>
        <v>326.13983999999971</v>
      </c>
      <c r="DQ109" s="13">
        <f t="shared" si="97"/>
        <v>76.62945028727961</v>
      </c>
      <c r="DR109" s="20">
        <f t="shared" si="70"/>
        <v>701.48984725034472</v>
      </c>
      <c r="DS109" s="59">
        <f t="shared" si="71"/>
        <v>994.82318058367809</v>
      </c>
      <c r="DT109" s="59">
        <f ca="1">AVERAGE(OFFSET($DS$3,0,0,'Données projet'!$E$14+1,1))-AVERAGE(OFFSET($H$3,0,0,'Données projet'!$E$14+1,1))</f>
        <v>347.8889410585312</v>
      </c>
      <c r="DU109" s="59">
        <f t="shared" si="98"/>
        <v>254.78167322479203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0.57155068210536619</v>
      </c>
      <c r="EB109" s="21">
        <f>EXP(-LN(2)/25)*EB108+(1-EXP(-LN(2)/25))/(LN(2)/25)*Calculateur!DW109*Calculateur!DY109*VLOOKUP('Données projet'!$B$14,Paramètres!$A$1:$I$89,3,0)*0.475*44/12</f>
        <v>1.4663920830961887</v>
      </c>
      <c r="EC109" s="21">
        <f>EXP(-LN(2)/2)*EC108+(1-EXP(-LN(2)/2))/(LN(2)/2)*DW109*DZ109*VLOOKUP('Données projet'!$B$14,Paramètres!$A$1:$I$89,3,0)*0.475*44/12</f>
        <v>8.3818208779159198E-11</v>
      </c>
      <c r="ED109" s="22">
        <f t="shared" si="72"/>
        <v>2.037942765285373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5.2</v>
      </c>
      <c r="EJ109" s="12">
        <f>IF('Données projet'!$A$192&gt;35,EJ108+EI109-ER108,IF(A109&lt;'Données projet'!$A$192,$EG$205^A109,IF(A109='Données projet'!$A$192,'Données projet'!$B$192,EJ108+EI109-ER108)))</f>
        <v>337.1999999999997</v>
      </c>
      <c r="EK109" s="17">
        <f>EJ109*VLOOKUP('Données projet'!$B$15,Paramètres!$A$1:$I$89,3,0)*VLOOKUP('Données projet'!$B$15,Paramètres!$A$1:$I$89,5,0)</f>
        <v>362.96207999999967</v>
      </c>
      <c r="EL109" s="13">
        <f t="shared" si="99"/>
        <v>84.225863049868522</v>
      </c>
      <c r="EM109" s="20">
        <f t="shared" si="73"/>
        <v>778.852334145187</v>
      </c>
      <c r="EN109" s="59">
        <f t="shared" si="74"/>
        <v>1072.1856674785204</v>
      </c>
      <c r="EO109" s="59">
        <f ca="1">AVERAGE(OFFSET($EN$3,0,0,'Données projet'!$E$15+1,1))-AVERAGE(OFFSET($H$3,0,0,'Données projet'!$E$15+1,1))</f>
        <v>399.38728019348088</v>
      </c>
      <c r="EP109" s="59">
        <f t="shared" si="100"/>
        <v>289.54922160039791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0.63608059782693949</v>
      </c>
      <c r="EW109" s="21">
        <f>EXP(-LN(2)/25)*EW108+(1-EXP(-LN(2)/25))/(LN(2)/25)*Calculateur!ER109*Calculateur!ET109*VLOOKUP('Données projet'!$B$15,Paramètres!$A$1:$I$89,3,0)*0.475*44/12</f>
        <v>1.6319524795747922</v>
      </c>
      <c r="EX109" s="21">
        <f>EXP(-LN(2)/2)*EX108+(1-EXP(-LN(2)/2))/(LN(2)/2)*ER109*EU109*VLOOKUP('Données projet'!$B$15,Paramètres!$A$1:$I$89,3,0)*0.475*44/12</f>
        <v>9.3281554931644921E-11</v>
      </c>
      <c r="EY109" s="22">
        <f t="shared" si="75"/>
        <v>2.268033077495013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342.39999999999969</v>
      </c>
      <c r="O110" s="13">
        <f>N110*VLOOKUP('Données projet'!$B$9,Paramètres!$A$1:$I$89,3,0)*VLOOKUP('Données projet'!$B$9,Paramètres!$A$1:$I$89,5,0)</f>
        <v>309.80351999999971</v>
      </c>
      <c r="P110" s="13">
        <f t="shared" si="87"/>
        <v>73.227795813703693</v>
      </c>
      <c r="Q110" s="20">
        <f t="shared" si="107"/>
        <v>667.11287504220002</v>
      </c>
      <c r="R110" s="59">
        <f t="shared" si="55"/>
        <v>960.44620837553339</v>
      </c>
      <c r="S110" s="59">
        <f ca="1">AVERAGE(OFFSET($R$3,0,0,'Données projet'!$E$9+1,1))-AVERAGE(OFFSET($H$3,0,0,'Données projet'!$E$9+1,1))</f>
        <v>318.40875902853116</v>
      </c>
      <c r="T110" s="59">
        <f t="shared" si="88"/>
        <v>234.87694492493506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0.52419176559298131</v>
      </c>
      <c r="AA110" s="21">
        <f>EXP(-LN(2)/25)*AA109+(1-EXP(-LN(2)/25))/(LN(2)/25)*Calculateur!V110*Calculateur!X110*VLOOKUP('Données projet'!$B$9,Paramètres!$A$1:$I$89,3,0)*0.475*44/12</f>
        <v>1.3342745780523142</v>
      </c>
      <c r="AB110" s="21">
        <f>EXP(-LN(2)/2)*AB109+(1-EXP(-LN(2)/2))/(LN(2)/2)*V110*Y110*VLOOKUP('Données projet'!$B$9,Paramètres!$A$1:$I$89,3,0)*0.475*44/12</f>
        <v>5.5444654536288807E-11</v>
      </c>
      <c r="AC110" s="22">
        <f t="shared" si="57"/>
        <v>1.8584663437007403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243.38048563215585</v>
      </c>
      <c r="AO110" s="59">
        <f t="shared" si="90"/>
        <v>372.1604147006675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1.5906508749028405</v>
      </c>
      <c r="AV110" s="21">
        <f>EXP(-LN(2)/25)*AV109+(1-EXP(-LN(2)/25))/(LN(2)/25)*Calculateur!AQ110*Calculateur!AS110*VLOOKUP('Données projet'!$B$10,Paramètres!$A$1:$I$89,3,0)*0.475*44/12</f>
        <v>2.289746696767919</v>
      </c>
      <c r="AW110" s="21">
        <f>EXP(-LN(2)/2)*AW109+(1-EXP(-LN(2)/2))/(LN(2)/2)*AQ110*AT110*VLOOKUP('Données projet'!$B$10,Paramètres!$A$1:$I$89,3,0)*0.475*44/12</f>
        <v>7.5410907112012496E-11</v>
      </c>
      <c r="AX110" s="21">
        <f t="shared" si="60"/>
        <v>3.8803975717461703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-5.1159076974727213E-13</v>
      </c>
      <c r="BE110" s="13">
        <f>BD110*VLOOKUP('Données projet'!$B$11,Paramètres!$A$1:$I$89,3,0)*VLOOKUP('Données projet'!$B$11,Paramètres!$A$1:$I$89,5,0)</f>
        <v>-3.4317508834647017E-13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207.93042467236967</v>
      </c>
      <c r="BJ110" s="59">
        <f t="shared" si="92"/>
        <v>250.70954318710835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0.59875352535405169</v>
      </c>
      <c r="BQ110" s="21">
        <f>EXP(-LN(2)/25)*BQ109+(1-EXP(-LN(2)/25))/(LN(2)/25)*Calculateur!BL110*Calculateur!BN110*VLOOKUP('Données projet'!$B$11,Paramètres!$A$1:$I$89,3,0)*0.475*44/12</f>
        <v>2.0459491760277473</v>
      </c>
      <c r="BR110" s="21">
        <f>EXP(-LN(2)/2)*BR109+(1-EXP(-LN(2)/2))/(LN(2)/2)*BL110*BO110*VLOOKUP('Données projet'!$B$11,Paramètres!$A$1:$I$89,3,0)*0.475*44/12</f>
        <v>5.2138731719328783E-11</v>
      </c>
      <c r="BS110" s="22">
        <f t="shared" si="63"/>
        <v>2.6447027014339377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1.7053025658242404E-13</v>
      </c>
      <c r="BZ110" s="13">
        <f>BY110*VLOOKUP('Données projet'!$B$12,Paramètres!$A$1:$I$89,3,0)*VLOOKUP('Données projet'!$B$12,Paramètres!$A$1:$I$89,5,0)</f>
        <v>1.3301360013429075E-13</v>
      </c>
      <c r="CA110" s="13">
        <f t="shared" si="93"/>
        <v>1.9329766731057041E-12</v>
      </c>
      <c r="CB110" s="20">
        <f t="shared" si="64"/>
        <v>3.5982663925596575E-12</v>
      </c>
      <c r="CC110" s="59">
        <f t="shared" si="65"/>
        <v>293.3333333333369</v>
      </c>
      <c r="CD110" s="59">
        <f ca="1">AVERAGE(OFFSET($CC$3,0,0,'Données projet'!$E$12+1,1))-AVERAGE(OFFSET($H$3,0,0,'Données projet'!$E$12+1,1))</f>
        <v>266.30229009596883</v>
      </c>
      <c r="CE110" s="59">
        <f t="shared" si="94"/>
        <v>270.19195828386046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0.31470872626425911</v>
      </c>
      <c r="CL110" s="21">
        <f>EXP(-LN(2)/25)*CL109+(1-EXP(-LN(2)/25))/(LN(2)/25)*Calculateur!CG110*Calculateur!CI110*VLOOKUP('Données projet'!$B$12,Paramètres!$A$1:$I$89,3,0)*0.475*44/12</f>
        <v>0.98989825735239023</v>
      </c>
      <c r="CM110" s="21">
        <f>EXP(-LN(2)/2)*CM109+(1-EXP(-LN(2)/2))/(LN(2)/2)*CG110*CJ110*VLOOKUP('Données projet'!$B$12,Paramètres!$A$1:$I$89,3,0)*0.475*44/12</f>
        <v>3.3624818501030346E-11</v>
      </c>
      <c r="CN110" s="22">
        <f t="shared" si="66"/>
        <v>1.3046069836502743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-5.1159076974727213E-13</v>
      </c>
      <c r="CU110" s="17">
        <f>CT110*VLOOKUP('Données projet'!$B$13,Paramètres!$A$1:$I$89,3,0)*VLOOKUP('Données projet'!$B$13,Paramètres!$A$1:$I$89,5,0)</f>
        <v>-4.0702161641092972E-13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260.20517190557814</v>
      </c>
      <c r="CZ110" s="59">
        <f t="shared" si="96"/>
        <v>307.22009971147133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0.71014953007108517</v>
      </c>
      <c r="DG110" s="21">
        <f>EXP(-LN(2)/25)*DG109+(1-EXP(-LN(2)/25))/(LN(2)/25)*Calculateur!DB110*Calculateur!DD110*VLOOKUP('Données projet'!$B$13,Paramètres!$A$1:$I$89,3,0)*0.475*44/12</f>
        <v>2.4265908831956966</v>
      </c>
      <c r="DH110" s="21">
        <f>EXP(-LN(2)/2)*DH109+(1-EXP(-LN(2)/2))/(LN(2)/2)*DB110*DE110*VLOOKUP('Données projet'!$B$13,Paramètres!$A$1:$I$89,3,0)*0.475*44/12</f>
        <v>6.1838960876413211E-11</v>
      </c>
      <c r="DI110" s="22">
        <f t="shared" si="69"/>
        <v>3.1367404133286207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5.2</v>
      </c>
      <c r="DO110" s="12">
        <f>IF('Données projet'!$A$166&gt;35,DO109+DN110-DW109,IF(A110&lt;'Données projet'!$A$166,$DL$205^A110,IF(A110='Données projet'!$A$166,'Données projet'!$B$166,DO109+DN110-DW109)))</f>
        <v>342.39999999999969</v>
      </c>
      <c r="DP110" s="17">
        <f>DO110*VLOOKUP('Données projet'!$B$14,Paramètres!$A$1:$I$89,3,0)*VLOOKUP('Données projet'!$B$14,Paramètres!$A$1:$I$89,5,0)</f>
        <v>331.16927999999973</v>
      </c>
      <c r="DQ110" s="13">
        <f t="shared" si="97"/>
        <v>77.672678822099698</v>
      </c>
      <c r="DR110" s="20">
        <f t="shared" si="70"/>
        <v>712.06641161515643</v>
      </c>
      <c r="DS110" s="59">
        <f t="shared" si="71"/>
        <v>1005.3997449484898</v>
      </c>
      <c r="DT110" s="59">
        <f ca="1">AVERAGE(OFFSET($DS$3,0,0,'Données projet'!$E$14+1,1))-AVERAGE(OFFSET($H$3,0,0,'Données projet'!$E$14+1,1))</f>
        <v>347.8889410585312</v>
      </c>
      <c r="DU110" s="59">
        <f t="shared" si="98"/>
        <v>254.78167322479203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0.5603429218407735</v>
      </c>
      <c r="EB110" s="21">
        <f>EXP(-LN(2)/25)*EB109+(1-EXP(-LN(2)/25))/(LN(2)/25)*Calculateur!DW110*Calculateur!DY110*VLOOKUP('Données projet'!$B$14,Paramètres!$A$1:$I$89,3,0)*0.475*44/12</f>
        <v>1.4262935144697153</v>
      </c>
      <c r="EC110" s="21">
        <f>EXP(-LN(2)/2)*EC109+(1-EXP(-LN(2)/2))/(LN(2)/2)*DW110*DZ110*VLOOKUP('Données projet'!$B$14,Paramètres!$A$1:$I$89,3,0)*0.475*44/12</f>
        <v>5.9268423814653279E-11</v>
      </c>
      <c r="ED110" s="22">
        <f t="shared" si="72"/>
        <v>1.9866364363697573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5.2</v>
      </c>
      <c r="EJ110" s="12">
        <f>IF('Données projet'!$A$192&gt;35,EJ109+EI110-ER109,IF(A110&lt;'Données projet'!$A$192,$EG$205^A110,IF(A110='Données projet'!$A$192,'Données projet'!$B$192,EJ109+EI110-ER109)))</f>
        <v>342.39999999999969</v>
      </c>
      <c r="EK110" s="17">
        <f>EJ110*VLOOKUP('Données projet'!$B$15,Paramètres!$A$1:$I$89,3,0)*VLOOKUP('Données projet'!$B$15,Paramètres!$A$1:$I$89,5,0)</f>
        <v>368.55935999999969</v>
      </c>
      <c r="EL110" s="13">
        <f t="shared" si="99"/>
        <v>85.372508672068051</v>
      </c>
      <c r="EM110" s="20">
        <f t="shared" si="73"/>
        <v>790.59800460385122</v>
      </c>
      <c r="EN110" s="59">
        <f t="shared" si="74"/>
        <v>1083.9313379371845</v>
      </c>
      <c r="EO110" s="59">
        <f ca="1">AVERAGE(OFFSET($EN$3,0,0,'Données projet'!$E$15+1,1))-AVERAGE(OFFSET($H$3,0,0,'Données projet'!$E$15+1,1))</f>
        <v>399.38728019348088</v>
      </c>
      <c r="EP110" s="59">
        <f t="shared" si="100"/>
        <v>289.54922160039791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0.62360744527440892</v>
      </c>
      <c r="EW110" s="21">
        <f>EXP(-LN(2)/25)*EW109+(1-EXP(-LN(2)/25))/(LN(2)/25)*Calculateur!ER110*Calculateur!ET110*VLOOKUP('Données projet'!$B$15,Paramètres!$A$1:$I$89,3,0)*0.475*44/12</f>
        <v>1.5873266532001684</v>
      </c>
      <c r="EX110" s="21">
        <f>EXP(-LN(2)/2)*EX109+(1-EXP(-LN(2)/2))/(LN(2)/2)*ER110*EU110*VLOOKUP('Données projet'!$B$15,Paramètres!$A$1:$I$89,3,0)*0.475*44/12</f>
        <v>6.5960020051791558E-11</v>
      </c>
      <c r="EY110" s="22">
        <f t="shared" si="75"/>
        <v>2.2109340985405375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347.59999999999968</v>
      </c>
      <c r="O111" s="13">
        <f>N111*VLOOKUP('Données projet'!$B$9,Paramètres!$A$1:$I$89,3,0)*VLOOKUP('Données projet'!$B$9,Paramètres!$A$1:$I$89,5,0)</f>
        <v>314.50847999999968</v>
      </c>
      <c r="P111" s="13">
        <f t="shared" si="87"/>
        <v>74.209587561617383</v>
      </c>
      <c r="Q111" s="20">
        <f t="shared" si="107"/>
        <v>677.01730100314978</v>
      </c>
      <c r="R111" s="59">
        <f t="shared" si="55"/>
        <v>970.35063433648315</v>
      </c>
      <c r="S111" s="59">
        <f ca="1">AVERAGE(OFFSET($R$3,0,0,'Données projet'!$E$9+1,1))-AVERAGE(OFFSET($H$3,0,0,'Données projet'!$E$9+1,1))</f>
        <v>318.40875902853116</v>
      </c>
      <c r="T111" s="59">
        <f t="shared" si="88"/>
        <v>234.87694492493506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0.51391268479510965</v>
      </c>
      <c r="AA111" s="21">
        <f>EXP(-LN(2)/25)*AA110+(1-EXP(-LN(2)/25))/(LN(2)/25)*Calculateur!V111*Calculateur!X111*VLOOKUP('Données projet'!$B$9,Paramètres!$A$1:$I$89,3,0)*0.475*44/12</f>
        <v>1.2977887695490231</v>
      </c>
      <c r="AB111" s="21">
        <f>EXP(-LN(2)/2)*AB110+(1-EXP(-LN(2)/2))/(LN(2)/2)*V111*Y111*VLOOKUP('Données projet'!$B$9,Paramètres!$A$1:$I$89,3,0)*0.475*44/12</f>
        <v>3.9205291203155289E-11</v>
      </c>
      <c r="AC111" s="22">
        <f t="shared" si="57"/>
        <v>1.8117014543833381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243.38048563215585</v>
      </c>
      <c r="AO111" s="59">
        <f t="shared" si="90"/>
        <v>372.1604147006675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1.5594591814472301</v>
      </c>
      <c r="AV111" s="21">
        <f>EXP(-LN(2)/25)*AV110+(1-EXP(-LN(2)/25))/(LN(2)/25)*Calculateur!AQ111*Calculateur!AS111*VLOOKUP('Données projet'!$B$10,Paramètres!$A$1:$I$89,3,0)*0.475*44/12</f>
        <v>2.2271334529322546</v>
      </c>
      <c r="AW111" s="21">
        <f>EXP(-LN(2)/2)*AW110+(1-EXP(-LN(2)/2))/(LN(2)/2)*AQ111*AT111*VLOOKUP('Données projet'!$B$10,Paramètres!$A$1:$I$89,3,0)*0.475*44/12</f>
        <v>5.3323563794332881E-11</v>
      </c>
      <c r="AX111" s="21">
        <f t="shared" si="60"/>
        <v>3.7865926344328082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-5.1159076974727213E-13</v>
      </c>
      <c r="BE111" s="13">
        <f>BD111*VLOOKUP('Données projet'!$B$11,Paramètres!$A$1:$I$89,3,0)*VLOOKUP('Données projet'!$B$11,Paramètres!$A$1:$I$89,5,0)</f>
        <v>-3.4317508834647017E-13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207.93042467236967</v>
      </c>
      <c r="BJ111" s="59">
        <f t="shared" si="92"/>
        <v>250.70954318710835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0.58701233392544838</v>
      </c>
      <c r="BQ111" s="21">
        <f>EXP(-LN(2)/25)*BQ110+(1-EXP(-LN(2)/25))/(LN(2)/25)*Calculateur!BL111*Calculateur!BN111*VLOOKUP('Données projet'!$B$11,Paramètres!$A$1:$I$89,3,0)*0.475*44/12</f>
        <v>1.9900025882174774</v>
      </c>
      <c r="BR111" s="21">
        <f>EXP(-LN(2)/2)*BR110+(1-EXP(-LN(2)/2))/(LN(2)/2)*BL111*BO111*VLOOKUP('Données projet'!$B$11,Paramètres!$A$1:$I$89,3,0)*0.475*44/12</f>
        <v>3.6867650761203522E-11</v>
      </c>
      <c r="BS111" s="22">
        <f t="shared" si="63"/>
        <v>2.5770149221797936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1.7053025658242404E-13</v>
      </c>
      <c r="BZ111" s="13">
        <f>BY111*VLOOKUP('Données projet'!$B$12,Paramètres!$A$1:$I$89,3,0)*VLOOKUP('Données projet'!$B$12,Paramètres!$A$1:$I$89,5,0)</f>
        <v>1.3301360013429075E-13</v>
      </c>
      <c r="CA111" s="13">
        <f t="shared" si="93"/>
        <v>1.9329766731057041E-12</v>
      </c>
      <c r="CB111" s="20">
        <f t="shared" si="64"/>
        <v>3.5982663925596575E-12</v>
      </c>
      <c r="CC111" s="59">
        <f t="shared" si="65"/>
        <v>293.3333333333369</v>
      </c>
      <c r="CD111" s="59">
        <f ca="1">AVERAGE(OFFSET($CC$3,0,0,'Données projet'!$E$12+1,1))-AVERAGE(OFFSET($H$3,0,0,'Données projet'!$E$12+1,1))</f>
        <v>266.30229009596883</v>
      </c>
      <c r="CE111" s="59">
        <f t="shared" si="94"/>
        <v>270.19195828386046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0.30853748009558618</v>
      </c>
      <c r="CL111" s="21">
        <f>EXP(-LN(2)/25)*CL110+(1-EXP(-LN(2)/25))/(LN(2)/25)*Calculateur!CG111*Calculateur!CI111*VLOOKUP('Données projet'!$B$12,Paramètres!$A$1:$I$89,3,0)*0.475*44/12</f>
        <v>0.96282943744860217</v>
      </c>
      <c r="CM111" s="21">
        <f>EXP(-LN(2)/2)*CM110+(1-EXP(-LN(2)/2))/(LN(2)/2)*CG111*CJ111*VLOOKUP('Données projet'!$B$12,Paramètres!$A$1:$I$89,3,0)*0.475*44/12</f>
        <v>2.377633717824544E-11</v>
      </c>
      <c r="CN111" s="22">
        <f t="shared" si="66"/>
        <v>1.2713669175679647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-5.1159076974727213E-13</v>
      </c>
      <c r="CU111" s="17">
        <f>CT111*VLOOKUP('Données projet'!$B$13,Paramètres!$A$1:$I$89,3,0)*VLOOKUP('Données projet'!$B$13,Paramètres!$A$1:$I$89,5,0)</f>
        <v>-4.0702161641092972E-13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260.20517190557814</v>
      </c>
      <c r="CZ111" s="59">
        <f t="shared" si="96"/>
        <v>307.22009971147133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0.6962239309348347</v>
      </c>
      <c r="DG111" s="21">
        <f>EXP(-LN(2)/25)*DG110+(1-EXP(-LN(2)/25))/(LN(2)/25)*Calculateur!DB111*Calculateur!DD111*VLOOKUP('Données projet'!$B$13,Paramètres!$A$1:$I$89,3,0)*0.475*44/12</f>
        <v>2.3602356278858418</v>
      </c>
      <c r="DH111" s="21">
        <f>EXP(-LN(2)/2)*DH110+(1-EXP(-LN(2)/2))/(LN(2)/2)*DB111*DE111*VLOOKUP('Données projet'!$B$13,Paramètres!$A$1:$I$89,3,0)*0.475*44/12</f>
        <v>4.372674857724139E-11</v>
      </c>
      <c r="DI111" s="22">
        <f t="shared" si="69"/>
        <v>3.0564595588644035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5.2</v>
      </c>
      <c r="DO111" s="12">
        <f>IF('Données projet'!$A$166&gt;35,DO110+DN111-DW110,IF(A111&lt;'Données projet'!$A$166,$DL$205^A111,IF(A111='Données projet'!$A$166,'Données projet'!$B$166,DO110+DN111-DW110)))</f>
        <v>347.59999999999968</v>
      </c>
      <c r="DP111" s="17">
        <f>DO111*VLOOKUP('Données projet'!$B$14,Paramètres!$A$1:$I$89,3,0)*VLOOKUP('Données projet'!$B$14,Paramètres!$A$1:$I$89,5,0)</f>
        <v>336.1987199999997</v>
      </c>
      <c r="DQ111" s="13">
        <f t="shared" si="97"/>
        <v>78.71406473653974</v>
      </c>
      <c r="DR111" s="20">
        <f t="shared" si="70"/>
        <v>722.63976674947287</v>
      </c>
      <c r="DS111" s="59">
        <f t="shared" si="71"/>
        <v>1015.9731000828062</v>
      </c>
      <c r="DT111" s="59">
        <f ca="1">AVERAGE(OFFSET($DS$3,0,0,'Données projet'!$E$14+1,1))-AVERAGE(OFFSET($H$3,0,0,'Données projet'!$E$14+1,1))</f>
        <v>347.8889410585312</v>
      </c>
      <c r="DU111" s="59">
        <f t="shared" si="98"/>
        <v>254.78167322479203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0.54935493891891074</v>
      </c>
      <c r="EB111" s="21">
        <f>EXP(-LN(2)/25)*EB110+(1-EXP(-LN(2)/25))/(LN(2)/25)*Calculateur!DW111*Calculateur!DY111*VLOOKUP('Données projet'!$B$14,Paramètres!$A$1:$I$89,3,0)*0.475*44/12</f>
        <v>1.3872914433110248</v>
      </c>
      <c r="EC111" s="21">
        <f>EXP(-LN(2)/2)*EC110+(1-EXP(-LN(2)/2))/(LN(2)/2)*DW111*DZ111*VLOOKUP('Données projet'!$B$14,Paramètres!$A$1:$I$89,3,0)*0.475*44/12</f>
        <v>4.1909104389579599E-11</v>
      </c>
      <c r="ED111" s="22">
        <f t="shared" si="72"/>
        <v>1.9366463822718447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5.2</v>
      </c>
      <c r="EJ111" s="12">
        <f>IF('Données projet'!$A$192&gt;35,EJ110+EI111-ER110,IF(A111&lt;'Données projet'!$A$192,$EG$205^A111,IF(A111='Données projet'!$A$192,'Données projet'!$B$192,EJ110+EI111-ER110)))</f>
        <v>347.59999999999968</v>
      </c>
      <c r="EK111" s="17">
        <f>EJ111*VLOOKUP('Données projet'!$B$15,Paramètres!$A$1:$I$89,3,0)*VLOOKUP('Données projet'!$B$15,Paramètres!$A$1:$I$89,5,0)</f>
        <v>374.15663999999964</v>
      </c>
      <c r="EL111" s="13">
        <f t="shared" si="99"/>
        <v>86.517129011674584</v>
      </c>
      <c r="EM111" s="20">
        <f t="shared" si="73"/>
        <v>802.34014769533258</v>
      </c>
      <c r="EN111" s="59">
        <f t="shared" si="74"/>
        <v>1095.6734810286659</v>
      </c>
      <c r="EO111" s="59">
        <f ca="1">AVERAGE(OFFSET($EN$3,0,0,'Données projet'!$E$15+1,1))-AVERAGE(OFFSET($H$3,0,0,'Données projet'!$E$15+1,1))</f>
        <v>399.38728019348088</v>
      </c>
      <c r="EP111" s="59">
        <f t="shared" si="100"/>
        <v>289.54922160039791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0.6113788836355617</v>
      </c>
      <c r="EW111" s="21">
        <f>EXP(-LN(2)/25)*EW110+(1-EXP(-LN(2)/25))/(LN(2)/25)*Calculateur!ER111*Calculateur!ET111*VLOOKUP('Données projet'!$B$15,Paramètres!$A$1:$I$89,3,0)*0.475*44/12</f>
        <v>1.5439211223945291</v>
      </c>
      <c r="EX111" s="21">
        <f>EXP(-LN(2)/2)*EX110+(1-EXP(-LN(2)/2))/(LN(2)/2)*ER111*EU111*VLOOKUP('Données projet'!$B$15,Paramètres!$A$1:$I$89,3,0)*0.475*44/12</f>
        <v>4.6640777465822461E-11</v>
      </c>
      <c r="EY111" s="22">
        <f t="shared" si="75"/>
        <v>2.1553000060767316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352.79999999999967</v>
      </c>
      <c r="O112" s="13">
        <f>N112*VLOOKUP('Données projet'!$B$9,Paramètres!$A$1:$I$89,3,0)*VLOOKUP('Données projet'!$B$9,Paramètres!$A$1:$I$89,5,0)</f>
        <v>319.21343999999971</v>
      </c>
      <c r="P112" s="13">
        <f t="shared" si="87"/>
        <v>75.189671124171639</v>
      </c>
      <c r="Q112" s="20">
        <f t="shared" si="107"/>
        <v>686.91875187459846</v>
      </c>
      <c r="R112" s="59">
        <f t="shared" si="55"/>
        <v>980.25208520793171</v>
      </c>
      <c r="S112" s="59">
        <f ca="1">AVERAGE(OFFSET($R$3,0,0,'Données projet'!$E$9+1,1))-AVERAGE(OFFSET($H$3,0,0,'Données projet'!$E$9+1,1))</f>
        <v>318.40875902853116</v>
      </c>
      <c r="T112" s="59">
        <f t="shared" si="88"/>
        <v>234.87694492493506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0.50383517050206406</v>
      </c>
      <c r="AA112" s="21">
        <f>EXP(-LN(2)/25)*AA111+(1-EXP(-LN(2)/25))/(LN(2)/25)*Calculateur!V112*Calculateur!X112*VLOOKUP('Données projet'!$B$9,Paramètres!$A$1:$I$89,3,0)*0.475*44/12</f>
        <v>1.2623006673979598</v>
      </c>
      <c r="AB112" s="21">
        <f>EXP(-LN(2)/2)*AB111+(1-EXP(-LN(2)/2))/(LN(2)/2)*V112*Y112*VLOOKUP('Données projet'!$B$9,Paramètres!$A$1:$I$89,3,0)*0.475*44/12</f>
        <v>2.7722327268144404E-11</v>
      </c>
      <c r="AC112" s="22">
        <f t="shared" si="57"/>
        <v>1.7661358379277461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243.38048563215585</v>
      </c>
      <c r="AO112" s="59">
        <f t="shared" si="90"/>
        <v>372.1604147006675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1.5288791380752298</v>
      </c>
      <c r="AV112" s="21">
        <f>EXP(-LN(2)/25)*AV111+(1-EXP(-LN(2)/25))/(LN(2)/25)*Calculateur!AQ112*Calculateur!AS112*VLOOKUP('Données projet'!$B$10,Paramètres!$A$1:$I$89,3,0)*0.475*44/12</f>
        <v>2.1662323715419638</v>
      </c>
      <c r="AW112" s="21">
        <f>EXP(-LN(2)/2)*AW111+(1-EXP(-LN(2)/2))/(LN(2)/2)*AQ112*AT112*VLOOKUP('Données projet'!$B$10,Paramètres!$A$1:$I$89,3,0)*0.475*44/12</f>
        <v>3.7705453556006248E-11</v>
      </c>
      <c r="AX112" s="21">
        <f t="shared" si="60"/>
        <v>3.695111509654899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-5.1159076974727213E-13</v>
      </c>
      <c r="BE112" s="13">
        <f>BD112*VLOOKUP('Données projet'!$B$11,Paramètres!$A$1:$I$89,3,0)*VLOOKUP('Données projet'!$B$11,Paramètres!$A$1:$I$89,5,0)</f>
        <v>-3.4317508834647017E-13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207.93042467236967</v>
      </c>
      <c r="BJ112" s="59">
        <f t="shared" si="92"/>
        <v>250.70954318710835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0.57550138009934027</v>
      </c>
      <c r="BQ112" s="21">
        <f>EXP(-LN(2)/25)*BQ111+(1-EXP(-LN(2)/25))/(LN(2)/25)*Calculateur!BL112*Calculateur!BN112*VLOOKUP('Données projet'!$B$11,Paramètres!$A$1:$I$89,3,0)*0.475*44/12</f>
        <v>1.9355858627929827</v>
      </c>
      <c r="BR112" s="21">
        <f>EXP(-LN(2)/2)*BR111+(1-EXP(-LN(2)/2))/(LN(2)/2)*BL112*BO112*VLOOKUP('Données projet'!$B$11,Paramètres!$A$1:$I$89,3,0)*0.475*44/12</f>
        <v>2.6069365859664391E-11</v>
      </c>
      <c r="BS112" s="22">
        <f t="shared" si="63"/>
        <v>2.5110872429183924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1.7053025658242404E-13</v>
      </c>
      <c r="BZ112" s="13">
        <f>BY112*VLOOKUP('Données projet'!$B$12,Paramètres!$A$1:$I$89,3,0)*VLOOKUP('Données projet'!$B$12,Paramètres!$A$1:$I$89,5,0)</f>
        <v>1.3301360013429075E-13</v>
      </c>
      <c r="CA112" s="13">
        <f t="shared" si="93"/>
        <v>1.9329766731057041E-12</v>
      </c>
      <c r="CB112" s="20">
        <f t="shared" si="64"/>
        <v>3.5982663925596575E-12</v>
      </c>
      <c r="CC112" s="59">
        <f t="shared" si="65"/>
        <v>293.3333333333369</v>
      </c>
      <c r="CD112" s="59">
        <f ca="1">AVERAGE(OFFSET($CC$3,0,0,'Données projet'!$E$12+1,1))-AVERAGE(OFFSET($H$3,0,0,'Données projet'!$E$12+1,1))</f>
        <v>266.30229009596883</v>
      </c>
      <c r="CE112" s="59">
        <f t="shared" si="94"/>
        <v>270.19195828386046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0.30248724830019247</v>
      </c>
      <c r="CL112" s="21">
        <f>EXP(-LN(2)/25)*CL111+(1-EXP(-LN(2)/25))/(LN(2)/25)*Calculateur!CG112*Calculateur!CI112*VLOOKUP('Données projet'!$B$12,Paramètres!$A$1:$I$89,3,0)*0.475*44/12</f>
        <v>0.93650081584857059</v>
      </c>
      <c r="CM112" s="21">
        <f>EXP(-LN(2)/2)*CM111+(1-EXP(-LN(2)/2))/(LN(2)/2)*CG112*CJ112*VLOOKUP('Données projet'!$B$12,Paramètres!$A$1:$I$89,3,0)*0.475*44/12</f>
        <v>1.6812409250515173E-11</v>
      </c>
      <c r="CN112" s="22">
        <f t="shared" si="66"/>
        <v>1.2389880641655755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-5.1159076974727213E-13</v>
      </c>
      <c r="CU112" s="17">
        <f>CT112*VLOOKUP('Données projet'!$B$13,Paramètres!$A$1:$I$89,3,0)*VLOOKUP('Données projet'!$B$13,Paramètres!$A$1:$I$89,5,0)</f>
        <v>-4.0702161641092972E-13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260.20517190557814</v>
      </c>
      <c r="CZ112" s="59">
        <f t="shared" si="96"/>
        <v>307.22009971147133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0.68257140430386931</v>
      </c>
      <c r="DG112" s="21">
        <f>EXP(-LN(2)/25)*DG111+(1-EXP(-LN(2)/25))/(LN(2)/25)*Calculateur!DB112*Calculateur!DD112*VLOOKUP('Données projet'!$B$13,Paramètres!$A$1:$I$89,3,0)*0.475*44/12</f>
        <v>2.2956948605219063</v>
      </c>
      <c r="DH112" s="21">
        <f>EXP(-LN(2)/2)*DH111+(1-EXP(-LN(2)/2))/(LN(2)/2)*DB112*DE112*VLOOKUP('Données projet'!$B$13,Paramètres!$A$1:$I$89,3,0)*0.475*44/12</f>
        <v>3.0919480438206605E-11</v>
      </c>
      <c r="DI112" s="22">
        <f t="shared" si="69"/>
        <v>2.9782662648566949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5.2</v>
      </c>
      <c r="DO112" s="12">
        <f>IF('Données projet'!$A$166&gt;35,DO111+DN112-DW111,IF(A112&lt;'Données projet'!$A$166,$DL$205^A112,IF(A112='Données projet'!$A$166,'Données projet'!$B$166,DO111+DN112-DW111)))</f>
        <v>352.79999999999967</v>
      </c>
      <c r="DP112" s="17">
        <f>DO112*VLOOKUP('Données projet'!$B$14,Paramètres!$A$1:$I$89,3,0)*VLOOKUP('Données projet'!$B$14,Paramètres!$A$1:$I$89,5,0)</f>
        <v>341.22815999999966</v>
      </c>
      <c r="DQ112" s="13">
        <f t="shared" si="97"/>
        <v>79.753638779800099</v>
      </c>
      <c r="DR112" s="20">
        <f t="shared" si="70"/>
        <v>733.20996620815129</v>
      </c>
      <c r="DS112" s="59">
        <f t="shared" si="71"/>
        <v>1026.5432995414847</v>
      </c>
      <c r="DT112" s="59">
        <f ca="1">AVERAGE(OFFSET($DS$3,0,0,'Données projet'!$E$14+1,1))-AVERAGE(OFFSET($H$3,0,0,'Données projet'!$E$14+1,1))</f>
        <v>347.8889410585312</v>
      </c>
      <c r="DU112" s="59">
        <f t="shared" si="98"/>
        <v>254.78167322479203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0.53858242364013786</v>
      </c>
      <c r="EB112" s="21">
        <f>EXP(-LN(2)/25)*EB111+(1-EXP(-LN(2)/25))/(LN(2)/25)*Calculateur!DW112*Calculateur!DY112*VLOOKUP('Données projet'!$B$14,Paramètres!$A$1:$I$89,3,0)*0.475*44/12</f>
        <v>1.3493558858391985</v>
      </c>
      <c r="EC112" s="21">
        <f>EXP(-LN(2)/2)*EC111+(1-EXP(-LN(2)/2))/(LN(2)/2)*DW112*DZ112*VLOOKUP('Données projet'!$B$14,Paramètres!$A$1:$I$89,3,0)*0.475*44/12</f>
        <v>2.9634211907326639E-11</v>
      </c>
      <c r="ED112" s="22">
        <f t="shared" si="72"/>
        <v>1.8879383095089708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5.2</v>
      </c>
      <c r="EJ112" s="12">
        <f>IF('Données projet'!$A$192&gt;35,EJ111+EI112-ER111,IF(A112&lt;'Données projet'!$A$192,$EG$205^A112,IF(A112='Données projet'!$A$192,'Données projet'!$B$192,EJ111+EI112-ER111)))</f>
        <v>352.79999999999967</v>
      </c>
      <c r="EK112" s="17">
        <f>EJ112*VLOOKUP('Données projet'!$B$15,Paramètres!$A$1:$I$89,3,0)*VLOOKUP('Données projet'!$B$15,Paramètres!$A$1:$I$89,5,0)</f>
        <v>379.75391999999965</v>
      </c>
      <c r="EL112" s="13">
        <f t="shared" si="99"/>
        <v>87.659757866110994</v>
      </c>
      <c r="EM112" s="20">
        <f t="shared" si="73"/>
        <v>814.07882228347592</v>
      </c>
      <c r="EN112" s="59">
        <f t="shared" si="74"/>
        <v>1107.4121556168093</v>
      </c>
      <c r="EO112" s="59">
        <f ca="1">AVERAGE(OFFSET($EN$3,0,0,'Données projet'!$E$15+1,1))-AVERAGE(OFFSET($H$3,0,0,'Données projet'!$E$15+1,1))</f>
        <v>399.38728019348088</v>
      </c>
      <c r="EP112" s="59">
        <f t="shared" si="100"/>
        <v>289.54922160039791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0.59939011663176611</v>
      </c>
      <c r="EW112" s="21">
        <f>EXP(-LN(2)/25)*EW111+(1-EXP(-LN(2)/25))/(LN(2)/25)*Calculateur!ER112*Calculateur!ET112*VLOOKUP('Données projet'!$B$15,Paramètres!$A$1:$I$89,3,0)*0.475*44/12</f>
        <v>1.5017025181113675</v>
      </c>
      <c r="EX112" s="21">
        <f>EXP(-LN(2)/2)*EX111+(1-EXP(-LN(2)/2))/(LN(2)/2)*ER112*EU112*VLOOKUP('Données projet'!$B$15,Paramètres!$A$1:$I$89,3,0)*0.475*44/12</f>
        <v>3.2980010025895779E-11</v>
      </c>
      <c r="EY112" s="22">
        <f t="shared" si="75"/>
        <v>2.1010926347761134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357.99999999999966</v>
      </c>
      <c r="O113" s="13">
        <f>N113*VLOOKUP('Données projet'!$B$9,Paramètres!$A$1:$I$89,3,0)*VLOOKUP('Données projet'!$B$9,Paramètres!$A$1:$I$89,5,0)</f>
        <v>323.91839999999968</v>
      </c>
      <c r="P113" s="13">
        <f t="shared" si="87"/>
        <v>76.168074587293034</v>
      </c>
      <c r="Q113" s="20">
        <f t="shared" si="107"/>
        <v>696.8172765728682</v>
      </c>
      <c r="R113" s="59">
        <f t="shared" si="55"/>
        <v>990.15060990620145</v>
      </c>
      <c r="S113" s="59">
        <f ca="1">AVERAGE(OFFSET($R$3,0,0,'Données projet'!$E$9+1,1))-AVERAGE(OFFSET($H$3,0,0,'Données projet'!$E$9+1,1))</f>
        <v>318.40875902853116</v>
      </c>
      <c r="T113" s="59">
        <f t="shared" si="88"/>
        <v>234.87694492493506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0.49395527011762835</v>
      </c>
      <c r="AA113" s="21">
        <f>EXP(-LN(2)/25)*AA112+(1-EXP(-LN(2)/25))/(LN(2)/25)*Calculateur!V113*Calculateur!X113*VLOOKUP('Données projet'!$B$9,Paramètres!$A$1:$I$89,3,0)*0.475*44/12</f>
        <v>1.2277829892664556</v>
      </c>
      <c r="AB113" s="21">
        <f>EXP(-LN(2)/2)*AB112+(1-EXP(-LN(2)/2))/(LN(2)/2)*V113*Y113*VLOOKUP('Données projet'!$B$9,Paramètres!$A$1:$I$89,3,0)*0.475*44/12</f>
        <v>1.9602645601577644E-11</v>
      </c>
      <c r="AC113" s="22">
        <f t="shared" si="57"/>
        <v>1.7217382594036865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243.38048563215585</v>
      </c>
      <c r="AO113" s="59">
        <f t="shared" si="90"/>
        <v>372.1604147006675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1.4988987507017697</v>
      </c>
      <c r="AV113" s="21">
        <f>EXP(-LN(2)/25)*AV112+(1-EXP(-LN(2)/25))/(LN(2)/25)*Calculateur!AQ113*Calculateur!AS113*VLOOKUP('Données projet'!$B$10,Paramètres!$A$1:$I$89,3,0)*0.475*44/12</f>
        <v>2.1069966334249393</v>
      </c>
      <c r="AW113" s="21">
        <f>EXP(-LN(2)/2)*AW112+(1-EXP(-LN(2)/2))/(LN(2)/2)*AQ113*AT113*VLOOKUP('Données projet'!$B$10,Paramètres!$A$1:$I$89,3,0)*0.475*44/12</f>
        <v>2.6661781897166441E-11</v>
      </c>
      <c r="AX113" s="21">
        <f t="shared" si="60"/>
        <v>3.6058953841533707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-5.1159076974727213E-13</v>
      </c>
      <c r="BE113" s="13">
        <f>BD113*VLOOKUP('Données projet'!$B$11,Paramètres!$A$1:$I$89,3,0)*VLOOKUP('Données projet'!$B$11,Paramètres!$A$1:$I$89,5,0)</f>
        <v>-3.4317508834647017E-13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207.93042467236967</v>
      </c>
      <c r="BJ113" s="59">
        <f t="shared" si="92"/>
        <v>250.70954318710835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0.56421614905677364</v>
      </c>
      <c r="BQ113" s="21">
        <f>EXP(-LN(2)/25)*BQ112+(1-EXP(-LN(2)/25))/(LN(2)/25)*Calculateur!BL113*Calculateur!BN113*VLOOKUP('Données projet'!$B$11,Paramètres!$A$1:$I$89,3,0)*0.475*44/12</f>
        <v>1.882657165586872</v>
      </c>
      <c r="BR113" s="21">
        <f>EXP(-LN(2)/2)*BR112+(1-EXP(-LN(2)/2))/(LN(2)/2)*BL113*BO113*VLOOKUP('Données projet'!$B$11,Paramètres!$A$1:$I$89,3,0)*0.475*44/12</f>
        <v>1.8433825380601761E-11</v>
      </c>
      <c r="BS113" s="22">
        <f t="shared" si="63"/>
        <v>2.4468733146620791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1.7053025658242404E-13</v>
      </c>
      <c r="BZ113" s="13">
        <f>BY113*VLOOKUP('Données projet'!$B$12,Paramètres!$A$1:$I$89,3,0)*VLOOKUP('Données projet'!$B$12,Paramètres!$A$1:$I$89,5,0)</f>
        <v>1.3301360013429075E-13</v>
      </c>
      <c r="CA113" s="13">
        <f t="shared" si="93"/>
        <v>1.9329766731057041E-12</v>
      </c>
      <c r="CB113" s="20">
        <f t="shared" si="64"/>
        <v>3.5982663925596575E-12</v>
      </c>
      <c r="CC113" s="59">
        <f t="shared" si="65"/>
        <v>293.3333333333369</v>
      </c>
      <c r="CD113" s="59">
        <f ca="1">AVERAGE(OFFSET($CC$3,0,0,'Données projet'!$E$12+1,1))-AVERAGE(OFFSET($H$3,0,0,'Données projet'!$E$12+1,1))</f>
        <v>266.30229009596883</v>
      </c>
      <c r="CE113" s="59">
        <f t="shared" si="94"/>
        <v>270.19195828386046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0.29655565786002941</v>
      </c>
      <c r="CL113" s="21">
        <f>EXP(-LN(2)/25)*CL112+(1-EXP(-LN(2)/25))/(LN(2)/25)*Calculateur!CG113*Calculateur!CI113*VLOOKUP('Données projet'!$B$12,Paramètres!$A$1:$I$89,3,0)*0.475*44/12</f>
        <v>0.91089215179075389</v>
      </c>
      <c r="CM113" s="21">
        <f>EXP(-LN(2)/2)*CM112+(1-EXP(-LN(2)/2))/(LN(2)/2)*CG113*CJ113*VLOOKUP('Données projet'!$B$12,Paramètres!$A$1:$I$89,3,0)*0.475*44/12</f>
        <v>1.188816858912272E-11</v>
      </c>
      <c r="CN113" s="22">
        <f t="shared" si="66"/>
        <v>1.2074478096626715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-5.1159076974727213E-13</v>
      </c>
      <c r="CU113" s="17">
        <f>CT113*VLOOKUP('Données projet'!$B$13,Paramètres!$A$1:$I$89,3,0)*VLOOKUP('Données projet'!$B$13,Paramètres!$A$1:$I$89,5,0)</f>
        <v>-4.0702161641092972E-13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260.20517190557814</v>
      </c>
      <c r="CZ113" s="59">
        <f t="shared" si="96"/>
        <v>307.22009971147133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0.66918659539291814</v>
      </c>
      <c r="DG113" s="21">
        <f>EXP(-LN(2)/25)*DG112+(1-EXP(-LN(2)/25))/(LN(2)/25)*Calculateur!DB113*Calculateur!DD113*VLOOKUP('Données projet'!$B$13,Paramètres!$A$1:$I$89,3,0)*0.475*44/12</f>
        <v>2.2329189638355889</v>
      </c>
      <c r="DH113" s="21">
        <f>EXP(-LN(2)/2)*DH112+(1-EXP(-LN(2)/2))/(LN(2)/2)*DB113*DE113*VLOOKUP('Données projet'!$B$13,Paramètres!$A$1:$I$89,3,0)*0.475*44/12</f>
        <v>2.1863374288620695E-11</v>
      </c>
      <c r="DI113" s="22">
        <f t="shared" si="69"/>
        <v>2.9021055592503702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358</v>
      </c>
      <c r="DM113" s="12">
        <f>VLOOKUP(A113,'Données projet'!$A$165:$I$185,9,0)</f>
        <v>5.2</v>
      </c>
      <c r="DN113" s="12">
        <f t="array" ref="DN113">INDEX(DM:DM,MIN(IF(ISNUMBER(DM113:DM309),ROW(DM113:DM309),"")))</f>
        <v>5.2</v>
      </c>
      <c r="DO113" s="12">
        <f>IF('Données projet'!$A$166&gt;35,DO112+DN113-DW112,IF(A113&lt;'Données projet'!$A$166,$DL$205^A113,IF(A113='Données projet'!$A$166,'Données projet'!$B$166,DO112+DN113-DW112)))</f>
        <v>357.99999999999966</v>
      </c>
      <c r="DP113" s="17">
        <f>DO113*VLOOKUP('Données projet'!$B$14,Paramètres!$A$1:$I$89,3,0)*VLOOKUP('Données projet'!$B$14,Paramètres!$A$1:$I$89,5,0)</f>
        <v>346.25759999999968</v>
      </c>
      <c r="DQ113" s="13">
        <f t="shared" si="97"/>
        <v>80.791430742606124</v>
      </c>
      <c r="DR113" s="20">
        <f t="shared" si="70"/>
        <v>743.77706187670503</v>
      </c>
      <c r="DS113" s="59">
        <f t="shared" si="71"/>
        <v>1037.1103952100384</v>
      </c>
      <c r="DT113" s="59">
        <f ca="1">AVERAGE(OFFSET($DS$3,0,0,'Données projet'!$E$14+1,1))-AVERAGE(OFFSET($H$3,0,0,'Données projet'!$E$14+1,1))</f>
        <v>347.8889410585312</v>
      </c>
      <c r="DU113" s="59">
        <f t="shared" si="98"/>
        <v>254.78167322479203</v>
      </c>
      <c r="DV113" s="15">
        <f>IF(ISNA(VLOOKUP(A113,'Données projet'!$A$165:$I$185,3,0)),0,VLOOKUP(A113,'Données projet'!$A$165:$I$185,3,0))</f>
        <v>10</v>
      </c>
      <c r="DW113" s="15">
        <f>IF(ISNA(VLOOKUP(A113,'Données projet'!$A$165:$I$185,4,0)),0,VLOOKUP(A113,'Données projet'!$A$165:$I$185,4,0))</f>
        <v>51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0.52802115081539625</v>
      </c>
      <c r="EB113" s="21">
        <f>EXP(-LN(2)/25)*EB112+(1-EXP(-LN(2)/25))/(LN(2)/25)*Calculateur!DW113*Calculateur!DY113*VLOOKUP('Données projet'!$B$14,Paramètres!$A$1:$I$89,3,0)*0.475*44/12</f>
        <v>1.3124576781813837</v>
      </c>
      <c r="EC113" s="21">
        <f>EXP(-LN(2)/2)*EC112+(1-EXP(-LN(2)/2))/(LN(2)/2)*DW113*DZ113*VLOOKUP('Données projet'!$B$14,Paramètres!$A$1:$I$89,3,0)*0.475*44/12</f>
        <v>2.09545521947898E-11</v>
      </c>
      <c r="ED113" s="22">
        <f t="shared" si="72"/>
        <v>1.8404788290177345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358</v>
      </c>
      <c r="EH113" s="12">
        <f>VLOOKUP(A113,'Données projet'!$A$191:$I$211,9,0)</f>
        <v>5.2</v>
      </c>
      <c r="EI113" s="12">
        <f t="array" ref="EI113">INDEX(EH:EH,MIN(IF(ISNUMBER(EH113:EH309),ROW(EH113:EH309),"")))</f>
        <v>5.2</v>
      </c>
      <c r="EJ113" s="12">
        <f>IF('Données projet'!$A$192&gt;35,EJ112+EI113-ER112,IF(A113&lt;'Données projet'!$A$192,$EG$205^A113,IF(A113='Données projet'!$A$192,'Données projet'!$B$192,EJ112+EI113-ER112)))</f>
        <v>357.99999999999966</v>
      </c>
      <c r="EK113" s="17">
        <f>EJ113*VLOOKUP('Données projet'!$B$15,Paramètres!$A$1:$I$89,3,0)*VLOOKUP('Données projet'!$B$15,Paramètres!$A$1:$I$89,5,0)</f>
        <v>385.35119999999961</v>
      </c>
      <c r="EL113" s="13">
        <f t="shared" si="99"/>
        <v>88.800427979309731</v>
      </c>
      <c r="EM113" s="20">
        <f t="shared" si="73"/>
        <v>825.81408539729716</v>
      </c>
      <c r="EN113" s="59">
        <f t="shared" si="74"/>
        <v>1119.1474187306305</v>
      </c>
      <c r="EO113" s="59">
        <f ca="1">AVERAGE(OFFSET($EN$3,0,0,'Données projet'!$E$15+1,1))-AVERAGE(OFFSET($H$3,0,0,'Données projet'!$E$15+1,1))</f>
        <v>399.38728019348088</v>
      </c>
      <c r="EP113" s="59">
        <f t="shared" si="100"/>
        <v>289.54922160039791</v>
      </c>
      <c r="EQ113" s="15">
        <f>IF(ISNA(VLOOKUP(A113,'Données projet'!$A$191:$I$211,3,0)),0,VLOOKUP(A113,'Données projet'!$A$191:$I$211,3,0))</f>
        <v>10</v>
      </c>
      <c r="ER113" s="15">
        <f>IF(ISNA(VLOOKUP(A113,'Données projet'!$A$191:$I$211,4,0)),0,VLOOKUP(A113,'Données projet'!$A$191:$I$211,4,0))</f>
        <v>51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0.58763644203648913</v>
      </c>
      <c r="EW113" s="21">
        <f>EXP(-LN(2)/25)*EW112+(1-EXP(-LN(2)/25))/(LN(2)/25)*Calculateur!ER113*Calculateur!ET113*VLOOKUP('Données projet'!$B$15,Paramètres!$A$1:$I$89,3,0)*0.475*44/12</f>
        <v>1.4606383837825088</v>
      </c>
      <c r="EX113" s="21">
        <f>EXP(-LN(2)/2)*EX112+(1-EXP(-LN(2)/2))/(LN(2)/2)*ER113*EU113*VLOOKUP('Données projet'!$B$15,Paramètres!$A$1:$I$89,3,0)*0.475*44/12</f>
        <v>2.332038873291123E-11</v>
      </c>
      <c r="EY113" s="22">
        <f t="shared" si="75"/>
        <v>2.0482748258423182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</v>
      </c>
      <c r="N114" s="13">
        <f>IF('Données projet'!$A$36&gt;35,N113+M114-V113,IF(A114&lt;'Données projet'!$A$36,$K$205^A114,IF(A114='Données projet'!$A$36,'Données projet'!$B$36,N113+M114-V113)))</f>
        <v>311.49999999999966</v>
      </c>
      <c r="O114" s="13">
        <f>N114*VLOOKUP('Données projet'!$B$9,Paramètres!$A$1:$I$89,3,0)*VLOOKUP('Données projet'!$B$9,Paramètres!$A$1:$I$89,5,0)</f>
        <v>281.84519999999969</v>
      </c>
      <c r="P114" s="13">
        <f t="shared" si="87"/>
        <v>67.356803491560427</v>
      </c>
      <c r="Q114" s="20">
        <f t="shared" si="107"/>
        <v>608.19348941446708</v>
      </c>
      <c r="R114" s="59">
        <f t="shared" si="55"/>
        <v>901.52682274780045</v>
      </c>
      <c r="S114" s="59">
        <f ca="1">AVERAGE(OFFSET($R$3,0,0,'Données projet'!$E$9+1,1))-AVERAGE(OFFSET($H$3,0,0,'Données projet'!$E$9+1,1))</f>
        <v>318.40875902853116</v>
      </c>
      <c r="T114" s="59">
        <f t="shared" si="88"/>
        <v>234.87694492493506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0.48426910855358724</v>
      </c>
      <c r="AA114" s="21">
        <f>EXP(-LN(2)/25)*AA113+(1-EXP(-LN(2)/25))/(LN(2)/25)*Calculateur!V114*Calculateur!X114*VLOOKUP('Données projet'!$B$9,Paramètres!$A$1:$I$89,3,0)*0.475*44/12</f>
        <v>1.1942091988586632</v>
      </c>
      <c r="AB114" s="21">
        <f>EXP(-LN(2)/2)*AB113+(1-EXP(-LN(2)/2))/(LN(2)/2)*V114*Y114*VLOOKUP('Données projet'!$B$9,Paramètres!$A$1:$I$89,3,0)*0.475*44/12</f>
        <v>1.3861163634072202E-11</v>
      </c>
      <c r="AC114" s="22">
        <f t="shared" si="57"/>
        <v>1.6784783074261116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243.38048563215585</v>
      </c>
      <c r="AO114" s="59">
        <f t="shared" si="90"/>
        <v>372.1604147006675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1.4695062604384723</v>
      </c>
      <c r="AV114" s="21">
        <f>EXP(-LN(2)/25)*AV113+(1-EXP(-LN(2)/25))/(LN(2)/25)*Calculateur!AQ114*Calculateur!AS114*VLOOKUP('Données projet'!$B$10,Paramètres!$A$1:$I$89,3,0)*0.475*44/12</f>
        <v>2.0493806996817971</v>
      </c>
      <c r="AW114" s="21">
        <f>EXP(-LN(2)/2)*AW113+(1-EXP(-LN(2)/2))/(LN(2)/2)*AQ114*AT114*VLOOKUP('Données projet'!$B$10,Paramètres!$A$1:$I$89,3,0)*0.475*44/12</f>
        <v>1.8852726778003124E-11</v>
      </c>
      <c r="AX114" s="21">
        <f t="shared" si="60"/>
        <v>3.5188869601391226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-5.1159076974727213E-13</v>
      </c>
      <c r="BE114" s="13">
        <f>BD114*VLOOKUP('Données projet'!$B$11,Paramètres!$A$1:$I$89,3,0)*VLOOKUP('Données projet'!$B$11,Paramètres!$A$1:$I$89,5,0)</f>
        <v>-3.4317508834647017E-13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207.93042467236967</v>
      </c>
      <c r="BJ114" s="59">
        <f t="shared" si="92"/>
        <v>250.70954318710835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0.55315221451164043</v>
      </c>
      <c r="BQ114" s="21">
        <f>EXP(-LN(2)/25)*BQ113+(1-EXP(-LN(2)/25))/(LN(2)/25)*Calculateur!BL114*Calculateur!BN114*VLOOKUP('Données projet'!$B$11,Paramètres!$A$1:$I$89,3,0)*0.475*44/12</f>
        <v>1.8311758063892616</v>
      </c>
      <c r="BR114" s="21">
        <f>EXP(-LN(2)/2)*BR113+(1-EXP(-LN(2)/2))/(LN(2)/2)*BL114*BO114*VLOOKUP('Données projet'!$B$11,Paramètres!$A$1:$I$89,3,0)*0.475*44/12</f>
        <v>1.3034682929832196E-11</v>
      </c>
      <c r="BS114" s="22">
        <f t="shared" si="63"/>
        <v>2.3843280209139364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1.7053025658242404E-13</v>
      </c>
      <c r="BZ114" s="13">
        <f>BY114*VLOOKUP('Données projet'!$B$12,Paramètres!$A$1:$I$89,3,0)*VLOOKUP('Données projet'!$B$12,Paramètres!$A$1:$I$89,5,0)</f>
        <v>1.3301360013429075E-13</v>
      </c>
      <c r="CA114" s="13">
        <f t="shared" si="93"/>
        <v>1.9329766731057041E-12</v>
      </c>
      <c r="CB114" s="20">
        <f t="shared" si="64"/>
        <v>3.5982663925596575E-12</v>
      </c>
      <c r="CC114" s="59">
        <f t="shared" si="65"/>
        <v>293.3333333333369</v>
      </c>
      <c r="CD114" s="59">
        <f ca="1">AVERAGE(OFFSET($CC$3,0,0,'Données projet'!$E$12+1,1))-AVERAGE(OFFSET($H$3,0,0,'Données projet'!$E$12+1,1))</f>
        <v>266.30229009596883</v>
      </c>
      <c r="CE114" s="59">
        <f t="shared" si="94"/>
        <v>270.19195828386046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0.29074038229048499</v>
      </c>
      <c r="CL114" s="21">
        <f>EXP(-LN(2)/25)*CL113+(1-EXP(-LN(2)/25))/(LN(2)/25)*Calculateur!CG114*Calculateur!CI114*VLOOKUP('Données projet'!$B$12,Paramètres!$A$1:$I$89,3,0)*0.475*44/12</f>
        <v>0.88598375799829931</v>
      </c>
      <c r="CM114" s="21">
        <f>EXP(-LN(2)/2)*CM113+(1-EXP(-LN(2)/2))/(LN(2)/2)*CG114*CJ114*VLOOKUP('Données projet'!$B$12,Paramètres!$A$1:$I$89,3,0)*0.475*44/12</f>
        <v>8.4062046252575865E-12</v>
      </c>
      <c r="CN114" s="22">
        <f t="shared" si="66"/>
        <v>1.1767241402971904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-5.1159076974727213E-13</v>
      </c>
      <c r="CU114" s="17">
        <f>CT114*VLOOKUP('Données projet'!$B$13,Paramètres!$A$1:$I$89,3,0)*VLOOKUP('Données projet'!$B$13,Paramètres!$A$1:$I$89,5,0)</f>
        <v>-4.0702161641092972E-13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260.20517190557814</v>
      </c>
      <c r="CZ114" s="59">
        <f t="shared" si="96"/>
        <v>307.22009971147133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0.65606425442078342</v>
      </c>
      <c r="DG114" s="21">
        <f>EXP(-LN(2)/25)*DG113+(1-EXP(-LN(2)/25))/(LN(2)/25)*Calculateur!DB114*Calculateur!DD114*VLOOKUP('Données projet'!$B$13,Paramètres!$A$1:$I$89,3,0)*0.475*44/12</f>
        <v>2.1718596773453998</v>
      </c>
      <c r="DH114" s="21">
        <f>EXP(-LN(2)/2)*DH113+(1-EXP(-LN(2)/2))/(LN(2)/2)*DB114*DE114*VLOOKUP('Données projet'!$B$13,Paramètres!$A$1:$I$89,3,0)*0.475*44/12</f>
        <v>1.5459740219103303E-11</v>
      </c>
      <c r="DI114" s="22">
        <f t="shared" si="69"/>
        <v>2.8279239317816427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4.5</v>
      </c>
      <c r="DO114" s="12">
        <f>IF('Données projet'!$A$166&gt;35,DO113+DN114-DW113,IF(A114&lt;'Données projet'!$A$166,$DL$205^A114,IF(A114='Données projet'!$A$166,'Données projet'!$B$166,DO113+DN114-DW113)))</f>
        <v>311.49999999999966</v>
      </c>
      <c r="DP114" s="17">
        <f>DO114*VLOOKUP('Données projet'!$B$14,Paramètres!$A$1:$I$89,3,0)*VLOOKUP('Données projet'!$B$14,Paramètres!$A$1:$I$89,5,0)</f>
        <v>301.28279999999967</v>
      </c>
      <c r="DQ114" s="13">
        <f t="shared" si="97"/>
        <v>71.445320809508672</v>
      </c>
      <c r="DR114" s="20">
        <f t="shared" si="70"/>
        <v>649.16814374322701</v>
      </c>
      <c r="DS114" s="59">
        <f t="shared" si="71"/>
        <v>942.50147707656038</v>
      </c>
      <c r="DT114" s="59">
        <f ca="1">AVERAGE(OFFSET($DS$3,0,0,'Données projet'!$E$14+1,1))-AVERAGE(OFFSET($H$3,0,0,'Données projet'!$E$14+1,1))</f>
        <v>347.8889410585312</v>
      </c>
      <c r="DU114" s="59">
        <f t="shared" si="98"/>
        <v>254.78167322479203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0.51766697810900741</v>
      </c>
      <c r="EB114" s="21">
        <f>EXP(-LN(2)/25)*EB113+(1-EXP(-LN(2)/25))/(LN(2)/25)*Calculateur!DW114*Calculateur!DY114*VLOOKUP('Données projet'!$B$14,Paramètres!$A$1:$I$89,3,0)*0.475*44/12</f>
        <v>1.2765684539523641</v>
      </c>
      <c r="EC114" s="21">
        <f>EXP(-LN(2)/2)*EC113+(1-EXP(-LN(2)/2))/(LN(2)/2)*DW114*DZ114*VLOOKUP('Données projet'!$B$14,Paramètres!$A$1:$I$89,3,0)*0.475*44/12</f>
        <v>1.481710595366332E-11</v>
      </c>
      <c r="ED114" s="22">
        <f t="shared" si="72"/>
        <v>1.7942354320761886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4.5</v>
      </c>
      <c r="EJ114" s="12">
        <f>IF('Données projet'!$A$192&gt;35,EJ113+EI114-ER113,IF(A114&lt;'Données projet'!$A$192,$EG$205^A114,IF(A114='Données projet'!$A$192,'Données projet'!$B$192,EJ113+EI114-ER113)))</f>
        <v>311.49999999999966</v>
      </c>
      <c r="EK114" s="17">
        <f>EJ114*VLOOKUP('Données projet'!$B$15,Paramètres!$A$1:$I$89,3,0)*VLOOKUP('Données projet'!$B$15,Paramètres!$A$1:$I$89,5,0)</f>
        <v>335.29859999999962</v>
      </c>
      <c r="EL114" s="13">
        <f t="shared" si="99"/>
        <v>78.527821659898976</v>
      </c>
      <c r="EM114" s="20">
        <f t="shared" si="73"/>
        <v>720.74768439099</v>
      </c>
      <c r="EN114" s="59">
        <f t="shared" si="74"/>
        <v>1014.0810177243234</v>
      </c>
      <c r="EO114" s="59">
        <f ca="1">AVERAGE(OFFSET($EN$3,0,0,'Données projet'!$E$15+1,1))-AVERAGE(OFFSET($H$3,0,0,'Données projet'!$E$15+1,1))</f>
        <v>399.38728019348088</v>
      </c>
      <c r="EP114" s="59">
        <f t="shared" si="100"/>
        <v>289.54922160039791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0.57611324983099188</v>
      </c>
      <c r="EW114" s="21">
        <f>EXP(-LN(2)/25)*EW113+(1-EXP(-LN(2)/25))/(LN(2)/25)*Calculateur!ER114*Calculateur!ET114*VLOOKUP('Données projet'!$B$15,Paramètres!$A$1:$I$89,3,0)*0.475*44/12</f>
        <v>1.4206971503663417</v>
      </c>
      <c r="EX114" s="21">
        <f>EXP(-LN(2)/2)*EX113+(1-EXP(-LN(2)/2))/(LN(2)/2)*ER114*EU114*VLOOKUP('Données projet'!$B$15,Paramètres!$A$1:$I$89,3,0)*0.475*44/12</f>
        <v>1.649000501294789E-11</v>
      </c>
      <c r="EY114" s="22">
        <f t="shared" si="75"/>
        <v>1.9968104002138234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</v>
      </c>
      <c r="N115" s="13">
        <f>IF('Données projet'!$A$36&gt;35,N114+M115-V114,IF(A115&lt;'Données projet'!$A$36,$K$205^A115,IF(A115='Données projet'!$A$36,'Données projet'!$B$36,N114+M115-V114)))</f>
        <v>315.99999999999966</v>
      </c>
      <c r="O115" s="13">
        <f>N115*VLOOKUP('Données projet'!$B$9,Paramètres!$A$1:$I$89,3,0)*VLOOKUP('Données projet'!$B$9,Paramètres!$A$1:$I$89,5,0)</f>
        <v>285.91679999999968</v>
      </c>
      <c r="P115" s="13">
        <f t="shared" si="87"/>
        <v>68.215872977287475</v>
      </c>
      <c r="Q115" s="20">
        <f t="shared" si="107"/>
        <v>616.7810721021084</v>
      </c>
      <c r="R115" s="59">
        <f t="shared" si="55"/>
        <v>910.11440543544177</v>
      </c>
      <c r="S115" s="59">
        <f ca="1">AVERAGE(OFFSET($R$3,0,0,'Données projet'!$E$9+1,1))-AVERAGE(OFFSET($H$3,0,0,'Données projet'!$E$9+1,1))</f>
        <v>318.40875902853116</v>
      </c>
      <c r="T115" s="59">
        <f t="shared" si="88"/>
        <v>234.87694492493506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0.47477288670984175</v>
      </c>
      <c r="AA115" s="21">
        <f>EXP(-LN(2)/25)*AA114+(1-EXP(-LN(2)/25))/(LN(2)/25)*Calculateur!V115*Calculateur!X115*VLOOKUP('Données projet'!$B$9,Paramètres!$A$1:$I$89,3,0)*0.475*44/12</f>
        <v>1.1615534855151406</v>
      </c>
      <c r="AB115" s="21">
        <f>EXP(-LN(2)/2)*AB114+(1-EXP(-LN(2)/2))/(LN(2)/2)*V115*Y115*VLOOKUP('Données projet'!$B$9,Paramètres!$A$1:$I$89,3,0)*0.475*44/12</f>
        <v>9.8013228007888222E-12</v>
      </c>
      <c r="AC115" s="22">
        <f t="shared" si="57"/>
        <v>1.6363263722347836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243.38048563215585</v>
      </c>
      <c r="AO115" s="59">
        <f t="shared" si="90"/>
        <v>372.1604147006675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1.4406901389815894</v>
      </c>
      <c r="AV115" s="21">
        <f>EXP(-LN(2)/25)*AV114+(1-EXP(-LN(2)/25))/(LN(2)/25)*Calculateur!AQ115*Calculateur!AS115*VLOOKUP('Données projet'!$B$10,Paramètres!$A$1:$I$89,3,0)*0.475*44/12</f>
        <v>1.9933402766767514</v>
      </c>
      <c r="AW115" s="21">
        <f>EXP(-LN(2)/2)*AW114+(1-EXP(-LN(2)/2))/(LN(2)/2)*AQ115*AT115*VLOOKUP('Données projet'!$B$10,Paramètres!$A$1:$I$89,3,0)*0.475*44/12</f>
        <v>1.333089094858322E-11</v>
      </c>
      <c r="AX115" s="21">
        <f t="shared" si="60"/>
        <v>3.4340304156716712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-5.1159076974727213E-13</v>
      </c>
      <c r="BE115" s="13">
        <f>BD115*VLOOKUP('Données projet'!$B$11,Paramètres!$A$1:$I$89,3,0)*VLOOKUP('Données projet'!$B$11,Paramètres!$A$1:$I$89,5,0)</f>
        <v>-3.4317508834647017E-13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207.93042467236967</v>
      </c>
      <c r="BJ115" s="59">
        <f t="shared" si="92"/>
        <v>250.70954318710835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0.54230523697460353</v>
      </c>
      <c r="BQ115" s="21">
        <f>EXP(-LN(2)/25)*BQ114+(1-EXP(-LN(2)/25))/(LN(2)/25)*Calculateur!BL115*Calculateur!BN115*VLOOKUP('Données projet'!$B$11,Paramètres!$A$1:$I$89,3,0)*0.475*44/12</f>
        <v>1.7811022076661969</v>
      </c>
      <c r="BR115" s="21">
        <f>EXP(-LN(2)/2)*BR114+(1-EXP(-LN(2)/2))/(LN(2)/2)*BL115*BO115*VLOOKUP('Données projet'!$B$11,Paramètres!$A$1:$I$89,3,0)*0.475*44/12</f>
        <v>9.2169126903008805E-12</v>
      </c>
      <c r="BS115" s="22">
        <f t="shared" si="63"/>
        <v>2.3234074446500173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1.7053025658242404E-13</v>
      </c>
      <c r="BZ115" s="13">
        <f>BY115*VLOOKUP('Données projet'!$B$12,Paramètres!$A$1:$I$89,3,0)*VLOOKUP('Données projet'!$B$12,Paramètres!$A$1:$I$89,5,0)</f>
        <v>1.3301360013429075E-13</v>
      </c>
      <c r="CA115" s="13">
        <f t="shared" si="93"/>
        <v>1.9329766731057041E-12</v>
      </c>
      <c r="CB115" s="20">
        <f t="shared" si="64"/>
        <v>3.5982663925596575E-12</v>
      </c>
      <c r="CC115" s="59">
        <f t="shared" si="65"/>
        <v>293.3333333333369</v>
      </c>
      <c r="CD115" s="59">
        <f ca="1">AVERAGE(OFFSET($CC$3,0,0,'Données projet'!$E$12+1,1))-AVERAGE(OFFSET($H$3,0,0,'Données projet'!$E$12+1,1))</f>
        <v>266.30229009596883</v>
      </c>
      <c r="CE115" s="59">
        <f t="shared" si="94"/>
        <v>270.19195828386046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0.28503914072789149</v>
      </c>
      <c r="CL115" s="21">
        <f>EXP(-LN(2)/25)*CL114+(1-EXP(-LN(2)/25))/(LN(2)/25)*Calculateur!CG115*Calculateur!CI115*VLOOKUP('Données projet'!$B$12,Paramètres!$A$1:$I$89,3,0)*0.475*44/12</f>
        <v>0.86175648554397488</v>
      </c>
      <c r="CM115" s="21">
        <f>EXP(-LN(2)/2)*CM114+(1-EXP(-LN(2)/2))/(LN(2)/2)*CG115*CJ115*VLOOKUP('Données projet'!$B$12,Paramètres!$A$1:$I$89,3,0)*0.475*44/12</f>
        <v>5.9440842945613601E-12</v>
      </c>
      <c r="CN115" s="22">
        <f t="shared" si="66"/>
        <v>1.1467956262778105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-5.1159076974727213E-13</v>
      </c>
      <c r="CU115" s="17">
        <f>CT115*VLOOKUP('Données projet'!$B$13,Paramètres!$A$1:$I$89,3,0)*VLOOKUP('Données projet'!$B$13,Paramètres!$A$1:$I$89,5,0)</f>
        <v>-4.0702161641092972E-13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260.20517190557814</v>
      </c>
      <c r="CZ115" s="59">
        <f t="shared" si="96"/>
        <v>307.22009971147133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0.64319923455127459</v>
      </c>
      <c r="DG115" s="21">
        <f>EXP(-LN(2)/25)*DG114+(1-EXP(-LN(2)/25))/(LN(2)/25)*Calculateur!DB115*Calculateur!DD115*VLOOKUP('Données projet'!$B$13,Paramètres!$A$1:$I$89,3,0)*0.475*44/12</f>
        <v>2.1124700602552533</v>
      </c>
      <c r="DH115" s="21">
        <f>EXP(-LN(2)/2)*DH114+(1-EXP(-LN(2)/2))/(LN(2)/2)*DB115*DE115*VLOOKUP('Données projet'!$B$13,Paramètres!$A$1:$I$89,3,0)*0.475*44/12</f>
        <v>1.0931687144310347E-11</v>
      </c>
      <c r="DI115" s="22">
        <f t="shared" si="69"/>
        <v>2.7556692948174595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4.5</v>
      </c>
      <c r="DO115" s="12">
        <f>IF('Données projet'!$A$166&gt;35,DO114+DN115-DW114,IF(A115&lt;'Données projet'!$A$166,$DL$205^A115,IF(A115='Données projet'!$A$166,'Données projet'!$B$166,DO114+DN115-DW114)))</f>
        <v>315.99999999999966</v>
      </c>
      <c r="DP115" s="17">
        <f>DO115*VLOOKUP('Données projet'!$B$14,Paramètres!$A$1:$I$89,3,0)*VLOOKUP('Données projet'!$B$14,Paramètres!$A$1:$I$89,5,0)</f>
        <v>305.63519999999966</v>
      </c>
      <c r="DQ115" s="13">
        <f t="shared" si="97"/>
        <v>72.356535294517755</v>
      </c>
      <c r="DR115" s="20">
        <f t="shared" si="70"/>
        <v>658.33560563795118</v>
      </c>
      <c r="DS115" s="59">
        <f t="shared" si="71"/>
        <v>951.66893897128443</v>
      </c>
      <c r="DT115" s="59">
        <f ca="1">AVERAGE(OFFSET($DS$3,0,0,'Données projet'!$E$14+1,1))-AVERAGE(OFFSET($H$3,0,0,'Données projet'!$E$14+1,1))</f>
        <v>347.8889410585312</v>
      </c>
      <c r="DU115" s="59">
        <f t="shared" si="98"/>
        <v>254.78167322479203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0.50751584441396913</v>
      </c>
      <c r="EB115" s="21">
        <f>EXP(-LN(2)/25)*EB114+(1-EXP(-LN(2)/25))/(LN(2)/25)*Calculateur!DW115*Calculateur!DY115*VLOOKUP('Données projet'!$B$14,Paramètres!$A$1:$I$89,3,0)*0.475*44/12</f>
        <v>1.2416606224472193</v>
      </c>
      <c r="EC115" s="21">
        <f>EXP(-LN(2)/2)*EC114+(1-EXP(-LN(2)/2))/(LN(2)/2)*DW115*DZ115*VLOOKUP('Données projet'!$B$14,Paramètres!$A$1:$I$89,3,0)*0.475*44/12</f>
        <v>1.04772760973949E-11</v>
      </c>
      <c r="ED115" s="22">
        <f t="shared" si="72"/>
        <v>1.7491764668716656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4.5</v>
      </c>
      <c r="EJ115" s="12">
        <f>IF('Données projet'!$A$192&gt;35,EJ114+EI115-ER114,IF(A115&lt;'Données projet'!$A$192,$EG$205^A115,IF(A115='Données projet'!$A$192,'Données projet'!$B$192,EJ114+EI115-ER114)))</f>
        <v>315.99999999999966</v>
      </c>
      <c r="EK115" s="17">
        <f>EJ115*VLOOKUP('Données projet'!$B$15,Paramètres!$A$1:$I$89,3,0)*VLOOKUP('Données projet'!$B$15,Paramètres!$A$1:$I$89,5,0)</f>
        <v>340.14239999999961</v>
      </c>
      <c r="EL115" s="13">
        <f t="shared" si="99"/>
        <v>79.529366446344909</v>
      </c>
      <c r="EM115" s="20">
        <f t="shared" si="73"/>
        <v>730.92832656071676</v>
      </c>
      <c r="EN115" s="59">
        <f t="shared" si="74"/>
        <v>1024.2616598940501</v>
      </c>
      <c r="EO115" s="59">
        <f ca="1">AVERAGE(OFFSET($EN$3,0,0,'Données projet'!$E$15+1,1))-AVERAGE(OFFSET($H$3,0,0,'Données projet'!$E$15+1,1))</f>
        <v>399.38728019348088</v>
      </c>
      <c r="EP115" s="59">
        <f t="shared" si="100"/>
        <v>289.54922160039791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0.56481602039619117</v>
      </c>
      <c r="EW115" s="21">
        <f>EXP(-LN(2)/25)*EW114+(1-EXP(-LN(2)/25))/(LN(2)/25)*Calculateur!ER115*Calculateur!ET115*VLOOKUP('Données projet'!$B$15,Paramètres!$A$1:$I$89,3,0)*0.475*44/12</f>
        <v>1.3818481120783579</v>
      </c>
      <c r="EX115" s="21">
        <f>EXP(-LN(2)/2)*EX114+(1-EXP(-LN(2)/2))/(LN(2)/2)*ER115*EU115*VLOOKUP('Données projet'!$B$15,Paramètres!$A$1:$I$89,3,0)*0.475*44/12</f>
        <v>1.1660194366455615E-11</v>
      </c>
      <c r="EY115" s="22">
        <f t="shared" si="75"/>
        <v>1.9466641324862093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</v>
      </c>
      <c r="N116" s="13">
        <f>IF('Données projet'!$A$36&gt;35,N115+M116-V115,IF(A116&lt;'Données projet'!$A$36,$K$205^A116,IF(A116='Données projet'!$A$36,'Données projet'!$B$36,N115+M116-V115)))</f>
        <v>320.49999999999966</v>
      </c>
      <c r="O116" s="13">
        <f>N116*VLOOKUP('Données projet'!$B$9,Paramètres!$A$1:$I$89,3,0)*VLOOKUP('Données projet'!$B$9,Paramètres!$A$1:$I$89,5,0)</f>
        <v>289.98839999999967</v>
      </c>
      <c r="P116" s="13">
        <f t="shared" si="87"/>
        <v>69.073519602481454</v>
      </c>
      <c r="Q116" s="20">
        <f t="shared" si="107"/>
        <v>625.36617664098787</v>
      </c>
      <c r="R116" s="59">
        <f t="shared" si="55"/>
        <v>918.69950997432124</v>
      </c>
      <c r="S116" s="59">
        <f ca="1">AVERAGE(OFFSET($R$3,0,0,'Données projet'!$E$9+1,1))-AVERAGE(OFFSET($H$3,0,0,'Données projet'!$E$9+1,1))</f>
        <v>318.40875902853116</v>
      </c>
      <c r="T116" s="59">
        <f t="shared" si="88"/>
        <v>234.87694492493506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0.46546287998432873</v>
      </c>
      <c r="AA116" s="21">
        <f>EXP(-LN(2)/25)*AA115+(1-EXP(-LN(2)/25))/(LN(2)/25)*Calculateur!V116*Calculateur!X116*VLOOKUP('Données projet'!$B$9,Paramètres!$A$1:$I$89,3,0)*0.475*44/12</f>
        <v>1.1297907443702859</v>
      </c>
      <c r="AB116" s="21">
        <f>EXP(-LN(2)/2)*AB115+(1-EXP(-LN(2)/2))/(LN(2)/2)*V116*Y116*VLOOKUP('Données projet'!$B$9,Paramètres!$A$1:$I$89,3,0)*0.475*44/12</f>
        <v>6.9305818170361009E-12</v>
      </c>
      <c r="AC116" s="22">
        <f t="shared" si="57"/>
        <v>1.5952536243615454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243.38048563215585</v>
      </c>
      <c r="AO116" s="59">
        <f t="shared" si="90"/>
        <v>372.1604147006675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1.4124390840903773</v>
      </c>
      <c r="AV116" s="21">
        <f>EXP(-LN(2)/25)*AV115+(1-EXP(-LN(2)/25))/(LN(2)/25)*Calculateur!AQ116*Calculateur!AS116*VLOOKUP('Données projet'!$B$10,Paramètres!$A$1:$I$89,3,0)*0.475*44/12</f>
        <v>1.9388322819858164</v>
      </c>
      <c r="AW116" s="21">
        <f>EXP(-LN(2)/2)*AW115+(1-EXP(-LN(2)/2))/(LN(2)/2)*AQ116*AT116*VLOOKUP('Données projet'!$B$10,Paramètres!$A$1:$I$89,3,0)*0.475*44/12</f>
        <v>9.426363389001562E-12</v>
      </c>
      <c r="AX116" s="21">
        <f t="shared" si="60"/>
        <v>3.3512713660856202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-5.1159076974727213E-13</v>
      </c>
      <c r="BE116" s="13">
        <f>BD116*VLOOKUP('Données projet'!$B$11,Paramètres!$A$1:$I$89,3,0)*VLOOKUP('Données projet'!$B$11,Paramètres!$A$1:$I$89,5,0)</f>
        <v>-3.4317508834647017E-13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207.93042467236967</v>
      </c>
      <c r="BJ116" s="59">
        <f t="shared" si="92"/>
        <v>250.70954318710835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0.5316709620510649</v>
      </c>
      <c r="BQ116" s="21">
        <f>EXP(-LN(2)/25)*BQ115+(1-EXP(-LN(2)/25))/(LN(2)/25)*Calculateur!BL116*Calculateur!BN116*VLOOKUP('Données projet'!$B$11,Paramètres!$A$1:$I$89,3,0)*0.475*44/12</f>
        <v>1.7323978741334705</v>
      </c>
      <c r="BR116" s="21">
        <f>EXP(-LN(2)/2)*BR115+(1-EXP(-LN(2)/2))/(LN(2)/2)*BL116*BO116*VLOOKUP('Données projet'!$B$11,Paramètres!$A$1:$I$89,3,0)*0.475*44/12</f>
        <v>6.5173414649160978E-12</v>
      </c>
      <c r="BS116" s="22">
        <f t="shared" si="63"/>
        <v>2.2640688361910528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1.7053025658242404E-13</v>
      </c>
      <c r="BZ116" s="13">
        <f>BY116*VLOOKUP('Données projet'!$B$12,Paramètres!$A$1:$I$89,3,0)*VLOOKUP('Données projet'!$B$12,Paramètres!$A$1:$I$89,5,0)</f>
        <v>1.3301360013429075E-13</v>
      </c>
      <c r="CA116" s="13">
        <f t="shared" si="93"/>
        <v>1.9329766731057041E-12</v>
      </c>
      <c r="CB116" s="20">
        <f t="shared" si="64"/>
        <v>3.5982663925596575E-12</v>
      </c>
      <c r="CC116" s="59">
        <f t="shared" si="65"/>
        <v>293.3333333333369</v>
      </c>
      <c r="CD116" s="59">
        <f ca="1">AVERAGE(OFFSET($CC$3,0,0,'Données projet'!$E$12+1,1))-AVERAGE(OFFSET($H$3,0,0,'Données projet'!$E$12+1,1))</f>
        <v>266.30229009596883</v>
      </c>
      <c r="CE116" s="59">
        <f t="shared" si="94"/>
        <v>270.19195828386046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0.27944969703492645</v>
      </c>
      <c r="CL116" s="21">
        <f>EXP(-LN(2)/25)*CL115+(1-EXP(-LN(2)/25))/(LN(2)/25)*Calculateur!CG116*Calculateur!CI116*VLOOKUP('Données projet'!$B$12,Paramètres!$A$1:$I$89,3,0)*0.475*44/12</f>
        <v>0.8381917091289709</v>
      </c>
      <c r="CM116" s="21">
        <f>EXP(-LN(2)/2)*CM115+(1-EXP(-LN(2)/2))/(LN(2)/2)*CG116*CJ116*VLOOKUP('Données projet'!$B$12,Paramètres!$A$1:$I$89,3,0)*0.475*44/12</f>
        <v>4.2031023126287932E-12</v>
      </c>
      <c r="CN116" s="22">
        <f t="shared" si="66"/>
        <v>1.1176414061681004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-5.1159076974727213E-13</v>
      </c>
      <c r="CU116" s="17">
        <f>CT116*VLOOKUP('Données projet'!$B$13,Paramètres!$A$1:$I$89,3,0)*VLOOKUP('Données projet'!$B$13,Paramètres!$A$1:$I$89,5,0)</f>
        <v>-4.0702161641092972E-13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260.20517190557814</v>
      </c>
      <c r="CZ116" s="59">
        <f t="shared" si="96"/>
        <v>307.22009971147133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0.63058648987451948</v>
      </c>
      <c r="DG116" s="21">
        <f>EXP(-LN(2)/25)*DG115+(1-EXP(-LN(2)/25))/(LN(2)/25)*Calculateur!DB116*Calculateur!DD116*VLOOKUP('Données projet'!$B$13,Paramètres!$A$1:$I$89,3,0)*0.475*44/12</f>
        <v>2.054704455367601</v>
      </c>
      <c r="DH116" s="21">
        <f>EXP(-LN(2)/2)*DH115+(1-EXP(-LN(2)/2))/(LN(2)/2)*DB116*DE116*VLOOKUP('Données projet'!$B$13,Paramètres!$A$1:$I$89,3,0)*0.475*44/12</f>
        <v>7.7298701095516513E-12</v>
      </c>
      <c r="DI116" s="22">
        <f t="shared" si="69"/>
        <v>2.6852909452498501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4.5</v>
      </c>
      <c r="DO116" s="12">
        <f>IF('Données projet'!$A$166&gt;35,DO115+DN116-DW115,IF(A116&lt;'Données projet'!$A$166,$DL$205^A116,IF(A116='Données projet'!$A$166,'Données projet'!$B$166,DO115+DN116-DW115)))</f>
        <v>320.49999999999966</v>
      </c>
      <c r="DP116" s="17">
        <f>DO116*VLOOKUP('Données projet'!$B$14,Paramètres!$A$1:$I$89,3,0)*VLOOKUP('Données projet'!$B$14,Paramètres!$A$1:$I$89,5,0)</f>
        <v>309.98759999999965</v>
      </c>
      <c r="DQ116" s="13">
        <f t="shared" si="97"/>
        <v>73.266240552218378</v>
      </c>
      <c r="DR116" s="20">
        <f t="shared" si="70"/>
        <v>667.50043896177965</v>
      </c>
      <c r="DS116" s="59">
        <f t="shared" si="71"/>
        <v>960.83377229511302</v>
      </c>
      <c r="DT116" s="59">
        <f ca="1">AVERAGE(OFFSET($DS$3,0,0,'Données projet'!$E$14+1,1))-AVERAGE(OFFSET($H$3,0,0,'Données projet'!$E$14+1,1))</f>
        <v>347.8889410585312</v>
      </c>
      <c r="DU116" s="59">
        <f t="shared" si="98"/>
        <v>254.78167322479203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0.49756376825911036</v>
      </c>
      <c r="EB116" s="21">
        <f>EXP(-LN(2)/25)*EB115+(1-EXP(-LN(2)/25))/(LN(2)/25)*Calculateur!DW116*Calculateur!DY116*VLOOKUP('Données projet'!$B$14,Paramètres!$A$1:$I$89,3,0)*0.475*44/12</f>
        <v>1.2077073474303057</v>
      </c>
      <c r="EC116" s="21">
        <f>EXP(-LN(2)/2)*EC115+(1-EXP(-LN(2)/2))/(LN(2)/2)*DW116*DZ116*VLOOKUP('Données projet'!$B$14,Paramètres!$A$1:$I$89,3,0)*0.475*44/12</f>
        <v>7.4085529768316599E-12</v>
      </c>
      <c r="ED116" s="22">
        <f t="shared" si="72"/>
        <v>1.7052711156968245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4.5</v>
      </c>
      <c r="EJ116" s="12">
        <f>IF('Données projet'!$A$192&gt;35,EJ115+EI116-ER115,IF(A116&lt;'Données projet'!$A$192,$EG$205^A116,IF(A116='Données projet'!$A$192,'Données projet'!$B$192,EJ115+EI116-ER115)))</f>
        <v>320.49999999999966</v>
      </c>
      <c r="EK116" s="17">
        <f>EJ116*VLOOKUP('Données projet'!$B$15,Paramètres!$A$1:$I$89,3,0)*VLOOKUP('Données projet'!$B$15,Paramètres!$A$1:$I$89,5,0)</f>
        <v>344.98619999999966</v>
      </c>
      <c r="EL116" s="13">
        <f t="shared" si="99"/>
        <v>80.529252393113296</v>
      </c>
      <c r="EM116" s="20">
        <f t="shared" si="73"/>
        <v>741.10607958467165</v>
      </c>
      <c r="EN116" s="59">
        <f t="shared" si="74"/>
        <v>1034.439412918005</v>
      </c>
      <c r="EO116" s="59">
        <f ca="1">AVERAGE(OFFSET($EN$3,0,0,'Données projet'!$E$15+1,1))-AVERAGE(OFFSET($H$3,0,0,'Données projet'!$E$15+1,1))</f>
        <v>399.38728019348088</v>
      </c>
      <c r="EP116" s="59">
        <f t="shared" si="100"/>
        <v>289.54922160039791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0.55374032273997742</v>
      </c>
      <c r="EW116" s="21">
        <f>EXP(-LN(2)/25)*EW115+(1-EXP(-LN(2)/25))/(LN(2)/25)*Calculateur!ER116*Calculateur!ET116*VLOOKUP('Données projet'!$B$15,Paramètres!$A$1:$I$89,3,0)*0.475*44/12</f>
        <v>1.3440614027853413</v>
      </c>
      <c r="EX116" s="21">
        <f>EXP(-LN(2)/2)*EX115+(1-EXP(-LN(2)/2))/(LN(2)/2)*ER116*EU116*VLOOKUP('Données projet'!$B$15,Paramètres!$A$1:$I$89,3,0)*0.475*44/12</f>
        <v>8.2450025064739448E-12</v>
      </c>
      <c r="EY116" s="22">
        <f t="shared" si="75"/>
        <v>1.8978017255335637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</v>
      </c>
      <c r="N117" s="13">
        <f>IF('Données projet'!$A$36&gt;35,N116+M117-V116,IF(A117&lt;'Données projet'!$A$36,$K$205^A117,IF(A117='Données projet'!$A$36,'Données projet'!$B$36,N116+M117-V116)))</f>
        <v>324.99999999999966</v>
      </c>
      <c r="O117" s="13">
        <f>N117*VLOOKUP('Données projet'!$B$9,Paramètres!$A$1:$I$89,3,0)*VLOOKUP('Données projet'!$B$9,Paramètres!$A$1:$I$89,5,0)</f>
        <v>294.05999999999972</v>
      </c>
      <c r="P117" s="13">
        <f t="shared" si="87"/>
        <v>69.929765653573313</v>
      </c>
      <c r="Q117" s="20">
        <f t="shared" si="107"/>
        <v>633.94884184663977</v>
      </c>
      <c r="R117" s="59">
        <f t="shared" si="55"/>
        <v>927.28217517997314</v>
      </c>
      <c r="S117" s="59">
        <f ca="1">AVERAGE(OFFSET($R$3,0,0,'Données projet'!$E$9+1,1))-AVERAGE(OFFSET($H$3,0,0,'Données projet'!$E$9+1,1))</f>
        <v>318.40875902853116</v>
      </c>
      <c r="T117" s="59">
        <f t="shared" si="88"/>
        <v>234.87694492493506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0.4563354368121596</v>
      </c>
      <c r="AA117" s="21">
        <f>EXP(-LN(2)/25)*AA116+(1-EXP(-LN(2)/25))/(LN(2)/25)*Calculateur!V117*Calculateur!X117*VLOOKUP('Données projet'!$B$9,Paramètres!$A$1:$I$89,3,0)*0.475*44/12</f>
        <v>1.0988965570523674</v>
      </c>
      <c r="AB117" s="21">
        <f>EXP(-LN(2)/2)*AB116+(1-EXP(-LN(2)/2))/(LN(2)/2)*V117*Y117*VLOOKUP('Données projet'!$B$9,Paramètres!$A$1:$I$89,3,0)*0.475*44/12</f>
        <v>4.9006614003944111E-12</v>
      </c>
      <c r="AC117" s="22">
        <f t="shared" si="57"/>
        <v>1.5552319938694279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243.38048563215585</v>
      </c>
      <c r="AO117" s="59">
        <f t="shared" si="90"/>
        <v>372.1604147006675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1.3847420151541401</v>
      </c>
      <c r="AV117" s="21">
        <f>EXP(-LN(2)/25)*AV116+(1-EXP(-LN(2)/25))/(LN(2)/25)*Calculateur!AQ117*Calculateur!AS117*VLOOKUP('Données projet'!$B$10,Paramètres!$A$1:$I$89,3,0)*0.475*44/12</f>
        <v>1.8858148112761557</v>
      </c>
      <c r="AW117" s="21">
        <f>EXP(-LN(2)/2)*AW116+(1-EXP(-LN(2)/2))/(LN(2)/2)*AQ117*AT117*VLOOKUP('Données projet'!$B$10,Paramètres!$A$1:$I$89,3,0)*0.475*44/12</f>
        <v>6.6654454742916101E-12</v>
      </c>
      <c r="AX117" s="21">
        <f t="shared" si="60"/>
        <v>3.2705568264369611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-5.1159076974727213E-13</v>
      </c>
      <c r="BE117" s="13">
        <f>BD117*VLOOKUP('Données projet'!$B$11,Paramètres!$A$1:$I$89,3,0)*VLOOKUP('Données projet'!$B$11,Paramètres!$A$1:$I$89,5,0)</f>
        <v>-3.4317508834647017E-13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207.93042467236967</v>
      </c>
      <c r="BJ117" s="59">
        <f t="shared" si="92"/>
        <v>250.70954318710835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0.52124521877250962</v>
      </c>
      <c r="BQ117" s="21">
        <f>EXP(-LN(2)/25)*BQ116+(1-EXP(-LN(2)/25))/(LN(2)/25)*Calculateur!BL117*Calculateur!BN117*VLOOKUP('Données projet'!$B$11,Paramètres!$A$1:$I$89,3,0)*0.475*44/12</f>
        <v>1.6850253631624459</v>
      </c>
      <c r="BR117" s="21">
        <f>EXP(-LN(2)/2)*BR116+(1-EXP(-LN(2)/2))/(LN(2)/2)*BL117*BO117*VLOOKUP('Données projet'!$B$11,Paramètres!$A$1:$I$89,3,0)*0.475*44/12</f>
        <v>4.6084563451504402E-12</v>
      </c>
      <c r="BS117" s="22">
        <f t="shared" si="63"/>
        <v>2.2062705819395636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1.7053025658242404E-13</v>
      </c>
      <c r="BZ117" s="13">
        <f>BY117*VLOOKUP('Données projet'!$B$12,Paramètres!$A$1:$I$89,3,0)*VLOOKUP('Données projet'!$B$12,Paramètres!$A$1:$I$89,5,0)</f>
        <v>1.3301360013429075E-13</v>
      </c>
      <c r="CA117" s="13">
        <f t="shared" si="93"/>
        <v>1.9329766731057041E-12</v>
      </c>
      <c r="CB117" s="20">
        <f t="shared" si="64"/>
        <v>3.5982663925596575E-12</v>
      </c>
      <c r="CC117" s="59">
        <f t="shared" si="65"/>
        <v>293.3333333333369</v>
      </c>
      <c r="CD117" s="59">
        <f ca="1">AVERAGE(OFFSET($CC$3,0,0,'Données projet'!$E$12+1,1))-AVERAGE(OFFSET($H$3,0,0,'Données projet'!$E$12+1,1))</f>
        <v>266.30229009596883</v>
      </c>
      <c r="CE117" s="59">
        <f t="shared" si="94"/>
        <v>270.19195828386046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0.27396985892355646</v>
      </c>
      <c r="CL117" s="21">
        <f>EXP(-LN(2)/25)*CL116+(1-EXP(-LN(2)/25))/(LN(2)/25)*Calculateur!CG117*Calculateur!CI117*VLOOKUP('Données projet'!$B$12,Paramètres!$A$1:$I$89,3,0)*0.475*44/12</f>
        <v>0.81527131276425291</v>
      </c>
      <c r="CM117" s="21">
        <f>EXP(-LN(2)/2)*CM116+(1-EXP(-LN(2)/2))/(LN(2)/2)*CG117*CJ117*VLOOKUP('Données projet'!$B$12,Paramètres!$A$1:$I$89,3,0)*0.475*44/12</f>
        <v>2.97204214728068E-12</v>
      </c>
      <c r="CN117" s="22">
        <f t="shared" si="66"/>
        <v>1.0892411716907815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-5.1159076974727213E-13</v>
      </c>
      <c r="CU117" s="17">
        <f>CT117*VLOOKUP('Données projet'!$B$13,Paramètres!$A$1:$I$89,3,0)*VLOOKUP('Données projet'!$B$13,Paramètres!$A$1:$I$89,5,0)</f>
        <v>-4.0702161641092972E-13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260.20517190557814</v>
      </c>
      <c r="CZ117" s="59">
        <f t="shared" si="96"/>
        <v>307.22009971147133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0.61822107342786092</v>
      </c>
      <c r="DG117" s="21">
        <f>EXP(-LN(2)/25)*DG116+(1-EXP(-LN(2)/25))/(LN(2)/25)*Calculateur!DB117*Calculateur!DD117*VLOOKUP('Données projet'!$B$13,Paramètres!$A$1:$I$89,3,0)*0.475*44/12</f>
        <v>1.9985184539833627</v>
      </c>
      <c r="DH117" s="21">
        <f>EXP(-LN(2)/2)*DH116+(1-EXP(-LN(2)/2))/(LN(2)/2)*DB117*DE117*VLOOKUP('Données projet'!$B$13,Paramètres!$A$1:$I$89,3,0)*0.475*44/12</f>
        <v>5.4658435721551737E-12</v>
      </c>
      <c r="DI117" s="22">
        <f t="shared" si="69"/>
        <v>2.6167395274166894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4.5</v>
      </c>
      <c r="DO117" s="12">
        <f>IF('Données projet'!$A$166&gt;35,DO116+DN117-DW116,IF(A117&lt;'Données projet'!$A$166,$DL$205^A117,IF(A117='Données projet'!$A$166,'Données projet'!$B$166,DO116+DN117-DW116)))</f>
        <v>324.99999999999966</v>
      </c>
      <c r="DP117" s="17">
        <f>DO117*VLOOKUP('Données projet'!$B$14,Paramètres!$A$1:$I$89,3,0)*VLOOKUP('Données projet'!$B$14,Paramètres!$A$1:$I$89,5,0)</f>
        <v>314.33999999999969</v>
      </c>
      <c r="DQ117" s="13">
        <f t="shared" si="97"/>
        <v>74.174460221814144</v>
      </c>
      <c r="DR117" s="20">
        <f t="shared" si="70"/>
        <v>676.66268488632568</v>
      </c>
      <c r="DS117" s="59">
        <f t="shared" si="71"/>
        <v>969.99601821965894</v>
      </c>
      <c r="DT117" s="59">
        <f ca="1">AVERAGE(OFFSET($DS$3,0,0,'Données projet'!$E$14+1,1))-AVERAGE(OFFSET($H$3,0,0,'Données projet'!$E$14+1,1))</f>
        <v>347.8889410585312</v>
      </c>
      <c r="DU117" s="59">
        <f t="shared" si="98"/>
        <v>254.78167322479203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0.48780684624748127</v>
      </c>
      <c r="EB117" s="21">
        <f>EXP(-LN(2)/25)*EB116+(1-EXP(-LN(2)/25))/(LN(2)/25)*Calculateur!DW117*Calculateur!DY117*VLOOKUP('Données projet'!$B$14,Paramètres!$A$1:$I$89,3,0)*0.475*44/12</f>
        <v>1.1746825265042549</v>
      </c>
      <c r="EC117" s="21">
        <f>EXP(-LN(2)/2)*EC116+(1-EXP(-LN(2)/2))/(LN(2)/2)*DW117*DZ117*VLOOKUP('Données projet'!$B$14,Paramètres!$A$1:$I$89,3,0)*0.475*44/12</f>
        <v>5.2386380486974499E-12</v>
      </c>
      <c r="ED117" s="22">
        <f t="shared" si="72"/>
        <v>1.6624893727569747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4.5</v>
      </c>
      <c r="EJ117" s="12">
        <f>IF('Données projet'!$A$192&gt;35,EJ116+EI117-ER116,IF(A117&lt;'Données projet'!$A$192,$EG$205^A117,IF(A117='Données projet'!$A$192,'Données projet'!$B$192,EJ116+EI117-ER116)))</f>
        <v>324.99999999999966</v>
      </c>
      <c r="EK117" s="17">
        <f>EJ117*VLOOKUP('Données projet'!$B$15,Paramètres!$A$1:$I$89,3,0)*VLOOKUP('Données projet'!$B$15,Paramètres!$A$1:$I$89,5,0)</f>
        <v>349.82999999999959</v>
      </c>
      <c r="EL117" s="13">
        <f t="shared" si="99"/>
        <v>81.527505482803846</v>
      </c>
      <c r="EM117" s="20">
        <f t="shared" si="73"/>
        <v>751.2809887158827</v>
      </c>
      <c r="EN117" s="59">
        <f t="shared" si="74"/>
        <v>1044.6143220492161</v>
      </c>
      <c r="EO117" s="59">
        <f ca="1">AVERAGE(OFFSET($EN$3,0,0,'Données projet'!$E$15+1,1))-AVERAGE(OFFSET($H$3,0,0,'Données projet'!$E$15+1,1))</f>
        <v>399.38728019348088</v>
      </c>
      <c r="EP117" s="59">
        <f t="shared" si="100"/>
        <v>289.54922160039791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0.54288181275929348</v>
      </c>
      <c r="EW117" s="21">
        <f>EXP(-LN(2)/25)*EW116+(1-EXP(-LN(2)/25))/(LN(2)/25)*Calculateur!ER117*Calculateur!ET117*VLOOKUP('Données projet'!$B$15,Paramètres!$A$1:$I$89,3,0)*0.475*44/12</f>
        <v>1.3073079730450587</v>
      </c>
      <c r="EX117" s="21">
        <f>EXP(-LN(2)/2)*EX116+(1-EXP(-LN(2)/2))/(LN(2)/2)*ER117*EU117*VLOOKUP('Données projet'!$B$15,Paramètres!$A$1:$I$89,3,0)*0.475*44/12</f>
        <v>5.8300971832278076E-12</v>
      </c>
      <c r="EY117" s="22">
        <f t="shared" si="75"/>
        <v>1.8501897858101821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</v>
      </c>
      <c r="N118" s="13">
        <f>IF('Données projet'!$A$36&gt;35,N117+M118-V117,IF(A118&lt;'Données projet'!$A$36,$K$205^A118,IF(A118='Données projet'!$A$36,'Données projet'!$B$36,N117+M118-V117)))</f>
        <v>329.49999999999966</v>
      </c>
      <c r="O118" s="13">
        <f>N118*VLOOKUP('Données projet'!$B$9,Paramètres!$A$1:$I$89,3,0)*VLOOKUP('Données projet'!$B$9,Paramètres!$A$1:$I$89,5,0)</f>
        <v>298.13159999999965</v>
      </c>
      <c r="P118" s="13">
        <f t="shared" si="87"/>
        <v>70.784632764375971</v>
      </c>
      <c r="Q118" s="20">
        <f t="shared" si="107"/>
        <v>642.52910539795425</v>
      </c>
      <c r="R118" s="59">
        <f t="shared" si="55"/>
        <v>935.86243873128751</v>
      </c>
      <c r="S118" s="59">
        <f ca="1">AVERAGE(OFFSET($R$3,0,0,'Données projet'!$E$9+1,1))-AVERAGE(OFFSET($H$3,0,0,'Données projet'!$E$9+1,1))</f>
        <v>318.40875902853116</v>
      </c>
      <c r="T118" s="59">
        <f t="shared" si="88"/>
        <v>234.87694492493506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0.44738697723340609</v>
      </c>
      <c r="AA118" s="21">
        <f>EXP(-LN(2)/25)*AA117+(1-EXP(-LN(2)/25))/(LN(2)/25)*Calculateur!V118*Calculateur!X118*VLOOKUP('Données projet'!$B$9,Paramètres!$A$1:$I$89,3,0)*0.475*44/12</f>
        <v>1.068847172911312</v>
      </c>
      <c r="AB118" s="21">
        <f>EXP(-LN(2)/2)*AB117+(1-EXP(-LN(2)/2))/(LN(2)/2)*V118*Y118*VLOOKUP('Données projet'!$B$9,Paramètres!$A$1:$I$89,3,0)*0.475*44/12</f>
        <v>3.4652909085180505E-12</v>
      </c>
      <c r="AC118" s="22">
        <f t="shared" si="57"/>
        <v>1.5162341501481833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243.38048563215585</v>
      </c>
      <c r="AO118" s="59">
        <f t="shared" si="90"/>
        <v>372.1604147006675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1.3575880688461983</v>
      </c>
      <c r="AV118" s="21">
        <f>EXP(-LN(2)/25)*AV117+(1-EXP(-LN(2)/25))/(LN(2)/25)*Calculateur!AQ118*Calculateur!AS118*VLOOKUP('Données projet'!$B$10,Paramètres!$A$1:$I$89,3,0)*0.475*44/12</f>
        <v>1.8342471060911183</v>
      </c>
      <c r="AW118" s="21">
        <f>EXP(-LN(2)/2)*AW117+(1-EXP(-LN(2)/2))/(LN(2)/2)*AQ118*AT118*VLOOKUP('Données projet'!$B$10,Paramètres!$A$1:$I$89,3,0)*0.475*44/12</f>
        <v>4.713181694500781E-12</v>
      </c>
      <c r="AX118" s="21">
        <f t="shared" si="60"/>
        <v>3.1918351749420295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-5.1159076974727213E-13</v>
      </c>
      <c r="BE118" s="13">
        <f>BD118*VLOOKUP('Données projet'!$B$11,Paramètres!$A$1:$I$89,3,0)*VLOOKUP('Données projet'!$B$11,Paramètres!$A$1:$I$89,5,0)</f>
        <v>-3.4317508834647017E-13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207.93042467236967</v>
      </c>
      <c r="BJ118" s="59">
        <f t="shared" si="92"/>
        <v>250.70954318710835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0.51102391796057134</v>
      </c>
      <c r="BQ118" s="21">
        <f>EXP(-LN(2)/25)*BQ117+(1-EXP(-LN(2)/25))/(LN(2)/25)*Calculateur!BL118*Calculateur!BN118*VLOOKUP('Données projet'!$B$11,Paramètres!$A$1:$I$89,3,0)*0.475*44/12</f>
        <v>1.638948255995136</v>
      </c>
      <c r="BR118" s="21">
        <f>EXP(-LN(2)/2)*BR117+(1-EXP(-LN(2)/2))/(LN(2)/2)*BL118*BO118*VLOOKUP('Données projet'!$B$11,Paramètres!$A$1:$I$89,3,0)*0.475*44/12</f>
        <v>3.2586707324580489E-12</v>
      </c>
      <c r="BS118" s="22">
        <f t="shared" si="63"/>
        <v>2.1499721739589663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1.7053025658242404E-13</v>
      </c>
      <c r="BZ118" s="13">
        <f>BY118*VLOOKUP('Données projet'!$B$12,Paramètres!$A$1:$I$89,3,0)*VLOOKUP('Données projet'!$B$12,Paramètres!$A$1:$I$89,5,0)</f>
        <v>1.3301360013429075E-13</v>
      </c>
      <c r="CA118" s="13">
        <f t="shared" si="93"/>
        <v>1.9329766731057041E-12</v>
      </c>
      <c r="CB118" s="20">
        <f t="shared" si="64"/>
        <v>3.5982663925596575E-12</v>
      </c>
      <c r="CC118" s="59">
        <f t="shared" si="65"/>
        <v>293.3333333333369</v>
      </c>
      <c r="CD118" s="59">
        <f ca="1">AVERAGE(OFFSET($CC$3,0,0,'Données projet'!$E$12+1,1))-AVERAGE(OFFSET($H$3,0,0,'Données projet'!$E$12+1,1))</f>
        <v>266.30229009596883</v>
      </c>
      <c r="CE118" s="59">
        <f t="shared" si="94"/>
        <v>270.19195828386046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0.26859747709517923</v>
      </c>
      <c r="CL118" s="21">
        <f>EXP(-LN(2)/25)*CL117+(1-EXP(-LN(2)/25))/(LN(2)/25)*Calculateur!CG118*Calculateur!CI118*VLOOKUP('Données projet'!$B$12,Paramètres!$A$1:$I$89,3,0)*0.475*44/12</f>
        <v>0.79297767584345935</v>
      </c>
      <c r="CM118" s="21">
        <f>EXP(-LN(2)/2)*CM117+(1-EXP(-LN(2)/2))/(LN(2)/2)*CG118*CJ118*VLOOKUP('Données projet'!$B$12,Paramètres!$A$1:$I$89,3,0)*0.475*44/12</f>
        <v>2.1015511563143966E-12</v>
      </c>
      <c r="CN118" s="22">
        <f t="shared" si="66"/>
        <v>1.0615751529407402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-5.1159076974727213E-13</v>
      </c>
      <c r="CU118" s="17">
        <f>CT118*VLOOKUP('Données projet'!$B$13,Paramètres!$A$1:$I$89,3,0)*VLOOKUP('Données projet'!$B$13,Paramètres!$A$1:$I$89,5,0)</f>
        <v>-4.0702161641092972E-13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260.20517190557814</v>
      </c>
      <c r="CZ118" s="59">
        <f t="shared" si="96"/>
        <v>307.22009971147133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0.606098135255562</v>
      </c>
      <c r="DG118" s="21">
        <f>EXP(-LN(2)/25)*DG117+(1-EXP(-LN(2)/25))/(LN(2)/25)*Calculateur!DB118*Calculateur!DD118*VLOOKUP('Données projet'!$B$13,Paramètres!$A$1:$I$89,3,0)*0.475*44/12</f>
        <v>1.9438688617616697</v>
      </c>
      <c r="DH118" s="21">
        <f>EXP(-LN(2)/2)*DH117+(1-EXP(-LN(2)/2))/(LN(2)/2)*DB118*DE118*VLOOKUP('Données projet'!$B$13,Paramètres!$A$1:$I$89,3,0)*0.475*44/12</f>
        <v>3.8649350547758257E-12</v>
      </c>
      <c r="DI118" s="22">
        <f t="shared" si="69"/>
        <v>2.5499669970210967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4.5</v>
      </c>
      <c r="DO118" s="12">
        <f>IF('Données projet'!$A$166&gt;35,DO117+DN118-DW117,IF(A118&lt;'Données projet'!$A$166,$DL$205^A118,IF(A118='Données projet'!$A$166,'Données projet'!$B$166,DO117+DN118-DW117)))</f>
        <v>329.49999999999966</v>
      </c>
      <c r="DP118" s="17">
        <f>DO118*VLOOKUP('Données projet'!$B$14,Paramètres!$A$1:$I$89,3,0)*VLOOKUP('Données projet'!$B$14,Paramètres!$A$1:$I$89,5,0)</f>
        <v>318.69239999999968</v>
      </c>
      <c r="DQ118" s="13">
        <f t="shared" si="97"/>
        <v>75.081217250277518</v>
      </c>
      <c r="DR118" s="20">
        <f t="shared" si="70"/>
        <v>685.8223833775661</v>
      </c>
      <c r="DS118" s="59">
        <f t="shared" si="71"/>
        <v>979.15571671089947</v>
      </c>
      <c r="DT118" s="59">
        <f ca="1">AVERAGE(OFFSET($DS$3,0,0,'Données projet'!$E$14+1,1))-AVERAGE(OFFSET($H$3,0,0,'Données projet'!$E$14+1,1))</f>
        <v>347.8889410585312</v>
      </c>
      <c r="DU118" s="59">
        <f t="shared" si="98"/>
        <v>254.78167322479203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0.47824125152536545</v>
      </c>
      <c r="EB118" s="21">
        <f>EXP(-LN(2)/25)*EB117+(1-EXP(-LN(2)/25))/(LN(2)/25)*Calculateur!DW118*Calculateur!DY118*VLOOKUP('Données projet'!$B$14,Paramètres!$A$1:$I$89,3,0)*0.475*44/12</f>
        <v>1.1425607710431267</v>
      </c>
      <c r="EC118" s="21">
        <f>EXP(-LN(2)/2)*EC117+(1-EXP(-LN(2)/2))/(LN(2)/2)*DW118*DZ118*VLOOKUP('Données projet'!$B$14,Paramètres!$A$1:$I$89,3,0)*0.475*44/12</f>
        <v>3.7042764884158299E-12</v>
      </c>
      <c r="ED118" s="22">
        <f t="shared" si="72"/>
        <v>1.6208020225721966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4.5</v>
      </c>
      <c r="EJ118" s="12">
        <f>IF('Données projet'!$A$192&gt;35,EJ117+EI118-ER117,IF(A118&lt;'Données projet'!$A$192,$EG$205^A118,IF(A118='Données projet'!$A$192,'Données projet'!$B$192,EJ117+EI118-ER117)))</f>
        <v>329.49999999999966</v>
      </c>
      <c r="EK118" s="17">
        <f>EJ118*VLOOKUP('Données projet'!$B$15,Paramètres!$A$1:$I$89,3,0)*VLOOKUP('Données projet'!$B$15,Paramètres!$A$1:$I$89,5,0)</f>
        <v>354.67379999999957</v>
      </c>
      <c r="EL118" s="13">
        <f t="shared" si="99"/>
        <v>82.524150937162958</v>
      </c>
      <c r="EM118" s="20">
        <f t="shared" si="73"/>
        <v>761.45309788222482</v>
      </c>
      <c r="EN118" s="59">
        <f t="shared" si="74"/>
        <v>1054.7864312155582</v>
      </c>
      <c r="EO118" s="59">
        <f ca="1">AVERAGE(OFFSET($EN$3,0,0,'Données projet'!$E$15+1,1))-AVERAGE(OFFSET($H$3,0,0,'Données projet'!$E$15+1,1))</f>
        <v>399.38728019348088</v>
      </c>
      <c r="EP118" s="59">
        <f t="shared" si="100"/>
        <v>289.54922160039791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0.53223623153629362</v>
      </c>
      <c r="EW118" s="21">
        <f>EXP(-LN(2)/25)*EW117+(1-EXP(-LN(2)/25))/(LN(2)/25)*Calculateur!ER118*Calculateur!ET118*VLOOKUP('Données projet'!$B$15,Paramètres!$A$1:$I$89,3,0)*0.475*44/12</f>
        <v>1.2715595677738032</v>
      </c>
      <c r="EX118" s="21">
        <f>EXP(-LN(2)/2)*EX117+(1-EXP(-LN(2)/2))/(LN(2)/2)*ER118*EU118*VLOOKUP('Données projet'!$B$15,Paramètres!$A$1:$I$89,3,0)*0.475*44/12</f>
        <v>4.1225012532369724E-12</v>
      </c>
      <c r="EY118" s="22">
        <f t="shared" si="75"/>
        <v>1.8037957993142193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</v>
      </c>
      <c r="N119" s="13">
        <f>IF('Données projet'!$A$36&gt;35,N118+M119-V118,IF(A119&lt;'Données projet'!$A$36,$K$205^A119,IF(A119='Données projet'!$A$36,'Données projet'!$B$36,N118+M119-V118)))</f>
        <v>333.99999999999966</v>
      </c>
      <c r="O119" s="13">
        <f>N119*VLOOKUP('Données projet'!$B$9,Paramètres!$A$1:$I$89,3,0)*VLOOKUP('Données projet'!$B$9,Paramètres!$A$1:$I$89,5,0)</f>
        <v>302.2031999999997</v>
      </c>
      <c r="P119" s="13">
        <f t="shared" si="87"/>
        <v>71.638141943842228</v>
      </c>
      <c r="Q119" s="20">
        <f t="shared" si="107"/>
        <v>651.1070038855247</v>
      </c>
      <c r="R119" s="59">
        <f t="shared" si="55"/>
        <v>944.44033721885808</v>
      </c>
      <c r="S119" s="59">
        <f ca="1">AVERAGE(OFFSET($R$3,0,0,'Données projet'!$E$9+1,1))-AVERAGE(OFFSET($H$3,0,0,'Données projet'!$E$9+1,1))</f>
        <v>318.40875902853116</v>
      </c>
      <c r="T119" s="59">
        <f t="shared" si="88"/>
        <v>234.87694492493506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0.43861399148897051</v>
      </c>
      <c r="AA119" s="21">
        <f>EXP(-LN(2)/25)*AA118+(1-EXP(-LN(2)/25))/(LN(2)/25)*Calculateur!V119*Calculateur!X119*VLOOKUP('Données projet'!$B$9,Paramètres!$A$1:$I$89,3,0)*0.475*44/12</f>
        <v>1.0396194907598222</v>
      </c>
      <c r="AB119" s="21">
        <f>EXP(-LN(2)/2)*AB118+(1-EXP(-LN(2)/2))/(LN(2)/2)*V119*Y119*VLOOKUP('Données projet'!$B$9,Paramètres!$A$1:$I$89,3,0)*0.475*44/12</f>
        <v>2.4503307001972056E-12</v>
      </c>
      <c r="AC119" s="22">
        <f t="shared" si="57"/>
        <v>1.4782334822512431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243.38048563215585</v>
      </c>
      <c r="AO119" s="59">
        <f t="shared" si="90"/>
        <v>372.1604147006675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1.3309665948630836</v>
      </c>
      <c r="AV119" s="21">
        <f>EXP(-LN(2)/25)*AV118+(1-EXP(-LN(2)/25))/(LN(2)/25)*Calculateur!AQ119*Calculateur!AS119*VLOOKUP('Données projet'!$B$10,Paramètres!$A$1:$I$89,3,0)*0.475*44/12</f>
        <v>1.7840895225161937</v>
      </c>
      <c r="AW119" s="21">
        <f>EXP(-LN(2)/2)*AW118+(1-EXP(-LN(2)/2))/(LN(2)/2)*AQ119*AT119*VLOOKUP('Données projet'!$B$10,Paramètres!$A$1:$I$89,3,0)*0.475*44/12</f>
        <v>3.3327227371458051E-12</v>
      </c>
      <c r="AX119" s="21">
        <f t="shared" si="60"/>
        <v>3.1150561173826099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-5.1159076974727213E-13</v>
      </c>
      <c r="BE119" s="13">
        <f>BD119*VLOOKUP('Données projet'!$B$11,Paramètres!$A$1:$I$89,3,0)*VLOOKUP('Données projet'!$B$11,Paramètres!$A$1:$I$89,5,0)</f>
        <v>-3.4317508834647017E-13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207.93042467236967</v>
      </c>
      <c r="BJ119" s="59">
        <f t="shared" si="92"/>
        <v>250.70954318710835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0.50100305062317729</v>
      </c>
      <c r="BQ119" s="21">
        <f>EXP(-LN(2)/25)*BQ118+(1-EXP(-LN(2)/25))/(LN(2)/25)*Calculateur!BL119*Calculateur!BN119*VLOOKUP('Données projet'!$B$11,Paramètres!$A$1:$I$89,3,0)*0.475*44/12</f>
        <v>1.594131129746406</v>
      </c>
      <c r="BR119" s="21">
        <f>EXP(-LN(2)/2)*BR118+(1-EXP(-LN(2)/2))/(LN(2)/2)*BL119*BO119*VLOOKUP('Données projet'!$B$11,Paramètres!$A$1:$I$89,3,0)*0.475*44/12</f>
        <v>2.3042281725752201E-12</v>
      </c>
      <c r="BS119" s="22">
        <f t="shared" si="63"/>
        <v>2.0951341803718875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1.7053025658242404E-13</v>
      </c>
      <c r="BZ119" s="13">
        <f>BY119*VLOOKUP('Données projet'!$B$12,Paramètres!$A$1:$I$89,3,0)*VLOOKUP('Données projet'!$B$12,Paramètres!$A$1:$I$89,5,0)</f>
        <v>1.3301360013429075E-13</v>
      </c>
      <c r="CA119" s="13">
        <f t="shared" si="93"/>
        <v>1.9329766731057041E-12</v>
      </c>
      <c r="CB119" s="20">
        <f t="shared" si="64"/>
        <v>3.5982663925596575E-12</v>
      </c>
      <c r="CC119" s="59">
        <f t="shared" si="65"/>
        <v>293.3333333333369</v>
      </c>
      <c r="CD119" s="59">
        <f ca="1">AVERAGE(OFFSET($CC$3,0,0,'Données projet'!$E$12+1,1))-AVERAGE(OFFSET($H$3,0,0,'Données projet'!$E$12+1,1))</f>
        <v>266.30229009596883</v>
      </c>
      <c r="CE119" s="59">
        <f t="shared" si="94"/>
        <v>270.19195828386046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0.26333044439762709</v>
      </c>
      <c r="CL119" s="21">
        <f>EXP(-LN(2)/25)*CL118+(1-EXP(-LN(2)/25))/(LN(2)/25)*Calculateur!CG119*Calculateur!CI119*VLOOKUP('Données projet'!$B$12,Paramètres!$A$1:$I$89,3,0)*0.475*44/12</f>
        <v>0.77129365959663632</v>
      </c>
      <c r="CM119" s="21">
        <f>EXP(-LN(2)/2)*CM118+(1-EXP(-LN(2)/2))/(LN(2)/2)*CG119*CJ119*VLOOKUP('Données projet'!$B$12,Paramètres!$A$1:$I$89,3,0)*0.475*44/12</f>
        <v>1.48602107364034E-12</v>
      </c>
      <c r="CN119" s="22">
        <f t="shared" si="66"/>
        <v>1.0346241039957493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-5.1159076974727213E-13</v>
      </c>
      <c r="CU119" s="17">
        <f>CT119*VLOOKUP('Données projet'!$B$13,Paramètres!$A$1:$I$89,3,0)*VLOOKUP('Données projet'!$B$13,Paramètres!$A$1:$I$89,5,0)</f>
        <v>-4.0702161641092972E-13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260.20517190557814</v>
      </c>
      <c r="CZ119" s="59">
        <f t="shared" si="96"/>
        <v>307.22009971147133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0.59421292050655972</v>
      </c>
      <c r="DG119" s="21">
        <f>EXP(-LN(2)/25)*DG118+(1-EXP(-LN(2)/25))/(LN(2)/25)*Calculateur!DB119*Calculateur!DD119*VLOOKUP('Données projet'!$B$13,Paramètres!$A$1:$I$89,3,0)*0.475*44/12</f>
        <v>1.8907136655131762</v>
      </c>
      <c r="DH119" s="21">
        <f>EXP(-LN(2)/2)*DH118+(1-EXP(-LN(2)/2))/(LN(2)/2)*DB119*DE119*VLOOKUP('Données projet'!$B$13,Paramètres!$A$1:$I$89,3,0)*0.475*44/12</f>
        <v>2.7329217860775869E-12</v>
      </c>
      <c r="DI119" s="22">
        <f t="shared" si="69"/>
        <v>2.484926586022469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4.5</v>
      </c>
      <c r="DO119" s="12">
        <f>IF('Données projet'!$A$166&gt;35,DO118+DN119-DW118,IF(A119&lt;'Données projet'!$A$166,$DL$205^A119,IF(A119='Données projet'!$A$166,'Données projet'!$B$166,DO118+DN119-DW118)))</f>
        <v>333.99999999999966</v>
      </c>
      <c r="DP119" s="17">
        <f>DO119*VLOOKUP('Données projet'!$B$14,Paramètres!$A$1:$I$89,3,0)*VLOOKUP('Données projet'!$B$14,Paramètres!$A$1:$I$89,5,0)</f>
        <v>323.04479999999967</v>
      </c>
      <c r="DQ119" s="13">
        <f t="shared" si="97"/>
        <v>75.986533921791761</v>
      </c>
      <c r="DR119" s="20">
        <f t="shared" si="70"/>
        <v>694.97957324712013</v>
      </c>
      <c r="DS119" s="59">
        <f t="shared" si="71"/>
        <v>988.3129065804535</v>
      </c>
      <c r="DT119" s="59">
        <f ca="1">AVERAGE(OFFSET($DS$3,0,0,'Données projet'!$E$14+1,1))-AVERAGE(OFFSET($H$3,0,0,'Données projet'!$E$14+1,1))</f>
        <v>347.8889410585312</v>
      </c>
      <c r="DU119" s="59">
        <f t="shared" si="98"/>
        <v>254.78167322479203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0.46886323228131366</v>
      </c>
      <c r="EB119" s="21">
        <f>EXP(-LN(2)/25)*EB118+(1-EXP(-LN(2)/25))/(LN(2)/25)*Calculateur!DW119*Calculateur!DY119*VLOOKUP('Données projet'!$B$14,Paramètres!$A$1:$I$89,3,0)*0.475*44/12</f>
        <v>1.1113173866742929</v>
      </c>
      <c r="EC119" s="21">
        <f>EXP(-LN(2)/2)*EC118+(1-EXP(-LN(2)/2))/(LN(2)/2)*DW119*DZ119*VLOOKUP('Données projet'!$B$14,Paramètres!$A$1:$I$89,3,0)*0.475*44/12</f>
        <v>2.619319024348725E-12</v>
      </c>
      <c r="ED119" s="22">
        <f t="shared" si="72"/>
        <v>1.5801806189582259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4.5</v>
      </c>
      <c r="EJ119" s="12">
        <f>IF('Données projet'!$A$192&gt;35,EJ118+EI119-ER118,IF(A119&lt;'Données projet'!$A$192,$EG$205^A119,IF(A119='Données projet'!$A$192,'Données projet'!$B$192,EJ118+EI119-ER118)))</f>
        <v>333.99999999999966</v>
      </c>
      <c r="EK119" s="17">
        <f>EJ119*VLOOKUP('Données projet'!$B$15,Paramètres!$A$1:$I$89,3,0)*VLOOKUP('Données projet'!$B$15,Paramètres!$A$1:$I$89,5,0)</f>
        <v>359.51759999999962</v>
      </c>
      <c r="EL119" s="13">
        <f t="shared" si="99"/>
        <v>83.519213249444618</v>
      </c>
      <c r="EM119" s="20">
        <f t="shared" si="73"/>
        <v>771.62244974278201</v>
      </c>
      <c r="EN119" s="59">
        <f t="shared" si="74"/>
        <v>1064.9557830761153</v>
      </c>
      <c r="EO119" s="59">
        <f ca="1">AVERAGE(OFFSET($EN$3,0,0,'Données projet'!$E$15+1,1))-AVERAGE(OFFSET($H$3,0,0,'Données projet'!$E$15+1,1))</f>
        <v>399.38728019348088</v>
      </c>
      <c r="EP119" s="59">
        <f t="shared" si="100"/>
        <v>289.54922160039791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0.52179940366791344</v>
      </c>
      <c r="EW119" s="21">
        <f>EXP(-LN(2)/25)*EW118+(1-EXP(-LN(2)/25))/(LN(2)/25)*Calculateur!ER119*Calculateur!ET119*VLOOKUP('Données projet'!$B$15,Paramètres!$A$1:$I$89,3,0)*0.475*44/12</f>
        <v>1.2367887045246171</v>
      </c>
      <c r="EX119" s="21">
        <f>EXP(-LN(2)/2)*EX118+(1-EXP(-LN(2)/2))/(LN(2)/2)*ER119*EU119*VLOOKUP('Données projet'!$B$15,Paramètres!$A$1:$I$89,3,0)*0.475*44/12</f>
        <v>2.9150485916139038E-12</v>
      </c>
      <c r="EY119" s="22">
        <f t="shared" si="75"/>
        <v>1.7585881081954455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</v>
      </c>
      <c r="N120" s="13">
        <f>IF('Données projet'!$A$36&gt;35,N119+M120-V119,IF(A120&lt;'Données projet'!$A$36,$K$205^A120,IF(A120='Données projet'!$A$36,'Données projet'!$B$36,N119+M120-V119)))</f>
        <v>338.49999999999966</v>
      </c>
      <c r="O120" s="13">
        <f>N120*VLOOKUP('Données projet'!$B$9,Paramètres!$A$1:$I$89,3,0)*VLOOKUP('Données projet'!$B$9,Paramètres!$A$1:$I$89,5,0)</f>
        <v>306.27479999999969</v>
      </c>
      <c r="P120" s="13">
        <f t="shared" si="87"/>
        <v>72.490313602282981</v>
      </c>
      <c r="Q120" s="20">
        <f t="shared" si="107"/>
        <v>659.68257285730897</v>
      </c>
      <c r="R120" s="59">
        <f t="shared" si="55"/>
        <v>953.01590619064223</v>
      </c>
      <c r="S120" s="59">
        <f ca="1">AVERAGE(OFFSET($R$3,0,0,'Données projet'!$E$9+1,1))-AVERAGE(OFFSET($H$3,0,0,'Données projet'!$E$9+1,1))</f>
        <v>318.40875902853116</v>
      </c>
      <c r="T120" s="59">
        <f t="shared" si="88"/>
        <v>234.87694492493506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0.43001303864399038</v>
      </c>
      <c r="AA120" s="21">
        <f>EXP(-LN(2)/25)*AA119+(1-EXP(-LN(2)/25))/(LN(2)/25)*Calculateur!V120*Calculateur!X120*VLOOKUP('Données projet'!$B$9,Paramètres!$A$1:$I$89,3,0)*0.475*44/12</f>
        <v>1.0111910411137819</v>
      </c>
      <c r="AB120" s="21">
        <f>EXP(-LN(2)/2)*AB119+(1-EXP(-LN(2)/2))/(LN(2)/2)*V120*Y120*VLOOKUP('Données projet'!$B$9,Paramètres!$A$1:$I$89,3,0)*0.475*44/12</f>
        <v>1.7326454542590252E-12</v>
      </c>
      <c r="AC120" s="22">
        <f t="shared" si="57"/>
        <v>1.4412040797595049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243.38048563215585</v>
      </c>
      <c r="AO120" s="59">
        <f t="shared" si="90"/>
        <v>372.1604147006675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1.3048671517472819</v>
      </c>
      <c r="AV120" s="21">
        <f>EXP(-LN(2)/25)*AV119+(1-EXP(-LN(2)/25))/(LN(2)/25)*Calculateur!AQ120*Calculateur!AS120*VLOOKUP('Données projet'!$B$10,Paramètres!$A$1:$I$89,3,0)*0.475*44/12</f>
        <v>1.7353035007017981</v>
      </c>
      <c r="AW120" s="21">
        <f>EXP(-LN(2)/2)*AW119+(1-EXP(-LN(2)/2))/(LN(2)/2)*AQ120*AT120*VLOOKUP('Données projet'!$B$10,Paramètres!$A$1:$I$89,3,0)*0.475*44/12</f>
        <v>2.3565908472503905E-12</v>
      </c>
      <c r="AX120" s="21">
        <f t="shared" si="60"/>
        <v>3.0401706524514367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-5.1159076974727213E-13</v>
      </c>
      <c r="BE120" s="13">
        <f>BD120*VLOOKUP('Données projet'!$B$11,Paramètres!$A$1:$I$89,3,0)*VLOOKUP('Données projet'!$B$11,Paramètres!$A$1:$I$89,5,0)</f>
        <v>-3.4317508834647017E-13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207.93042467236967</v>
      </c>
      <c r="BJ120" s="59">
        <f t="shared" si="92"/>
        <v>250.70954318710835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0.49117868638214396</v>
      </c>
      <c r="BQ120" s="21">
        <f>EXP(-LN(2)/25)*BQ119+(1-EXP(-LN(2)/25))/(LN(2)/25)*Calculateur!BL120*Calculateur!BN120*VLOOKUP('Données projet'!$B$11,Paramètres!$A$1:$I$89,3,0)*0.475*44/12</f>
        <v>1.5505395301717779</v>
      </c>
      <c r="BR120" s="21">
        <f>EXP(-LN(2)/2)*BR119+(1-EXP(-LN(2)/2))/(LN(2)/2)*BL120*BO120*VLOOKUP('Données projet'!$B$11,Paramètres!$A$1:$I$89,3,0)*0.475*44/12</f>
        <v>1.6293353662290245E-12</v>
      </c>
      <c r="BS120" s="22">
        <f t="shared" si="63"/>
        <v>2.0417182165555512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1.7053025658242404E-13</v>
      </c>
      <c r="BZ120" s="13">
        <f>BY120*VLOOKUP('Données projet'!$B$12,Paramètres!$A$1:$I$89,3,0)*VLOOKUP('Données projet'!$B$12,Paramètres!$A$1:$I$89,5,0)</f>
        <v>1.3301360013429075E-13</v>
      </c>
      <c r="CA120" s="13">
        <f t="shared" si="93"/>
        <v>1.9329766731057041E-12</v>
      </c>
      <c r="CB120" s="20">
        <f t="shared" si="64"/>
        <v>3.5982663925596575E-12</v>
      </c>
      <c r="CC120" s="59">
        <f t="shared" si="65"/>
        <v>293.3333333333369</v>
      </c>
      <c r="CD120" s="59">
        <f ca="1">AVERAGE(OFFSET($CC$3,0,0,'Données projet'!$E$12+1,1))-AVERAGE(OFFSET($H$3,0,0,'Données projet'!$E$12+1,1))</f>
        <v>266.30229009596883</v>
      </c>
      <c r="CE120" s="59">
        <f t="shared" si="94"/>
        <v>270.19195828386046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0.25816669499870121</v>
      </c>
      <c r="CL120" s="21">
        <f>EXP(-LN(2)/25)*CL119+(1-EXP(-LN(2)/25))/(LN(2)/25)*Calculateur!CG120*Calculateur!CI120*VLOOKUP('Données projet'!$B$12,Paramètres!$A$1:$I$89,3,0)*0.475*44/12</f>
        <v>0.75020259391439559</v>
      </c>
      <c r="CM120" s="21">
        <f>EXP(-LN(2)/2)*CM119+(1-EXP(-LN(2)/2))/(LN(2)/2)*CG120*CJ120*VLOOKUP('Données projet'!$B$12,Paramètres!$A$1:$I$89,3,0)*0.475*44/12</f>
        <v>1.0507755781571983E-12</v>
      </c>
      <c r="CN120" s="22">
        <f t="shared" si="66"/>
        <v>1.0083692889141476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-5.1159076974727213E-13</v>
      </c>
      <c r="CU120" s="17">
        <f>CT120*VLOOKUP('Données projet'!$B$13,Paramètres!$A$1:$I$89,3,0)*VLOOKUP('Données projet'!$B$13,Paramètres!$A$1:$I$89,5,0)</f>
        <v>-4.0702161641092972E-13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260.20517190557814</v>
      </c>
      <c r="CZ120" s="59">
        <f t="shared" si="96"/>
        <v>307.22009971147133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0.58256076756952024</v>
      </c>
      <c r="DG120" s="21">
        <f>EXP(-LN(2)/25)*DG119+(1-EXP(-LN(2)/25))/(LN(2)/25)*Calculateur!DB120*Calculateur!DD120*VLOOKUP('Données projet'!$B$13,Paramètres!$A$1:$I$89,3,0)*0.475*44/12</f>
        <v>1.8390120009014079</v>
      </c>
      <c r="DH120" s="21">
        <f>EXP(-LN(2)/2)*DH119+(1-EXP(-LN(2)/2))/(LN(2)/2)*DB120*DE120*VLOOKUP('Données projet'!$B$13,Paramètres!$A$1:$I$89,3,0)*0.475*44/12</f>
        <v>1.9324675273879128E-12</v>
      </c>
      <c r="DI120" s="22">
        <f t="shared" si="69"/>
        <v>2.4215727684728607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4.5</v>
      </c>
      <c r="DO120" s="12">
        <f>IF('Données projet'!$A$166&gt;35,DO119+DN120-DW119,IF(A120&lt;'Données projet'!$A$166,$DL$205^A120,IF(A120='Données projet'!$A$166,'Données projet'!$B$166,DO119+DN120-DW119)))</f>
        <v>338.49999999999966</v>
      </c>
      <c r="DP120" s="17">
        <f>DO120*VLOOKUP('Données projet'!$B$14,Paramètres!$A$1:$I$89,3,0)*VLOOKUP('Données projet'!$B$14,Paramètres!$A$1:$I$89,5,0)</f>
        <v>327.39719999999966</v>
      </c>
      <c r="DQ120" s="13">
        <f t="shared" si="97"/>
        <v>76.890431885561796</v>
      </c>
      <c r="DR120" s="20">
        <f t="shared" si="70"/>
        <v>704.1342922006861</v>
      </c>
      <c r="DS120" s="59">
        <f t="shared" si="71"/>
        <v>997.46762553401936</v>
      </c>
      <c r="DT120" s="59">
        <f ca="1">AVERAGE(OFFSET($DS$3,0,0,'Données projet'!$E$14+1,1))-AVERAGE(OFFSET($H$3,0,0,'Données projet'!$E$14+1,1))</f>
        <v>347.8889410585312</v>
      </c>
      <c r="DU120" s="59">
        <f t="shared" si="98"/>
        <v>254.78167322479203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0.45966911027461077</v>
      </c>
      <c r="EB120" s="21">
        <f>EXP(-LN(2)/25)*EB119+(1-EXP(-LN(2)/25))/(LN(2)/25)*Calculateur!DW120*Calculateur!DY120*VLOOKUP('Données projet'!$B$14,Paramètres!$A$1:$I$89,3,0)*0.475*44/12</f>
        <v>1.0809283542940429</v>
      </c>
      <c r="EC120" s="21">
        <f>EXP(-LN(2)/2)*EC119+(1-EXP(-LN(2)/2))/(LN(2)/2)*DW120*DZ120*VLOOKUP('Données projet'!$B$14,Paramètres!$A$1:$I$89,3,0)*0.475*44/12</f>
        <v>1.852138244207915E-12</v>
      </c>
      <c r="ED120" s="22">
        <f t="shared" si="72"/>
        <v>1.5405974645705058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4.5</v>
      </c>
      <c r="EJ120" s="12">
        <f>IF('Données projet'!$A$192&gt;35,EJ119+EI120-ER119,IF(A120&lt;'Données projet'!$A$192,$EG$205^A120,IF(A120='Données projet'!$A$192,'Données projet'!$B$192,EJ119+EI120-ER119)))</f>
        <v>338.49999999999966</v>
      </c>
      <c r="EK120" s="17">
        <f>EJ120*VLOOKUP('Données projet'!$B$15,Paramètres!$A$1:$I$89,3,0)*VLOOKUP('Données projet'!$B$15,Paramètres!$A$1:$I$89,5,0)</f>
        <v>364.36139999999961</v>
      </c>
      <c r="EL120" s="13">
        <f t="shared" si="99"/>
        <v>84.512716214977203</v>
      </c>
      <c r="EM120" s="20">
        <f t="shared" si="73"/>
        <v>781.7890857410847</v>
      </c>
      <c r="EN120" s="59">
        <f t="shared" si="74"/>
        <v>1075.1224190744181</v>
      </c>
      <c r="EO120" s="59">
        <f ca="1">AVERAGE(OFFSET($EN$3,0,0,'Données projet'!$E$15+1,1))-AVERAGE(OFFSET($H$3,0,0,'Données projet'!$E$15+1,1))</f>
        <v>399.38728019348088</v>
      </c>
      <c r="EP120" s="59">
        <f t="shared" si="100"/>
        <v>289.54922160039791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0.51156723562819573</v>
      </c>
      <c r="EW120" s="21">
        <f>EXP(-LN(2)/25)*EW119+(1-EXP(-LN(2)/25))/(LN(2)/25)*Calculateur!ER120*Calculateur!ET120*VLOOKUP('Données projet'!$B$15,Paramètres!$A$1:$I$89,3,0)*0.475*44/12</f>
        <v>1.2029686523595002</v>
      </c>
      <c r="EX120" s="21">
        <f>EXP(-LN(2)/2)*EX119+(1-EXP(-LN(2)/2))/(LN(2)/2)*ER120*EU120*VLOOKUP('Données projet'!$B$15,Paramètres!$A$1:$I$89,3,0)*0.475*44/12</f>
        <v>2.0612506266184862E-12</v>
      </c>
      <c r="EY120" s="22">
        <f t="shared" si="75"/>
        <v>1.7145358879897572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</v>
      </c>
      <c r="N121" s="13">
        <f>IF('Données projet'!$A$36&gt;35,N120+M121-V120,IF(A121&lt;'Données projet'!$A$36,$K$205^A121,IF(A121='Données projet'!$A$36,'Données projet'!$B$36,N120+M121-V120)))</f>
        <v>342.99999999999966</v>
      </c>
      <c r="O121" s="13">
        <f>N121*VLOOKUP('Données projet'!$B$9,Paramètres!$A$1:$I$89,3,0)*VLOOKUP('Données projet'!$B$9,Paramètres!$A$1:$I$89,5,0)</f>
        <v>310.34639999999968</v>
      </c>
      <c r="P121" s="13">
        <f t="shared" si="87"/>
        <v>73.341167576152998</v>
      </c>
      <c r="Q121" s="20">
        <f t="shared" si="107"/>
        <v>668.25584686179923</v>
      </c>
      <c r="R121" s="59">
        <f t="shared" si="55"/>
        <v>961.58918019513249</v>
      </c>
      <c r="S121" s="59">
        <f ca="1">AVERAGE(OFFSET($R$3,0,0,'Données projet'!$E$9+1,1))-AVERAGE(OFFSET($H$3,0,0,'Données projet'!$E$9+1,1))</f>
        <v>318.40875902853116</v>
      </c>
      <c r="T121" s="59">
        <f t="shared" si="88"/>
        <v>234.87694492493506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0.42158074523823708</v>
      </c>
      <c r="AA121" s="21">
        <f>EXP(-LN(2)/25)*AA120+(1-EXP(-LN(2)/25))/(LN(2)/25)*Calculateur!V121*Calculateur!X121*VLOOKUP('Données projet'!$B$9,Paramètres!$A$1:$I$89,3,0)*0.475*44/12</f>
        <v>0.98353996891829976</v>
      </c>
      <c r="AB121" s="21">
        <f>EXP(-LN(2)/2)*AB120+(1-EXP(-LN(2)/2))/(LN(2)/2)*V121*Y121*VLOOKUP('Données projet'!$B$9,Paramètres!$A$1:$I$89,3,0)*0.475*44/12</f>
        <v>1.2251653500986028E-12</v>
      </c>
      <c r="AC121" s="22">
        <f t="shared" si="57"/>
        <v>1.405120714157762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243.38048563215585</v>
      </c>
      <c r="AO121" s="59">
        <f t="shared" si="90"/>
        <v>372.1604147006675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1.2792795027918926</v>
      </c>
      <c r="AV121" s="21">
        <f>EXP(-LN(2)/25)*AV120+(1-EXP(-LN(2)/25))/(LN(2)/25)*Calculateur!AQ121*Calculateur!AS121*VLOOKUP('Données projet'!$B$10,Paramètres!$A$1:$I$89,3,0)*0.475*44/12</f>
        <v>1.6878515352194623</v>
      </c>
      <c r="AW121" s="21">
        <f>EXP(-LN(2)/2)*AW120+(1-EXP(-LN(2)/2))/(LN(2)/2)*AQ121*AT121*VLOOKUP('Données projet'!$B$10,Paramètres!$A$1:$I$89,3,0)*0.475*44/12</f>
        <v>1.6663613685729025E-12</v>
      </c>
      <c r="AX121" s="21">
        <f t="shared" si="60"/>
        <v>2.9671310380130214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-5.1159076974727213E-13</v>
      </c>
      <c r="BE121" s="13">
        <f>BD121*VLOOKUP('Données projet'!$B$11,Paramètres!$A$1:$I$89,3,0)*VLOOKUP('Données projet'!$B$11,Paramètres!$A$1:$I$89,5,0)</f>
        <v>-3.4317508834647017E-13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207.93042467236967</v>
      </c>
      <c r="BJ121" s="59">
        <f t="shared" si="92"/>
        <v>250.70954318710835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0.48154697193160684</v>
      </c>
      <c r="BQ121" s="21">
        <f>EXP(-LN(2)/25)*BQ120+(1-EXP(-LN(2)/25))/(LN(2)/25)*Calculateur!BL121*Calculateur!BN121*VLOOKUP('Données projet'!$B$11,Paramètres!$A$1:$I$89,3,0)*0.475*44/12</f>
        <v>1.5081399451799005</v>
      </c>
      <c r="BR121" s="21">
        <f>EXP(-LN(2)/2)*BR120+(1-EXP(-LN(2)/2))/(LN(2)/2)*BL121*BO121*VLOOKUP('Données projet'!$B$11,Paramètres!$A$1:$I$89,3,0)*0.475*44/12</f>
        <v>1.1521140862876101E-12</v>
      </c>
      <c r="BS121" s="22">
        <f t="shared" si="63"/>
        <v>1.9896869171126594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1.7053025658242404E-13</v>
      </c>
      <c r="BZ121" s="13">
        <f>BY121*VLOOKUP('Données projet'!$B$12,Paramètres!$A$1:$I$89,3,0)*VLOOKUP('Données projet'!$B$12,Paramètres!$A$1:$I$89,5,0)</f>
        <v>1.3301360013429075E-13</v>
      </c>
      <c r="CA121" s="13">
        <f t="shared" si="93"/>
        <v>1.9329766731057041E-12</v>
      </c>
      <c r="CB121" s="20">
        <f t="shared" si="64"/>
        <v>3.5982663925596575E-12</v>
      </c>
      <c r="CC121" s="59">
        <f t="shared" si="65"/>
        <v>293.3333333333369</v>
      </c>
      <c r="CD121" s="59">
        <f ca="1">AVERAGE(OFFSET($CC$3,0,0,'Données projet'!$E$12+1,1))-AVERAGE(OFFSET($H$3,0,0,'Données projet'!$E$12+1,1))</f>
        <v>266.30229009596883</v>
      </c>
      <c r="CE121" s="59">
        <f t="shared" si="94"/>
        <v>270.19195828386046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0.25310420357591212</v>
      </c>
      <c r="CL121" s="21">
        <f>EXP(-LN(2)/25)*CL120+(1-EXP(-LN(2)/25))/(LN(2)/25)*Calculateur!CG121*Calculateur!CI121*VLOOKUP('Données projet'!$B$12,Paramètres!$A$1:$I$89,3,0)*0.475*44/12</f>
        <v>0.72968826453236668</v>
      </c>
      <c r="CM121" s="21">
        <f>EXP(-LN(2)/2)*CM120+(1-EXP(-LN(2)/2))/(LN(2)/2)*CG121*CJ121*VLOOKUP('Données projet'!$B$12,Paramètres!$A$1:$I$89,3,0)*0.475*44/12</f>
        <v>7.4301053682017001E-13</v>
      </c>
      <c r="CN121" s="22">
        <f t="shared" si="66"/>
        <v>0.98279246810902177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-5.1159076974727213E-13</v>
      </c>
      <c r="CU121" s="17">
        <f>CT121*VLOOKUP('Données projet'!$B$13,Paramètres!$A$1:$I$89,3,0)*VLOOKUP('Données projet'!$B$13,Paramètres!$A$1:$I$89,5,0)</f>
        <v>-4.0702161641092972E-13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260.20517190557814</v>
      </c>
      <c r="CZ121" s="59">
        <f t="shared" si="96"/>
        <v>307.22009971147133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0.57113710624446457</v>
      </c>
      <c r="DG121" s="21">
        <f>EXP(-LN(2)/25)*DG120+(1-EXP(-LN(2)/25))/(LN(2)/25)*Calculateur!DB121*Calculateur!DD121*VLOOKUP('Données projet'!$B$13,Paramètres!$A$1:$I$89,3,0)*0.475*44/12</f>
        <v>1.7887241210273208</v>
      </c>
      <c r="DH121" s="21">
        <f>EXP(-LN(2)/2)*DH120+(1-EXP(-LN(2)/2))/(LN(2)/2)*DB121*DE121*VLOOKUP('Données projet'!$B$13,Paramètres!$A$1:$I$89,3,0)*0.475*44/12</f>
        <v>1.3664608930387934E-12</v>
      </c>
      <c r="DI121" s="22">
        <f t="shared" si="69"/>
        <v>2.3598612272731518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4.5</v>
      </c>
      <c r="DO121" s="12">
        <f>IF('Données projet'!$A$166&gt;35,DO120+DN121-DW120,IF(A121&lt;'Données projet'!$A$166,$DL$205^A121,IF(A121='Données projet'!$A$166,'Données projet'!$B$166,DO120+DN121-DW120)))</f>
        <v>342.99999999999966</v>
      </c>
      <c r="DP121" s="17">
        <f>DO121*VLOOKUP('Données projet'!$B$14,Paramètres!$A$1:$I$89,3,0)*VLOOKUP('Données projet'!$B$14,Paramètres!$A$1:$I$89,5,0)</f>
        <v>331.7495999999997</v>
      </c>
      <c r="DQ121" s="13">
        <f t="shared" si="97"/>
        <v>77.792932182102746</v>
      </c>
      <c r="DR121" s="20">
        <f t="shared" si="70"/>
        <v>713.28657688382839</v>
      </c>
      <c r="DS121" s="59">
        <f t="shared" si="71"/>
        <v>1006.6199102171618</v>
      </c>
      <c r="DT121" s="59">
        <f ca="1">AVERAGE(OFFSET($DS$3,0,0,'Données projet'!$E$14+1,1))-AVERAGE(OFFSET($H$3,0,0,'Données projet'!$E$14+1,1))</f>
        <v>347.8889410585312</v>
      </c>
      <c r="DU121" s="59">
        <f t="shared" si="98"/>
        <v>254.78167322479203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0.45065527939259864</v>
      </c>
      <c r="EB121" s="21">
        <f>EXP(-LN(2)/25)*EB120+(1-EXP(-LN(2)/25))/(LN(2)/25)*Calculateur!DW121*Calculateur!DY121*VLOOKUP('Données projet'!$B$14,Paramètres!$A$1:$I$89,3,0)*0.475*44/12</f>
        <v>1.0513703116023205</v>
      </c>
      <c r="EC121" s="21">
        <f>EXP(-LN(2)/2)*EC120+(1-EXP(-LN(2)/2))/(LN(2)/2)*DW121*DZ121*VLOOKUP('Données projet'!$B$14,Paramètres!$A$1:$I$89,3,0)*0.475*44/12</f>
        <v>1.3096595121743625E-12</v>
      </c>
      <c r="ED121" s="22">
        <f t="shared" si="72"/>
        <v>1.5020255909962288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4.5</v>
      </c>
      <c r="EJ121" s="12">
        <f>IF('Données projet'!$A$192&gt;35,EJ120+EI121-ER120,IF(A121&lt;'Données projet'!$A$192,$EG$205^A121,IF(A121='Données projet'!$A$192,'Données projet'!$B$192,EJ120+EI121-ER120)))</f>
        <v>342.99999999999966</v>
      </c>
      <c r="EK121" s="17">
        <f>EJ121*VLOOKUP('Données projet'!$B$15,Paramètres!$A$1:$I$89,3,0)*VLOOKUP('Données projet'!$B$15,Paramètres!$A$1:$I$89,5,0)</f>
        <v>369.20519999999965</v>
      </c>
      <c r="EL121" s="13">
        <f t="shared" si="99"/>
        <v>85.504682960059569</v>
      </c>
      <c r="EM121" s="20">
        <f t="shared" si="73"/>
        <v>791.95304615543637</v>
      </c>
      <c r="EN121" s="59">
        <f t="shared" si="74"/>
        <v>1085.2863794887696</v>
      </c>
      <c r="EO121" s="59">
        <f ca="1">AVERAGE(OFFSET($EN$3,0,0,'Données projet'!$E$15+1,1))-AVERAGE(OFFSET($H$3,0,0,'Données projet'!$E$15+1,1))</f>
        <v>399.38728019348088</v>
      </c>
      <c r="EP121" s="59">
        <f t="shared" si="100"/>
        <v>289.54922160039791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0.50153571416273057</v>
      </c>
      <c r="EW121" s="21">
        <f>EXP(-LN(2)/25)*EW120+(1-EXP(-LN(2)/25))/(LN(2)/25)*Calculateur!ER121*Calculateur!ET121*VLOOKUP('Données projet'!$B$15,Paramètres!$A$1:$I$89,3,0)*0.475*44/12</f>
        <v>1.1700734112993576</v>
      </c>
      <c r="EX121" s="21">
        <f>EXP(-LN(2)/2)*EX120+(1-EXP(-LN(2)/2))/(LN(2)/2)*ER121*EU121*VLOOKUP('Données projet'!$B$15,Paramètres!$A$1:$I$89,3,0)*0.475*44/12</f>
        <v>1.4575242958069519E-12</v>
      </c>
      <c r="EY121" s="22">
        <f t="shared" si="75"/>
        <v>1.6716091254635457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</v>
      </c>
      <c r="N122" s="13">
        <f>IF('Données projet'!$A$36&gt;35,N121+M122-V121,IF(A122&lt;'Données projet'!$A$36,$K$205^A122,IF(A122='Données projet'!$A$36,'Données projet'!$B$36,N121+M122-V121)))</f>
        <v>347.49999999999966</v>
      </c>
      <c r="O122" s="13">
        <f>N122*VLOOKUP('Données projet'!$B$9,Paramètres!$A$1:$I$89,3,0)*VLOOKUP('Données projet'!$B$9,Paramètres!$A$1:$I$89,5,0)</f>
        <v>314.41799999999967</v>
      </c>
      <c r="P122" s="13">
        <f t="shared" si="87"/>
        <v>74.190723151497266</v>
      </c>
      <c r="Q122" s="20">
        <f t="shared" si="107"/>
        <v>676.82685948885705</v>
      </c>
      <c r="R122" s="59">
        <f t="shared" si="55"/>
        <v>970.16019282219031</v>
      </c>
      <c r="S122" s="59">
        <f ca="1">AVERAGE(OFFSET($R$3,0,0,'Données projet'!$E$9+1,1))-AVERAGE(OFFSET($H$3,0,0,'Données projet'!$E$9+1,1))</f>
        <v>318.40875902853116</v>
      </c>
      <c r="T122" s="59">
        <f t="shared" si="88"/>
        <v>234.87694492493506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0.41331380396297951</v>
      </c>
      <c r="AA122" s="21">
        <f>EXP(-LN(2)/25)*AA121+(1-EXP(-LN(2)/25))/(LN(2)/25)*Calculateur!V122*Calculateur!X122*VLOOKUP('Données projet'!$B$9,Paramètres!$A$1:$I$89,3,0)*0.475*44/12</f>
        <v>0.9566450167461098</v>
      </c>
      <c r="AB122" s="21">
        <f>EXP(-LN(2)/2)*AB121+(1-EXP(-LN(2)/2))/(LN(2)/2)*V122*Y122*VLOOKUP('Données projet'!$B$9,Paramètres!$A$1:$I$89,3,0)*0.475*44/12</f>
        <v>8.6632272712951262E-13</v>
      </c>
      <c r="AC122" s="22">
        <f t="shared" si="57"/>
        <v>1.3699588207099558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243.38048563215585</v>
      </c>
      <c r="AO122" s="59">
        <f t="shared" si="90"/>
        <v>372.1604147006675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1.2541936120255937</v>
      </c>
      <c r="AV122" s="21">
        <f>EXP(-LN(2)/25)*AV121+(1-EXP(-LN(2)/25))/(LN(2)/25)*Calculateur!AQ122*Calculateur!AS122*VLOOKUP('Données projet'!$B$10,Paramètres!$A$1:$I$89,3,0)*0.475*44/12</f>
        <v>1.6416971462286316</v>
      </c>
      <c r="AW122" s="21">
        <f>EXP(-LN(2)/2)*AW121+(1-EXP(-LN(2)/2))/(LN(2)/2)*AQ122*AT122*VLOOKUP('Données projet'!$B$10,Paramètres!$A$1:$I$89,3,0)*0.475*44/12</f>
        <v>1.1782954236251952E-12</v>
      </c>
      <c r="AX122" s="21">
        <f t="shared" si="60"/>
        <v>2.8958907582554034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-5.1159076974727213E-13</v>
      </c>
      <c r="BE122" s="13">
        <f>BD122*VLOOKUP('Données projet'!$B$11,Paramètres!$A$1:$I$89,3,0)*VLOOKUP('Données projet'!$B$11,Paramètres!$A$1:$I$89,5,0)</f>
        <v>-3.4317508834647017E-13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207.93042467236967</v>
      </c>
      <c r="BJ122" s="59">
        <f t="shared" si="92"/>
        <v>250.70954318710835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0.47210412952667902</v>
      </c>
      <c r="BQ122" s="21">
        <f>EXP(-LN(2)/25)*BQ121+(1-EXP(-LN(2)/25))/(LN(2)/25)*Calculateur!BL122*Calculateur!BN122*VLOOKUP('Données projet'!$B$11,Paramètres!$A$1:$I$89,3,0)*0.475*44/12</f>
        <v>1.4668997790693232</v>
      </c>
      <c r="BR122" s="21">
        <f>EXP(-LN(2)/2)*BR121+(1-EXP(-LN(2)/2))/(LN(2)/2)*BL122*BO122*VLOOKUP('Données projet'!$B$11,Paramètres!$A$1:$I$89,3,0)*0.475*44/12</f>
        <v>8.1466768311451223E-13</v>
      </c>
      <c r="BS122" s="22">
        <f t="shared" si="63"/>
        <v>1.9390039085968169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1.7053025658242404E-13</v>
      </c>
      <c r="BZ122" s="13">
        <f>BY122*VLOOKUP('Données projet'!$B$12,Paramètres!$A$1:$I$89,3,0)*VLOOKUP('Données projet'!$B$12,Paramètres!$A$1:$I$89,5,0)</f>
        <v>1.3301360013429075E-13</v>
      </c>
      <c r="CA122" s="13">
        <f t="shared" si="93"/>
        <v>1.9329766731057041E-12</v>
      </c>
      <c r="CB122" s="20">
        <f t="shared" si="64"/>
        <v>3.5982663925596575E-12</v>
      </c>
      <c r="CC122" s="59">
        <f t="shared" si="65"/>
        <v>293.3333333333369</v>
      </c>
      <c r="CD122" s="59">
        <f ca="1">AVERAGE(OFFSET($CC$3,0,0,'Données projet'!$E$12+1,1))-AVERAGE(OFFSET($H$3,0,0,'Données projet'!$E$12+1,1))</f>
        <v>266.30229009596883</v>
      </c>
      <c r="CE122" s="59">
        <f t="shared" si="94"/>
        <v>270.19195828386046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0.24814098452210909</v>
      </c>
      <c r="CL122" s="21">
        <f>EXP(-LN(2)/25)*CL121+(1-EXP(-LN(2)/25))/(LN(2)/25)*Calculateur!CG122*Calculateur!CI122*VLOOKUP('Données projet'!$B$12,Paramètres!$A$1:$I$89,3,0)*0.475*44/12</f>
        <v>0.70973490056609101</v>
      </c>
      <c r="CM122" s="21">
        <f>EXP(-LN(2)/2)*CM121+(1-EXP(-LN(2)/2))/(LN(2)/2)*CG122*CJ122*VLOOKUP('Données projet'!$B$12,Paramètres!$A$1:$I$89,3,0)*0.475*44/12</f>
        <v>5.2538778907859916E-13</v>
      </c>
      <c r="CN122" s="22">
        <f t="shared" si="66"/>
        <v>0.95787588508872545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-5.1159076974727213E-13</v>
      </c>
      <c r="CU122" s="17">
        <f>CT122*VLOOKUP('Données projet'!$B$13,Paramètres!$A$1:$I$89,3,0)*VLOOKUP('Données projet'!$B$13,Paramètres!$A$1:$I$89,5,0)</f>
        <v>-4.0702161641092972E-13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260.20517190557814</v>
      </c>
      <c r="CZ122" s="59">
        <f t="shared" si="96"/>
        <v>307.22009971147133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0.5599374559502478</v>
      </c>
      <c r="DG122" s="21">
        <f>EXP(-LN(2)/25)*DG121+(1-EXP(-LN(2)/25))/(LN(2)/25)*Calculateur!DB122*Calculateur!DD122*VLOOKUP('Données projet'!$B$13,Paramètres!$A$1:$I$89,3,0)*0.475*44/12</f>
        <v>1.7398113658729153</v>
      </c>
      <c r="DH122" s="21">
        <f>EXP(-LN(2)/2)*DH121+(1-EXP(-LN(2)/2))/(LN(2)/2)*DB122*DE122*VLOOKUP('Données projet'!$B$13,Paramètres!$A$1:$I$89,3,0)*0.475*44/12</f>
        <v>9.6623376369395642E-13</v>
      </c>
      <c r="DI122" s="22">
        <f t="shared" si="69"/>
        <v>2.2997488218241293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4.5</v>
      </c>
      <c r="DO122" s="12">
        <f>IF('Données projet'!$A$166&gt;35,DO121+DN122-DW121,IF(A122&lt;'Données projet'!$A$166,$DL$205^A122,IF(A122='Données projet'!$A$166,'Données projet'!$B$166,DO121+DN122-DW121)))</f>
        <v>347.49999999999966</v>
      </c>
      <c r="DP122" s="17">
        <f>DO122*VLOOKUP('Données projet'!$B$14,Paramètres!$A$1:$I$89,3,0)*VLOOKUP('Données projet'!$B$14,Paramètres!$A$1:$I$89,5,0)</f>
        <v>336.10199999999969</v>
      </c>
      <c r="DQ122" s="13">
        <f t="shared" si="97"/>
        <v>78.694055268111242</v>
      </c>
      <c r="DR122" s="20">
        <f t="shared" si="70"/>
        <v>722.4364629252932</v>
      </c>
      <c r="DS122" s="59">
        <f t="shared" si="71"/>
        <v>1015.7697962586265</v>
      </c>
      <c r="DT122" s="59">
        <f ca="1">AVERAGE(OFFSET($DS$3,0,0,'Données projet'!$E$14+1,1))-AVERAGE(OFFSET($H$3,0,0,'Données projet'!$E$14+1,1))</f>
        <v>347.8889410585312</v>
      </c>
      <c r="DU122" s="59">
        <f t="shared" si="98"/>
        <v>254.78167322479203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0.44181820423628881</v>
      </c>
      <c r="EB122" s="21">
        <f>EXP(-LN(2)/25)*EB121+(1-EXP(-LN(2)/25))/(LN(2)/25)*Calculateur!DW122*Calculateur!DY122*VLOOKUP('Données projet'!$B$14,Paramètres!$A$1:$I$89,3,0)*0.475*44/12</f>
        <v>1.0226205351423934</v>
      </c>
      <c r="EC122" s="21">
        <f>EXP(-LN(2)/2)*EC121+(1-EXP(-LN(2)/2))/(LN(2)/2)*DW122*DZ122*VLOOKUP('Données projet'!$B$14,Paramètres!$A$1:$I$89,3,0)*0.475*44/12</f>
        <v>9.2606912210395748E-13</v>
      </c>
      <c r="ED122" s="22">
        <f t="shared" si="72"/>
        <v>1.4644387393796083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4.5</v>
      </c>
      <c r="EJ122" s="12">
        <f>IF('Données projet'!$A$192&gt;35,EJ121+EI122-ER121,IF(A122&lt;'Données projet'!$A$192,$EG$205^A122,IF(A122='Données projet'!$A$192,'Données projet'!$B$192,EJ121+EI122-ER121)))</f>
        <v>347.49999999999966</v>
      </c>
      <c r="EK122" s="17">
        <f>EJ122*VLOOKUP('Données projet'!$B$15,Paramètres!$A$1:$I$89,3,0)*VLOOKUP('Données projet'!$B$15,Paramètres!$A$1:$I$89,5,0)</f>
        <v>374.04899999999964</v>
      </c>
      <c r="EL122" s="13">
        <f t="shared" si="99"/>
        <v>86.495135969296754</v>
      </c>
      <c r="EM122" s="20">
        <f t="shared" si="73"/>
        <v>802.11437014652449</v>
      </c>
      <c r="EN122" s="59">
        <f t="shared" si="74"/>
        <v>1095.4477034798579</v>
      </c>
      <c r="EO122" s="59">
        <f ca="1">AVERAGE(OFFSET($EN$3,0,0,'Données projet'!$E$15+1,1))-AVERAGE(OFFSET($H$3,0,0,'Données projet'!$E$15+1,1))</f>
        <v>399.38728019348088</v>
      </c>
      <c r="EP122" s="59">
        <f t="shared" si="100"/>
        <v>289.54922160039791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0.49170090471457928</v>
      </c>
      <c r="EW122" s="21">
        <f>EXP(-LN(2)/25)*EW121+(1-EXP(-LN(2)/25))/(LN(2)/25)*Calculateur!ER122*Calculateur!ET122*VLOOKUP('Données projet'!$B$15,Paramètres!$A$1:$I$89,3,0)*0.475*44/12</f>
        <v>1.1380776923358902</v>
      </c>
      <c r="EX122" s="21">
        <f>EXP(-LN(2)/2)*EX121+(1-EXP(-LN(2)/2))/(LN(2)/2)*ER122*EU122*VLOOKUP('Données projet'!$B$15,Paramètres!$A$1:$I$89,3,0)*0.475*44/12</f>
        <v>1.0306253133092431E-12</v>
      </c>
      <c r="EY122" s="22">
        <f t="shared" si="75"/>
        <v>1.6297785970515002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352</v>
      </c>
      <c r="L123" s="12">
        <f>VLOOKUP(A123,'Données projet'!$A$35:$I$55,9,0)</f>
        <v>4.5</v>
      </c>
      <c r="M123" s="12">
        <f t="array" ref="M123">INDEX(L:L,MIN(IF(ISNUMBER(L123:L319),ROW(L123:L319),"")))</f>
        <v>4.5</v>
      </c>
      <c r="N123" s="13">
        <f>IF('Données projet'!$A$36&gt;35,N122+M123-V122,IF(A123&lt;'Données projet'!$A$36,$K$205^A123,IF(A123='Données projet'!$A$36,'Données projet'!$B$36,N122+M123-V122)))</f>
        <v>351.99999999999966</v>
      </c>
      <c r="O123" s="13">
        <f>N123*VLOOKUP('Données projet'!$B$9,Paramètres!$A$1:$I$89,3,0)*VLOOKUP('Données projet'!$B$9,Paramètres!$A$1:$I$89,5,0)</f>
        <v>318.48959999999971</v>
      </c>
      <c r="P123" s="13">
        <f t="shared" si="87"/>
        <v>75.038999086150227</v>
      </c>
      <c r="Q123" s="20">
        <f t="shared" si="107"/>
        <v>685.39564340837785</v>
      </c>
      <c r="R123" s="59">
        <f t="shared" si="55"/>
        <v>978.72897674171122</v>
      </c>
      <c r="S123" s="59">
        <f ca="1">AVERAGE(OFFSET($R$3,0,0,'Données projet'!$E$9+1,1))-AVERAGE(OFFSET($H$3,0,0,'Données projet'!$E$9+1,1))</f>
        <v>318.40875902853116</v>
      </c>
      <c r="T123" s="59">
        <f t="shared" si="88"/>
        <v>234.87694492493506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352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0.40520897236379344</v>
      </c>
      <c r="AA123" s="21">
        <f>EXP(-LN(2)/25)*AA122+(1-EXP(-LN(2)/25))/(LN(2)/25)*Calculateur!V123*Calculateur!X123*VLOOKUP('Données projet'!$B$9,Paramètres!$A$1:$I$89,3,0)*0.475*44/12</f>
        <v>0.93048550845541245</v>
      </c>
      <c r="AB123" s="21">
        <f>EXP(-LN(2)/2)*AB122+(1-EXP(-LN(2)/2))/(LN(2)/2)*V123*Y123*VLOOKUP('Données projet'!$B$9,Paramètres!$A$1:$I$89,3,0)*0.475*44/12</f>
        <v>6.1258267504930139E-13</v>
      </c>
      <c r="AC123" s="22">
        <f t="shared" si="57"/>
        <v>1.3356944808198186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243.38048563215585</v>
      </c>
      <c r="AO123" s="59">
        <f t="shared" si="90"/>
        <v>372.1604147006675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1.2295996402763394</v>
      </c>
      <c r="AV123" s="21">
        <f>EXP(-LN(2)/25)*AV122+(1-EXP(-LN(2)/25))/(LN(2)/25)*Calculateur!AQ123*Calculateur!AS123*VLOOKUP('Données projet'!$B$10,Paramètres!$A$1:$I$89,3,0)*0.475*44/12</f>
        <v>1.5968048514319089</v>
      </c>
      <c r="AW123" s="21">
        <f>EXP(-LN(2)/2)*AW122+(1-EXP(-LN(2)/2))/(LN(2)/2)*AQ123*AT123*VLOOKUP('Données projet'!$B$10,Paramètres!$A$1:$I$89,3,0)*0.475*44/12</f>
        <v>8.3318068428645127E-13</v>
      </c>
      <c r="AX123" s="21">
        <f t="shared" si="60"/>
        <v>2.8264044917090816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-5.1159076974727213E-13</v>
      </c>
      <c r="BE123" s="13">
        <f>BD123*VLOOKUP('Données projet'!$B$11,Paramètres!$A$1:$I$89,3,0)*VLOOKUP('Données projet'!$B$11,Paramètres!$A$1:$I$89,5,0)</f>
        <v>-3.4317508834647017E-13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207.93042467236967</v>
      </c>
      <c r="BJ123" s="59">
        <f t="shared" si="92"/>
        <v>250.70954318710835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0.46284645550174663</v>
      </c>
      <c r="BQ123" s="21">
        <f>EXP(-LN(2)/25)*BQ122+(1-EXP(-LN(2)/25))/(LN(2)/25)*Calculateur!BL123*Calculateur!BN123*VLOOKUP('Données projet'!$B$11,Paramètres!$A$1:$I$89,3,0)*0.475*44/12</f>
        <v>1.4267873274697658</v>
      </c>
      <c r="BR123" s="21">
        <f>EXP(-LN(2)/2)*BR122+(1-EXP(-LN(2)/2))/(LN(2)/2)*BL123*BO123*VLOOKUP('Données projet'!$B$11,Paramètres!$A$1:$I$89,3,0)*0.475*44/12</f>
        <v>5.7605704314380503E-13</v>
      </c>
      <c r="BS123" s="22">
        <f t="shared" si="63"/>
        <v>1.8896337829720884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1.7053025658242404E-13</v>
      </c>
      <c r="BZ123" s="13">
        <f>BY123*VLOOKUP('Données projet'!$B$12,Paramètres!$A$1:$I$89,3,0)*VLOOKUP('Données projet'!$B$12,Paramètres!$A$1:$I$89,5,0)</f>
        <v>1.3301360013429075E-13</v>
      </c>
      <c r="CA123" s="13">
        <f t="shared" si="93"/>
        <v>1.9329766731057041E-12</v>
      </c>
      <c r="CB123" s="20">
        <f t="shared" si="64"/>
        <v>3.5982663925596575E-12</v>
      </c>
      <c r="CC123" s="59">
        <f t="shared" si="65"/>
        <v>293.3333333333369</v>
      </c>
      <c r="CD123" s="59">
        <f ca="1">AVERAGE(OFFSET($CC$3,0,0,'Données projet'!$E$12+1,1))-AVERAGE(OFFSET($H$3,0,0,'Données projet'!$E$12+1,1))</f>
        <v>266.30229009596883</v>
      </c>
      <c r="CE123" s="59">
        <f t="shared" si="94"/>
        <v>270.19195828386046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0.24327509116668641</v>
      </c>
      <c r="CL123" s="21">
        <f>EXP(-LN(2)/25)*CL122+(1-EXP(-LN(2)/25))/(LN(2)/25)*Calculateur!CG123*Calculateur!CI123*VLOOKUP('Données projet'!$B$12,Paramètres!$A$1:$I$89,3,0)*0.475*44/12</f>
        <v>0.69032716238677494</v>
      </c>
      <c r="CM123" s="21">
        <f>EXP(-LN(2)/2)*CM122+(1-EXP(-LN(2)/2))/(LN(2)/2)*CG123*CJ123*VLOOKUP('Données projet'!$B$12,Paramètres!$A$1:$I$89,3,0)*0.475*44/12</f>
        <v>3.7150526841008501E-13</v>
      </c>
      <c r="CN123" s="22">
        <f t="shared" si="66"/>
        <v>0.93360225355383286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-5.1159076974727213E-13</v>
      </c>
      <c r="CU123" s="17">
        <f>CT123*VLOOKUP('Données projet'!$B$13,Paramètres!$A$1:$I$89,3,0)*VLOOKUP('Données projet'!$B$13,Paramètres!$A$1:$I$89,5,0)</f>
        <v>-4.0702161641092972E-13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260.20517190557814</v>
      </c>
      <c r="CZ123" s="59">
        <f t="shared" si="96"/>
        <v>307.22009971147133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0.5489574239671885</v>
      </c>
      <c r="DG123" s="21">
        <f>EXP(-LN(2)/25)*DG122+(1-EXP(-LN(2)/25))/(LN(2)/25)*Calculateur!DB123*Calculateur!DD123*VLOOKUP('Données projet'!$B$13,Paramètres!$A$1:$I$89,3,0)*0.475*44/12</f>
        <v>1.6922361325804172</v>
      </c>
      <c r="DH123" s="21">
        <f>EXP(-LN(2)/2)*DH122+(1-EXP(-LN(2)/2))/(LN(2)/2)*DB123*DE123*VLOOKUP('Données projet'!$B$13,Paramètres!$A$1:$I$89,3,0)*0.475*44/12</f>
        <v>6.8323044651939671E-13</v>
      </c>
      <c r="DI123" s="22">
        <f t="shared" si="69"/>
        <v>2.2411935565482888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352</v>
      </c>
      <c r="DM123" s="12">
        <f>VLOOKUP(A123,'Données projet'!$A$165:$I$185,9,0)</f>
        <v>4.5</v>
      </c>
      <c r="DN123" s="12">
        <f t="array" ref="DN123">INDEX(DM:DM,MIN(IF(ISNUMBER(DM123:DM319),ROW(DM123:DM319),"")))</f>
        <v>4.5</v>
      </c>
      <c r="DO123" s="12">
        <f>IF('Données projet'!$A$166&gt;35,DO122+DN123-DW122,IF(A123&lt;'Données projet'!$A$166,$DL$205^A123,IF(A123='Données projet'!$A$166,'Données projet'!$B$166,DO122+DN123-DW122)))</f>
        <v>351.99999999999966</v>
      </c>
      <c r="DP123" s="17">
        <f>DO123*VLOOKUP('Données projet'!$B$14,Paramètres!$A$1:$I$89,3,0)*VLOOKUP('Données projet'!$B$14,Paramètres!$A$1:$I$89,5,0)</f>
        <v>340.45439999999968</v>
      </c>
      <c r="DQ123" s="13">
        <f t="shared" si="97"/>
        <v>79.593821040010596</v>
      </c>
      <c r="DR123" s="20">
        <f t="shared" si="70"/>
        <v>731.58398497801784</v>
      </c>
      <c r="DS123" s="59">
        <f t="shared" si="71"/>
        <v>1024.9173183113512</v>
      </c>
      <c r="DT123" s="59">
        <f ca="1">AVERAGE(OFFSET($DS$3,0,0,'Données projet'!$E$14+1,1))-AVERAGE(OFFSET($H$3,0,0,'Données projet'!$E$14+1,1))</f>
        <v>347.8889410585312</v>
      </c>
      <c r="DU123" s="59">
        <f t="shared" si="98"/>
        <v>254.78167322479203</v>
      </c>
      <c r="DV123" s="15">
        <f>IF(ISNA(VLOOKUP(A123,'Données projet'!$A$165:$I$185,3,0)),0,VLOOKUP(A123,'Données projet'!$A$165:$I$185,3,0))</f>
        <v>11</v>
      </c>
      <c r="DW123" s="15">
        <f>IF(ISNA(VLOOKUP(A123,'Données projet'!$A$165:$I$185,4,0)),0,VLOOKUP(A123,'Données projet'!$A$165:$I$185,4,0))</f>
        <v>352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0.43315441873371058</v>
      </c>
      <c r="EB123" s="21">
        <f>EXP(-LN(2)/25)*EB122+(1-EXP(-LN(2)/25))/(LN(2)/25)*Calculateur!DW123*Calculateur!DY123*VLOOKUP('Données projet'!$B$14,Paramètres!$A$1:$I$89,3,0)*0.475*44/12</f>
        <v>0.99465692283164786</v>
      </c>
      <c r="EC123" s="21">
        <f>EXP(-LN(2)/2)*EC122+(1-EXP(-LN(2)/2))/(LN(2)/2)*DW123*DZ123*VLOOKUP('Données projet'!$B$14,Paramètres!$A$1:$I$89,3,0)*0.475*44/12</f>
        <v>6.5482975608718124E-13</v>
      </c>
      <c r="ED123" s="22">
        <f t="shared" si="72"/>
        <v>1.4278113415660132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352</v>
      </c>
      <c r="EH123" s="12">
        <f>VLOOKUP(A123,'Données projet'!$A$191:$I$211,9,0)</f>
        <v>4.5</v>
      </c>
      <c r="EI123" s="12">
        <f t="array" ref="EI123">INDEX(EH:EH,MIN(IF(ISNUMBER(EH123:EH319),ROW(EH123:EH319),"")))</f>
        <v>4.5</v>
      </c>
      <c r="EJ123" s="12">
        <f>IF('Données projet'!$A$192&gt;35,EJ122+EI123-ER122,IF(A123&lt;'Données projet'!$A$192,$EG$205^A123,IF(A123='Données projet'!$A$192,'Données projet'!$B$192,EJ122+EI123-ER122)))</f>
        <v>351.99999999999966</v>
      </c>
      <c r="EK123" s="17">
        <f>EJ123*VLOOKUP('Données projet'!$B$15,Paramètres!$A$1:$I$89,3,0)*VLOOKUP('Données projet'!$B$15,Paramètres!$A$1:$I$89,5,0)</f>
        <v>378.89279999999962</v>
      </c>
      <c r="EL123" s="13">
        <f t="shared" si="99"/>
        <v>87.484097111479699</v>
      </c>
      <c r="EM123" s="20">
        <f t="shared" si="73"/>
        <v>812.27309580249312</v>
      </c>
      <c r="EN123" s="59">
        <f t="shared" si="74"/>
        <v>1105.6064291358264</v>
      </c>
      <c r="EO123" s="59">
        <f ca="1">AVERAGE(OFFSET($EN$3,0,0,'Données projet'!$E$15+1,1))-AVERAGE(OFFSET($H$3,0,0,'Données projet'!$E$15+1,1))</f>
        <v>399.38728019348088</v>
      </c>
      <c r="EP123" s="59">
        <f t="shared" si="100"/>
        <v>289.54922160039791</v>
      </c>
      <c r="EQ123" s="15">
        <f>IF(ISNA(VLOOKUP(A123,'Données projet'!$A$191:$I$211,3,0)),0,VLOOKUP(A123,'Données projet'!$A$191:$I$211,3,0))</f>
        <v>11</v>
      </c>
      <c r="ER123" s="15">
        <f>IF(ISNA(VLOOKUP(A123,'Données projet'!$A$191:$I$211,4,0)),0,VLOOKUP(A123,'Données projet'!$A$191:$I$211,4,0))</f>
        <v>352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0.48205894988106479</v>
      </c>
      <c r="EW123" s="21">
        <f>EXP(-LN(2)/25)*EW122+(1-EXP(-LN(2)/25))/(LN(2)/25)*Calculateur!ER123*Calculateur!ET123*VLOOKUP('Données projet'!$B$15,Paramètres!$A$1:$I$89,3,0)*0.475*44/12</f>
        <v>1.1069568979900606</v>
      </c>
      <c r="EX123" s="21">
        <f>EXP(-LN(2)/2)*EX122+(1-EXP(-LN(2)/2))/(LN(2)/2)*ER123*EU123*VLOOKUP('Données projet'!$B$15,Paramètres!$A$1:$I$89,3,0)*0.475*44/12</f>
        <v>7.2876214790347595E-13</v>
      </c>
      <c r="EY123" s="22">
        <f t="shared" si="75"/>
        <v>1.5890158478718541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-3.0859155231155454E-13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318.40875902853116</v>
      </c>
      <c r="T124" s="59">
        <f t="shared" si="88"/>
        <v>234.87694492493506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0.39726307156880825</v>
      </c>
      <c r="AA124" s="21">
        <f>EXP(-LN(2)/25)*AA123+(1-EXP(-LN(2)/25))/(LN(2)/25)*Calculateur!V124*Calculateur!X124*VLOOKUP('Données projet'!$B$9,Paramètres!$A$1:$I$89,3,0)*0.475*44/12</f>
        <v>0.90504133329459291</v>
      </c>
      <c r="AB124" s="21">
        <f>EXP(-LN(2)/2)*AB123+(1-EXP(-LN(2)/2))/(LN(2)/2)*V124*Y124*VLOOKUP('Données projet'!$B$9,Paramètres!$A$1:$I$89,3,0)*0.475*44/12</f>
        <v>4.3316136356475631E-13</v>
      </c>
      <c r="AC124" s="22">
        <f t="shared" si="57"/>
        <v>1.3023044048638344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243.38048563215585</v>
      </c>
      <c r="AO124" s="59">
        <f t="shared" si="90"/>
        <v>372.1604147006675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1.2054879413122463</v>
      </c>
      <c r="AV124" s="21">
        <f>EXP(-LN(2)/25)*AV123+(1-EXP(-LN(2)/25))/(LN(2)/25)*Calculateur!AQ124*Calculateur!AS124*VLOOKUP('Données projet'!$B$10,Paramètres!$A$1:$I$89,3,0)*0.475*44/12</f>
        <v>1.5531401387971857</v>
      </c>
      <c r="AW124" s="21">
        <f>EXP(-LN(2)/2)*AW123+(1-EXP(-LN(2)/2))/(LN(2)/2)*AQ124*AT124*VLOOKUP('Données projet'!$B$10,Paramètres!$A$1:$I$89,3,0)*0.475*44/12</f>
        <v>5.8914771181259762E-13</v>
      </c>
      <c r="AX124" s="21">
        <f t="shared" si="60"/>
        <v>2.7586280801100211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-5.1159076974727213E-13</v>
      </c>
      <c r="BE124" s="13">
        <f>BD124*VLOOKUP('Données projet'!$B$11,Paramètres!$A$1:$I$89,3,0)*VLOOKUP('Données projet'!$B$11,Paramètres!$A$1:$I$89,5,0)</f>
        <v>-3.4317508834647017E-13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207.93042467236967</v>
      </c>
      <c r="BJ124" s="59">
        <f t="shared" si="92"/>
        <v>250.70954318710835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0.4537703188178196</v>
      </c>
      <c r="BQ124" s="21">
        <f>EXP(-LN(2)/25)*BQ123+(1-EXP(-LN(2)/25))/(LN(2)/25)*Calculateur!BL124*Calculateur!BN124*VLOOKUP('Données projet'!$B$11,Paramètres!$A$1:$I$89,3,0)*0.475*44/12</f>
        <v>1.3877717529686204</v>
      </c>
      <c r="BR124" s="21">
        <f>EXP(-LN(2)/2)*BR123+(1-EXP(-LN(2)/2))/(LN(2)/2)*BL124*BO124*VLOOKUP('Données projet'!$B$11,Paramètres!$A$1:$I$89,3,0)*0.475*44/12</f>
        <v>4.0733384155725612E-13</v>
      </c>
      <c r="BS124" s="22">
        <f t="shared" si="63"/>
        <v>1.8415420717868471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1.7053025658242404E-13</v>
      </c>
      <c r="BZ124" s="13">
        <f>BY124*VLOOKUP('Données projet'!$B$12,Paramètres!$A$1:$I$89,3,0)*VLOOKUP('Données projet'!$B$12,Paramètres!$A$1:$I$89,5,0)</f>
        <v>1.3301360013429075E-13</v>
      </c>
      <c r="CA124" s="13">
        <f t="shared" si="93"/>
        <v>1.9329766731057041E-12</v>
      </c>
      <c r="CB124" s="20">
        <f t="shared" si="64"/>
        <v>3.5982663925596575E-12</v>
      </c>
      <c r="CC124" s="59">
        <f t="shared" si="65"/>
        <v>293.3333333333369</v>
      </c>
      <c r="CD124" s="59">
        <f ca="1">AVERAGE(OFFSET($CC$3,0,0,'Données projet'!$E$12+1,1))-AVERAGE(OFFSET($H$3,0,0,'Données projet'!$E$12+1,1))</f>
        <v>266.30229009596883</v>
      </c>
      <c r="CE124" s="59">
        <f t="shared" si="94"/>
        <v>270.19195828386046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0.23850461501206169</v>
      </c>
      <c r="CL124" s="21">
        <f>EXP(-LN(2)/25)*CL123+(1-EXP(-LN(2)/25))/(LN(2)/25)*Calculateur!CG124*Calculateur!CI124*VLOOKUP('Données projet'!$B$12,Paramètres!$A$1:$I$89,3,0)*0.475*44/12</f>
        <v>0.67145012982858088</v>
      </c>
      <c r="CM124" s="21">
        <f>EXP(-LN(2)/2)*CM123+(1-EXP(-LN(2)/2))/(LN(2)/2)*CG124*CJ124*VLOOKUP('Données projet'!$B$12,Paramètres!$A$1:$I$89,3,0)*0.475*44/12</f>
        <v>2.6269389453929958E-13</v>
      </c>
      <c r="CN124" s="22">
        <f t="shared" si="66"/>
        <v>0.90995474484090522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-5.1159076974727213E-13</v>
      </c>
      <c r="CU124" s="17">
        <f>CT124*VLOOKUP('Données projet'!$B$13,Paramètres!$A$1:$I$89,3,0)*VLOOKUP('Données projet'!$B$13,Paramètres!$A$1:$I$89,5,0)</f>
        <v>-4.0702161641092972E-13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260.20517190557814</v>
      </c>
      <c r="CZ124" s="59">
        <f t="shared" si="96"/>
        <v>307.22009971147133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0.53819270371415873</v>
      </c>
      <c r="DG124" s="21">
        <f>EXP(-LN(2)/25)*DG123+(1-EXP(-LN(2)/25))/(LN(2)/25)*Calculateur!DB124*Calculateur!DD124*VLOOKUP('Données projet'!$B$13,Paramètres!$A$1:$I$89,3,0)*0.475*44/12</f>
        <v>1.6459618465441752</v>
      </c>
      <c r="DH124" s="21">
        <f>EXP(-LN(2)/2)*DH123+(1-EXP(-LN(2)/2))/(LN(2)/2)*DB124*DE124*VLOOKUP('Données projet'!$B$13,Paramètres!$A$1:$I$89,3,0)*0.475*44/12</f>
        <v>4.8311688184697821E-13</v>
      </c>
      <c r="DI124" s="22">
        <f t="shared" si="69"/>
        <v>2.1841545502588171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-3.4106051316484809E-13</v>
      </c>
      <c r="DP124" s="17">
        <f>DO124*VLOOKUP('Données projet'!$B$14,Paramètres!$A$1:$I$89,3,0)*VLOOKUP('Données projet'!$B$14,Paramètres!$A$1:$I$89,5,0)</f>
        <v>-3.2987372833304104E-13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347.8889410585312</v>
      </c>
      <c r="DU124" s="59">
        <f t="shared" si="98"/>
        <v>254.78167322479203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0.42466052478045052</v>
      </c>
      <c r="EB124" s="21">
        <f>EXP(-LN(2)/25)*EB123+(1-EXP(-LN(2)/25))/(LN(2)/25)*Calculateur!DW124*Calculateur!DY124*VLOOKUP('Données projet'!$B$14,Paramètres!$A$1:$I$89,3,0)*0.475*44/12</f>
        <v>0.96745797697008218</v>
      </c>
      <c r="EC124" s="21">
        <f>EXP(-LN(2)/2)*EC123+(1-EXP(-LN(2)/2))/(LN(2)/2)*DW124*DZ124*VLOOKUP('Données projet'!$B$14,Paramètres!$A$1:$I$89,3,0)*0.475*44/12</f>
        <v>4.6303456105197874E-13</v>
      </c>
      <c r="ED124" s="22">
        <f t="shared" si="72"/>
        <v>1.3921185017509956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-3.4106051316484809E-13</v>
      </c>
      <c r="EK124" s="17">
        <f>EJ124*VLOOKUP('Données projet'!$B$15,Paramètres!$A$1:$I$89,3,0)*VLOOKUP('Données projet'!$B$15,Paramètres!$A$1:$I$89,5,0)</f>
        <v>-3.6711753637064249E-13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399.38728019348088</v>
      </c>
      <c r="EP124" s="59">
        <f t="shared" si="100"/>
        <v>289.54922160039791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0.47260606790082377</v>
      </c>
      <c r="EW124" s="21">
        <f>EXP(-LN(2)/25)*EW123+(1-EXP(-LN(2)/25))/(LN(2)/25)*Calculateur!ER124*Calculateur!ET124*VLOOKUP('Données projet'!$B$15,Paramètres!$A$1:$I$89,3,0)*0.475*44/12</f>
        <v>1.0766871034021892</v>
      </c>
      <c r="EX124" s="21">
        <f>EXP(-LN(2)/2)*EX123+(1-EXP(-LN(2)/2))/(LN(2)/2)*ER124*EU124*VLOOKUP('Données projet'!$B$15,Paramètres!$A$1:$I$89,3,0)*0.475*44/12</f>
        <v>5.1531265665462155E-13</v>
      </c>
      <c r="EY124" s="22">
        <f t="shared" si="75"/>
        <v>1.5492931713035283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-3.0859155231155454E-13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318.40875902853116</v>
      </c>
      <c r="T125" s="59">
        <f t="shared" si="88"/>
        <v>234.87694492493506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0.38947298504189176</v>
      </c>
      <c r="AA125" s="21">
        <f>EXP(-LN(2)/25)*AA124+(1-EXP(-LN(2)/25))/(LN(2)/25)*Calculateur!V125*Calculateur!X125*VLOOKUP('Données projet'!$B$9,Paramètres!$A$1:$I$89,3,0)*0.475*44/12</f>
        <v>0.88029293044159707</v>
      </c>
      <c r="AB125" s="21">
        <f>EXP(-LN(2)/2)*AB124+(1-EXP(-LN(2)/2))/(LN(2)/2)*V125*Y125*VLOOKUP('Données projet'!$B$9,Paramètres!$A$1:$I$89,3,0)*0.475*44/12</f>
        <v>3.0629133752465069E-13</v>
      </c>
      <c r="AC125" s="22">
        <f t="shared" si="57"/>
        <v>1.269765915483795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243.38048563215585</v>
      </c>
      <c r="AO125" s="59">
        <f t="shared" si="90"/>
        <v>372.1604147006675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1.1818490580581551</v>
      </c>
      <c r="AV125" s="21">
        <f>EXP(-LN(2)/25)*AV124+(1-EXP(-LN(2)/25))/(LN(2)/25)*Calculateur!AQ125*Calculateur!AS125*VLOOKUP('Données projet'!$B$10,Paramètres!$A$1:$I$89,3,0)*0.475*44/12</f>
        <v>1.5106694400256866</v>
      </c>
      <c r="AW125" s="21">
        <f>EXP(-LN(2)/2)*AW124+(1-EXP(-LN(2)/2))/(LN(2)/2)*AQ125*AT125*VLOOKUP('Données projet'!$B$10,Paramètres!$A$1:$I$89,3,0)*0.475*44/12</f>
        <v>4.1659034214322563E-13</v>
      </c>
      <c r="AX125" s="21">
        <f t="shared" si="60"/>
        <v>2.692518498084258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-5.1159076974727213E-13</v>
      </c>
      <c r="BE125" s="13">
        <f>BD125*VLOOKUP('Données projet'!$B$11,Paramètres!$A$1:$I$89,3,0)*VLOOKUP('Données projet'!$B$11,Paramètres!$A$1:$I$89,5,0)</f>
        <v>-3.4317508834647017E-13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207.93042467236967</v>
      </c>
      <c r="BJ125" s="59">
        <f t="shared" si="92"/>
        <v>250.70954318710835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0.44487215963836763</v>
      </c>
      <c r="BQ125" s="21">
        <f>EXP(-LN(2)/25)*BQ124+(1-EXP(-LN(2)/25))/(LN(2)/25)*Calculateur!BL125*Calculateur!BN125*VLOOKUP('Données projet'!$B$11,Paramètres!$A$1:$I$89,3,0)*0.475*44/12</f>
        <v>1.3498230614039488</v>
      </c>
      <c r="BR125" s="21">
        <f>EXP(-LN(2)/2)*BR124+(1-EXP(-LN(2)/2))/(LN(2)/2)*BL125*BO125*VLOOKUP('Données projet'!$B$11,Paramètres!$A$1:$I$89,3,0)*0.475*44/12</f>
        <v>2.8802852157190252E-13</v>
      </c>
      <c r="BS125" s="22">
        <f t="shared" si="63"/>
        <v>1.7946952210426044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1.7053025658242404E-13</v>
      </c>
      <c r="BZ125" s="13">
        <f>BY125*VLOOKUP('Données projet'!$B$12,Paramètres!$A$1:$I$89,3,0)*VLOOKUP('Données projet'!$B$12,Paramètres!$A$1:$I$89,5,0)</f>
        <v>1.3301360013429075E-13</v>
      </c>
      <c r="CA125" s="13">
        <f t="shared" si="93"/>
        <v>1.9329766731057041E-12</v>
      </c>
      <c r="CB125" s="20">
        <f t="shared" si="64"/>
        <v>3.5982663925596575E-12</v>
      </c>
      <c r="CC125" s="59">
        <f t="shared" si="65"/>
        <v>293.3333333333369</v>
      </c>
      <c r="CD125" s="59">
        <f ca="1">AVERAGE(OFFSET($CC$3,0,0,'Données projet'!$E$12+1,1))-AVERAGE(OFFSET($H$3,0,0,'Données projet'!$E$12+1,1))</f>
        <v>266.30229009596883</v>
      </c>
      <c r="CE125" s="59">
        <f t="shared" si="94"/>
        <v>270.19195828386046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0.23382768498512602</v>
      </c>
      <c r="CL125" s="21">
        <f>EXP(-LN(2)/25)*CL124+(1-EXP(-LN(2)/25))/(LN(2)/25)*Calculateur!CG125*Calculateur!CI125*VLOOKUP('Données projet'!$B$12,Paramètres!$A$1:$I$89,3,0)*0.475*44/12</f>
        <v>0.65308929071839061</v>
      </c>
      <c r="CM125" s="21">
        <f>EXP(-LN(2)/2)*CM124+(1-EXP(-LN(2)/2))/(LN(2)/2)*CG125*CJ125*VLOOKUP('Données projet'!$B$12,Paramètres!$A$1:$I$89,3,0)*0.475*44/12</f>
        <v>1.857526342050425E-13</v>
      </c>
      <c r="CN125" s="22">
        <f t="shared" si="66"/>
        <v>0.88691697570370243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-5.1159076974727213E-13</v>
      </c>
      <c r="CU125" s="17">
        <f>CT125*VLOOKUP('Données projet'!$B$13,Paramètres!$A$1:$I$89,3,0)*VLOOKUP('Données projet'!$B$13,Paramètres!$A$1:$I$89,5,0)</f>
        <v>-4.0702161641092972E-13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260.20517190557814</v>
      </c>
      <c r="CZ125" s="59">
        <f t="shared" si="96"/>
        <v>307.22009971147133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0.5276390730594599</v>
      </c>
      <c r="DG125" s="21">
        <f>EXP(-LN(2)/25)*DG124+(1-EXP(-LN(2)/25))/(LN(2)/25)*Calculateur!DB125*Calculateur!DD125*VLOOKUP('Données projet'!$B$13,Paramètres!$A$1:$I$89,3,0)*0.475*44/12</f>
        <v>1.6009529332930532</v>
      </c>
      <c r="DH125" s="21">
        <f>EXP(-LN(2)/2)*DH124+(1-EXP(-LN(2)/2))/(LN(2)/2)*DB125*DE125*VLOOKUP('Données projet'!$B$13,Paramètres!$A$1:$I$89,3,0)*0.475*44/12</f>
        <v>3.4161522325969836E-13</v>
      </c>
      <c r="DI125" s="22">
        <f t="shared" si="69"/>
        <v>2.1285920063528545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-3.4106051316484809E-13</v>
      </c>
      <c r="DP125" s="17">
        <f>DO125*VLOOKUP('Données projet'!$B$14,Paramètres!$A$1:$I$89,3,0)*VLOOKUP('Données projet'!$B$14,Paramètres!$A$1:$I$89,5,0)</f>
        <v>-3.2987372833304104E-13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347.8889410585312</v>
      </c>
      <c r="DU125" s="59">
        <f t="shared" si="98"/>
        <v>254.78167322479203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0.41633319090685017</v>
      </c>
      <c r="EB125" s="21">
        <f>EXP(-LN(2)/25)*EB124+(1-EXP(-LN(2)/25))/(LN(2)/25)*Calculateur!DW125*Calculateur!DY125*VLOOKUP('Données projet'!$B$14,Paramètres!$A$1:$I$89,3,0)*0.475*44/12</f>
        <v>0.94100278771343138</v>
      </c>
      <c r="EC125" s="21">
        <f>EXP(-LN(2)/2)*EC124+(1-EXP(-LN(2)/2))/(LN(2)/2)*DW125*DZ125*VLOOKUP('Données projet'!$B$14,Paramètres!$A$1:$I$89,3,0)*0.475*44/12</f>
        <v>3.2741487804359062E-13</v>
      </c>
      <c r="ED125" s="22">
        <f t="shared" si="72"/>
        <v>1.3573359786206092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-3.4106051316484809E-13</v>
      </c>
      <c r="EK125" s="17">
        <f>EJ125*VLOOKUP('Données projet'!$B$15,Paramètres!$A$1:$I$89,3,0)*VLOOKUP('Données projet'!$B$15,Paramètres!$A$1:$I$89,5,0)</f>
        <v>-3.6711753637064249E-13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399.38728019348088</v>
      </c>
      <c r="EP125" s="59">
        <f t="shared" si="100"/>
        <v>289.54922160039791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0.46333855117052658</v>
      </c>
      <c r="EW125" s="21">
        <f>EXP(-LN(2)/25)*EW124+(1-EXP(-LN(2)/25))/(LN(2)/25)*Calculateur!ER125*Calculateur!ET125*VLOOKUP('Données projet'!$B$15,Paramètres!$A$1:$I$89,3,0)*0.475*44/12</f>
        <v>1.0472450379391425</v>
      </c>
      <c r="EX125" s="21">
        <f>EXP(-LN(2)/2)*EX124+(1-EXP(-LN(2)/2))/(LN(2)/2)*ER125*EU125*VLOOKUP('Données projet'!$B$15,Paramètres!$A$1:$I$89,3,0)*0.475*44/12</f>
        <v>3.6438107395173797E-13</v>
      </c>
      <c r="EY125" s="22">
        <f t="shared" si="75"/>
        <v>1.5105835891100334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-3.0859155231155454E-13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318.40875902853116</v>
      </c>
      <c r="T126" s="59">
        <f t="shared" si="88"/>
        <v>234.87694492493506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0.38183565736028452</v>
      </c>
      <c r="AA126" s="21">
        <f>EXP(-LN(2)/25)*AA125+(1-EXP(-LN(2)/25))/(LN(2)/25)*Calculateur!V126*Calculateur!X126*VLOOKUP('Données projet'!$B$9,Paramètres!$A$1:$I$89,3,0)*0.475*44/12</f>
        <v>0.85622127396607828</v>
      </c>
      <c r="AB126" s="21">
        <f>EXP(-LN(2)/2)*AB125+(1-EXP(-LN(2)/2))/(LN(2)/2)*V126*Y126*VLOOKUP('Données projet'!$B$9,Paramètres!$A$1:$I$89,3,0)*0.475*44/12</f>
        <v>2.1658068178237815E-13</v>
      </c>
      <c r="AC126" s="22">
        <f t="shared" si="57"/>
        <v>1.2380569313265792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243.38048563215585</v>
      </c>
      <c r="AO126" s="59">
        <f t="shared" si="90"/>
        <v>372.1604147006675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1.1586737188863814</v>
      </c>
      <c r="AV126" s="21">
        <f>EXP(-LN(2)/25)*AV125+(1-EXP(-LN(2)/25))/(LN(2)/25)*Calculateur!AQ126*Calculateur!AS126*VLOOKUP('Données projet'!$B$10,Paramètres!$A$1:$I$89,3,0)*0.475*44/12</f>
        <v>1.4693601047455309</v>
      </c>
      <c r="AW126" s="21">
        <f>EXP(-LN(2)/2)*AW125+(1-EXP(-LN(2)/2))/(LN(2)/2)*AQ126*AT126*VLOOKUP('Données projet'!$B$10,Paramètres!$A$1:$I$89,3,0)*0.475*44/12</f>
        <v>2.9457385590629881E-13</v>
      </c>
      <c r="AX126" s="21">
        <f t="shared" si="60"/>
        <v>2.6280338236322067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-5.1159076974727213E-13</v>
      </c>
      <c r="BE126" s="13">
        <f>BD126*VLOOKUP('Données projet'!$B$11,Paramètres!$A$1:$I$89,3,0)*VLOOKUP('Données projet'!$B$11,Paramètres!$A$1:$I$89,5,0)</f>
        <v>-3.4317508834647017E-13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207.93042467236967</v>
      </c>
      <c r="BJ126" s="59">
        <f t="shared" si="92"/>
        <v>250.70954318710835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0.43614848793308347</v>
      </c>
      <c r="BQ126" s="21">
        <f>EXP(-LN(2)/25)*BQ125+(1-EXP(-LN(2)/25))/(LN(2)/25)*Calculateur!BL126*Calculateur!BN126*VLOOKUP('Données projet'!$B$11,Paramètres!$A$1:$I$89,3,0)*0.475*44/12</f>
        <v>1.312912078805748</v>
      </c>
      <c r="BR126" s="21">
        <f>EXP(-LN(2)/2)*BR125+(1-EXP(-LN(2)/2))/(LN(2)/2)*BL126*BO126*VLOOKUP('Données projet'!$B$11,Paramètres!$A$1:$I$89,3,0)*0.475*44/12</f>
        <v>2.0366692077862806E-13</v>
      </c>
      <c r="BS126" s="22">
        <f t="shared" si="63"/>
        <v>1.7490605667390351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1.7053025658242404E-13</v>
      </c>
      <c r="BZ126" s="13">
        <f>BY126*VLOOKUP('Données projet'!$B$12,Paramètres!$A$1:$I$89,3,0)*VLOOKUP('Données projet'!$B$12,Paramètres!$A$1:$I$89,5,0)</f>
        <v>1.3301360013429075E-13</v>
      </c>
      <c r="CA126" s="13">
        <f t="shared" si="93"/>
        <v>1.9329766731057041E-12</v>
      </c>
      <c r="CB126" s="20">
        <f t="shared" si="64"/>
        <v>3.5982663925596575E-12</v>
      </c>
      <c r="CC126" s="59">
        <f t="shared" si="65"/>
        <v>293.3333333333369</v>
      </c>
      <c r="CD126" s="59">
        <f ca="1">AVERAGE(OFFSET($CC$3,0,0,'Données projet'!$E$12+1,1))-AVERAGE(OFFSET($H$3,0,0,'Données projet'!$E$12+1,1))</f>
        <v>266.30229009596883</v>
      </c>
      <c r="CE126" s="59">
        <f t="shared" si="94"/>
        <v>270.19195828386046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0.22924246670337289</v>
      </c>
      <c r="CL126" s="21">
        <f>EXP(-LN(2)/25)*CL125+(1-EXP(-LN(2)/25))/(LN(2)/25)*Calculateur!CG126*Calculateur!CI126*VLOOKUP('Données projet'!$B$12,Paramètres!$A$1:$I$89,3,0)*0.475*44/12</f>
        <v>0.63523052971922311</v>
      </c>
      <c r="CM126" s="21">
        <f>EXP(-LN(2)/2)*CM125+(1-EXP(-LN(2)/2))/(LN(2)/2)*CG126*CJ126*VLOOKUP('Données projet'!$B$12,Paramètres!$A$1:$I$89,3,0)*0.475*44/12</f>
        <v>1.3134694726964979E-13</v>
      </c>
      <c r="CN126" s="22">
        <f t="shared" si="66"/>
        <v>0.86447299642272735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-5.1159076974727213E-13</v>
      </c>
      <c r="CU126" s="17">
        <f>CT126*VLOOKUP('Données projet'!$B$13,Paramètres!$A$1:$I$89,3,0)*VLOOKUP('Données projet'!$B$13,Paramètres!$A$1:$I$89,5,0)</f>
        <v>-4.0702161641092972E-13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260.20517190557814</v>
      </c>
      <c r="CZ126" s="59">
        <f t="shared" si="96"/>
        <v>307.22009971147133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0.51729239266482052</v>
      </c>
      <c r="DG126" s="21">
        <f>EXP(-LN(2)/25)*DG125+(1-EXP(-LN(2)/25))/(LN(2)/25)*Calculateur!DB126*Calculateur!DD126*VLOOKUP('Données projet'!$B$13,Paramètres!$A$1:$I$89,3,0)*0.475*44/12</f>
        <v>1.5571747911416989</v>
      </c>
      <c r="DH126" s="21">
        <f>EXP(-LN(2)/2)*DH125+(1-EXP(-LN(2)/2))/(LN(2)/2)*DB126*DE126*VLOOKUP('Données projet'!$B$13,Paramètres!$A$1:$I$89,3,0)*0.475*44/12</f>
        <v>2.415584409234891E-13</v>
      </c>
      <c r="DI126" s="22">
        <f t="shared" si="69"/>
        <v>2.0744671838067612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-3.4106051316484809E-13</v>
      </c>
      <c r="DP126" s="17">
        <f>DO126*VLOOKUP('Données projet'!$B$14,Paramètres!$A$1:$I$89,3,0)*VLOOKUP('Données projet'!$B$14,Paramètres!$A$1:$I$89,5,0)</f>
        <v>-3.2987372833304104E-13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347.8889410585312</v>
      </c>
      <c r="DU126" s="59">
        <f t="shared" si="98"/>
        <v>254.78167322479203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0.40816915097133899</v>
      </c>
      <c r="EB126" s="21">
        <f>EXP(-LN(2)/25)*EB125+(1-EXP(-LN(2)/25))/(LN(2)/25)*Calculateur!DW126*Calculateur!DY126*VLOOKUP('Données projet'!$B$14,Paramètres!$A$1:$I$89,3,0)*0.475*44/12</f>
        <v>0.91527101699822166</v>
      </c>
      <c r="EC126" s="21">
        <f>EXP(-LN(2)/2)*EC125+(1-EXP(-LN(2)/2))/(LN(2)/2)*DW126*DZ126*VLOOKUP('Données projet'!$B$14,Paramètres!$A$1:$I$89,3,0)*0.475*44/12</f>
        <v>2.3151728052598937E-13</v>
      </c>
      <c r="ED126" s="22">
        <f t="shared" si="72"/>
        <v>1.3234401679697922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-3.4106051316484809E-13</v>
      </c>
      <c r="EK126" s="17">
        <f>EJ126*VLOOKUP('Données projet'!$B$15,Paramètres!$A$1:$I$89,3,0)*VLOOKUP('Données projet'!$B$15,Paramètres!$A$1:$I$89,5,0)</f>
        <v>-3.6711753637064249E-13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399.38728019348088</v>
      </c>
      <c r="EP126" s="59">
        <f t="shared" si="100"/>
        <v>289.54922160039791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0.45425276479068349</v>
      </c>
      <c r="EW126" s="21">
        <f>EXP(-LN(2)/25)*EW125+(1-EXP(-LN(2)/25))/(LN(2)/25)*Calculateur!ER126*Calculateur!ET126*VLOOKUP('Données projet'!$B$15,Paramètres!$A$1:$I$89,3,0)*0.475*44/12</f>
        <v>1.0186080673044735</v>
      </c>
      <c r="EX126" s="21">
        <f>EXP(-LN(2)/2)*EX125+(1-EXP(-LN(2)/2))/(LN(2)/2)*ER126*EU126*VLOOKUP('Données projet'!$B$15,Paramètres!$A$1:$I$89,3,0)*0.475*44/12</f>
        <v>2.5765632832731077E-13</v>
      </c>
      <c r="EY126" s="22">
        <f t="shared" si="75"/>
        <v>1.4728608320954146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-3.0859155231155454E-13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318.40875902853116</v>
      </c>
      <c r="T127" s="59">
        <f t="shared" si="88"/>
        <v>234.87694492493506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0.3743480930162037</v>
      </c>
      <c r="AA127" s="21">
        <f>EXP(-LN(2)/25)*AA126+(1-EXP(-LN(2)/25))/(LN(2)/25)*Calculateur!V127*Calculateur!X127*VLOOKUP('Données projet'!$B$9,Paramètres!$A$1:$I$89,3,0)*0.475*44/12</f>
        <v>0.83280785820275594</v>
      </c>
      <c r="AB127" s="21">
        <f>EXP(-LN(2)/2)*AB126+(1-EXP(-LN(2)/2))/(LN(2)/2)*V127*Y127*VLOOKUP('Données projet'!$B$9,Paramètres!$A$1:$I$89,3,0)*0.475*44/12</f>
        <v>1.5314566876232535E-13</v>
      </c>
      <c r="AC127" s="22">
        <f t="shared" si="57"/>
        <v>1.2071559512191128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243.38048563215585</v>
      </c>
      <c r="AO127" s="59">
        <f t="shared" si="90"/>
        <v>372.1604147006675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1.135952833980205</v>
      </c>
      <c r="AV127" s="21">
        <f>EXP(-LN(2)/25)*AV126+(1-EXP(-LN(2)/25))/(LN(2)/25)*Calculateur!AQ127*Calculateur!AS127*VLOOKUP('Données projet'!$B$10,Paramètres!$A$1:$I$89,3,0)*0.475*44/12</f>
        <v>1.4291803754109746</v>
      </c>
      <c r="AW127" s="21">
        <f>EXP(-LN(2)/2)*AW126+(1-EXP(-LN(2)/2))/(LN(2)/2)*AQ127*AT127*VLOOKUP('Données projet'!$B$10,Paramètres!$A$1:$I$89,3,0)*0.475*44/12</f>
        <v>2.0829517107161282E-13</v>
      </c>
      <c r="AX127" s="21">
        <f t="shared" si="60"/>
        <v>2.5651332093913877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-5.1159076974727213E-13</v>
      </c>
      <c r="BE127" s="13">
        <f>BD127*VLOOKUP('Données projet'!$B$11,Paramètres!$A$1:$I$89,3,0)*VLOOKUP('Données projet'!$B$11,Paramètres!$A$1:$I$89,5,0)</f>
        <v>-3.4317508834647017E-13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207.93042467236967</v>
      </c>
      <c r="BJ127" s="59">
        <f t="shared" si="92"/>
        <v>250.70954318710835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0.4275958821090256</v>
      </c>
      <c r="BQ127" s="21">
        <f>EXP(-LN(2)/25)*BQ126+(1-EXP(-LN(2)/25))/(LN(2)/25)*Calculateur!BL127*Calculateur!BN127*VLOOKUP('Données projet'!$B$11,Paramètres!$A$1:$I$89,3,0)*0.475*44/12</f>
        <v>1.2770104289677593</v>
      </c>
      <c r="BR127" s="21">
        <f>EXP(-LN(2)/2)*BR126+(1-EXP(-LN(2)/2))/(LN(2)/2)*BL127*BO127*VLOOKUP('Données projet'!$B$11,Paramètres!$A$1:$I$89,3,0)*0.475*44/12</f>
        <v>1.4401426078595126E-13</v>
      </c>
      <c r="BS127" s="22">
        <f t="shared" si="63"/>
        <v>1.7046063110769289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1.7053025658242404E-13</v>
      </c>
      <c r="BZ127" s="13">
        <f>BY127*VLOOKUP('Données projet'!$B$12,Paramètres!$A$1:$I$89,3,0)*VLOOKUP('Données projet'!$B$12,Paramètres!$A$1:$I$89,5,0)</f>
        <v>1.3301360013429075E-13</v>
      </c>
      <c r="CA127" s="13">
        <f t="shared" si="93"/>
        <v>1.9329766731057041E-12</v>
      </c>
      <c r="CB127" s="20">
        <f t="shared" si="64"/>
        <v>3.5982663925596575E-12</v>
      </c>
      <c r="CC127" s="59">
        <f t="shared" si="65"/>
        <v>293.3333333333369</v>
      </c>
      <c r="CD127" s="59">
        <f ca="1">AVERAGE(OFFSET($CC$3,0,0,'Données projet'!$E$12+1,1))-AVERAGE(OFFSET($H$3,0,0,'Données projet'!$E$12+1,1))</f>
        <v>266.30229009596883</v>
      </c>
      <c r="CE127" s="59">
        <f t="shared" si="94"/>
        <v>270.19195828386046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0.22474716175541795</v>
      </c>
      <c r="CL127" s="21">
        <f>EXP(-LN(2)/25)*CL126+(1-EXP(-LN(2)/25))/(LN(2)/25)*Calculateur!CG127*Calculateur!CI127*VLOOKUP('Données projet'!$B$12,Paramètres!$A$1:$I$89,3,0)*0.475*44/12</f>
        <v>0.61786011747872926</v>
      </c>
      <c r="CM127" s="21">
        <f>EXP(-LN(2)/2)*CM126+(1-EXP(-LN(2)/2))/(LN(2)/2)*CG127*CJ127*VLOOKUP('Données projet'!$B$12,Paramètres!$A$1:$I$89,3,0)*0.475*44/12</f>
        <v>9.2876317102521251E-14</v>
      </c>
      <c r="CN127" s="22">
        <f t="shared" si="66"/>
        <v>0.84260727923424017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-5.1159076974727213E-13</v>
      </c>
      <c r="CU127" s="17">
        <f>CT127*VLOOKUP('Données projet'!$B$13,Paramètres!$A$1:$I$89,3,0)*VLOOKUP('Données projet'!$B$13,Paramètres!$A$1:$I$89,5,0)</f>
        <v>-4.0702161641092972E-13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260.20517190557814</v>
      </c>
      <c r="CZ127" s="59">
        <f t="shared" si="96"/>
        <v>307.22009971147133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0.50714860436186815</v>
      </c>
      <c r="DG127" s="21">
        <f>EXP(-LN(2)/25)*DG126+(1-EXP(-LN(2)/25))/(LN(2)/25)*Calculateur!DB127*Calculateur!DD127*VLOOKUP('Données projet'!$B$13,Paramètres!$A$1:$I$89,3,0)*0.475*44/12</f>
        <v>1.5145937645896659</v>
      </c>
      <c r="DH127" s="21">
        <f>EXP(-LN(2)/2)*DH126+(1-EXP(-LN(2)/2))/(LN(2)/2)*DB127*DE127*VLOOKUP('Données projet'!$B$13,Paramètres!$A$1:$I$89,3,0)*0.475*44/12</f>
        <v>1.7080761162984918E-13</v>
      </c>
      <c r="DI127" s="22">
        <f t="shared" si="69"/>
        <v>2.0217423689517049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-3.4106051316484809E-13</v>
      </c>
      <c r="DP127" s="17">
        <f>DO127*VLOOKUP('Données projet'!$B$14,Paramètres!$A$1:$I$89,3,0)*VLOOKUP('Données projet'!$B$14,Paramètres!$A$1:$I$89,5,0)</f>
        <v>-3.2987372833304104E-13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347.8889410585312</v>
      </c>
      <c r="DU127" s="59">
        <f t="shared" si="98"/>
        <v>254.78167322479203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0.4001652028793905</v>
      </c>
      <c r="EB127" s="21">
        <f>EXP(-LN(2)/25)*EB126+(1-EXP(-LN(2)/25))/(LN(2)/25)*Calculateur!DW127*Calculateur!DY127*VLOOKUP('Données projet'!$B$14,Paramètres!$A$1:$I$89,3,0)*0.475*44/12</f>
        <v>0.89024288290639442</v>
      </c>
      <c r="EC127" s="21">
        <f>EXP(-LN(2)/2)*EC126+(1-EXP(-LN(2)/2))/(LN(2)/2)*DW127*DZ127*VLOOKUP('Données projet'!$B$14,Paramètres!$A$1:$I$89,3,0)*0.475*44/12</f>
        <v>1.6370743902179531E-13</v>
      </c>
      <c r="ED127" s="22">
        <f t="shared" si="72"/>
        <v>1.2904080857859486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-3.4106051316484809E-13</v>
      </c>
      <c r="EK127" s="17">
        <f>EJ127*VLOOKUP('Données projet'!$B$15,Paramètres!$A$1:$I$89,3,0)*VLOOKUP('Données projet'!$B$15,Paramètres!$A$1:$I$89,5,0)</f>
        <v>-3.6711753637064249E-13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399.38728019348088</v>
      </c>
      <c r="EP127" s="59">
        <f t="shared" si="100"/>
        <v>289.54922160039791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0.44534514513996665</v>
      </c>
      <c r="EW127" s="21">
        <f>EXP(-LN(2)/25)*EW126+(1-EXP(-LN(2)/25))/(LN(2)/25)*Calculateur!ER127*Calculateur!ET127*VLOOKUP('Données projet'!$B$15,Paramètres!$A$1:$I$89,3,0)*0.475*44/12</f>
        <v>0.99075417613776251</v>
      </c>
      <c r="EX127" s="21">
        <f>EXP(-LN(2)/2)*EX126+(1-EXP(-LN(2)/2))/(LN(2)/2)*ER127*EU127*VLOOKUP('Données projet'!$B$15,Paramètres!$A$1:$I$89,3,0)*0.475*44/12</f>
        <v>1.8219053697586899E-13</v>
      </c>
      <c r="EY127" s="22">
        <f t="shared" si="75"/>
        <v>1.4360993212779114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-3.0859155231155454E-13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318.40875902853116</v>
      </c>
      <c r="T128" s="59">
        <f t="shared" si="88"/>
        <v>234.87694492493506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0.367007355241947</v>
      </c>
      <c r="AA128" s="21">
        <f>EXP(-LN(2)/25)*AA127+(1-EXP(-LN(2)/25))/(LN(2)/25)*Calculateur!V128*Calculateur!X128*VLOOKUP('Données projet'!$B$9,Paramètres!$A$1:$I$89,3,0)*0.475*44/12</f>
        <v>0.81003468352473973</v>
      </c>
      <c r="AB128" s="21">
        <f>EXP(-LN(2)/2)*AB127+(1-EXP(-LN(2)/2))/(LN(2)/2)*V128*Y128*VLOOKUP('Données projet'!$B$9,Paramètres!$A$1:$I$89,3,0)*0.475*44/12</f>
        <v>1.0829034089118908E-13</v>
      </c>
      <c r="AC128" s="22">
        <f t="shared" si="57"/>
        <v>1.177042038766795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243.38048563215585</v>
      </c>
      <c r="AO128" s="59">
        <f t="shared" si="90"/>
        <v>372.1604147006675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1.1136774917686674</v>
      </c>
      <c r="AV128" s="21">
        <f>EXP(-LN(2)/25)*AV127+(1-EXP(-LN(2)/25))/(LN(2)/25)*Calculateur!AQ128*Calculateur!AS128*VLOOKUP('Données projet'!$B$10,Paramètres!$A$1:$I$89,3,0)*0.475*44/12</f>
        <v>1.390099362888032</v>
      </c>
      <c r="AW128" s="21">
        <f>EXP(-LN(2)/2)*AW127+(1-EXP(-LN(2)/2))/(LN(2)/2)*AQ128*AT128*VLOOKUP('Données projet'!$B$10,Paramètres!$A$1:$I$89,3,0)*0.475*44/12</f>
        <v>1.4728692795314941E-13</v>
      </c>
      <c r="AX128" s="21">
        <f t="shared" si="60"/>
        <v>2.5037768546568469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-5.1159076974727213E-13</v>
      </c>
      <c r="BE128" s="13">
        <f>BD128*VLOOKUP('Données projet'!$B$11,Paramètres!$A$1:$I$89,3,0)*VLOOKUP('Données projet'!$B$11,Paramètres!$A$1:$I$89,5,0)</f>
        <v>-3.4317508834647017E-13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207.93042467236967</v>
      </c>
      <c r="BJ128" s="59">
        <f t="shared" si="92"/>
        <v>250.70954318710835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0.4192109876686031</v>
      </c>
      <c r="BQ128" s="21">
        <f>EXP(-LN(2)/25)*BQ127+(1-EXP(-LN(2)/25))/(LN(2)/25)*Calculateur!BL128*Calculateur!BN128*VLOOKUP('Données projet'!$B$11,Paramètres!$A$1:$I$89,3,0)*0.475*44/12</f>
        <v>1.242090511632576</v>
      </c>
      <c r="BR128" s="21">
        <f>EXP(-LN(2)/2)*BR127+(1-EXP(-LN(2)/2))/(LN(2)/2)*BL128*BO128*VLOOKUP('Données projet'!$B$11,Paramètres!$A$1:$I$89,3,0)*0.475*44/12</f>
        <v>1.0183346038931403E-13</v>
      </c>
      <c r="BS128" s="22">
        <f t="shared" si="63"/>
        <v>1.6613014993012809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1.7053025658242404E-13</v>
      </c>
      <c r="BZ128" s="13">
        <f>BY128*VLOOKUP('Données projet'!$B$12,Paramètres!$A$1:$I$89,3,0)*VLOOKUP('Données projet'!$B$12,Paramètres!$A$1:$I$89,5,0)</f>
        <v>1.3301360013429075E-13</v>
      </c>
      <c r="CA128" s="13">
        <f t="shared" si="93"/>
        <v>1.9329766731057041E-12</v>
      </c>
      <c r="CB128" s="20">
        <f t="shared" si="64"/>
        <v>3.5982663925596575E-12</v>
      </c>
      <c r="CC128" s="59">
        <f t="shared" si="65"/>
        <v>293.3333333333369</v>
      </c>
      <c r="CD128" s="59">
        <f ca="1">AVERAGE(OFFSET($CC$3,0,0,'Données projet'!$E$12+1,1))-AVERAGE(OFFSET($H$3,0,0,'Données projet'!$E$12+1,1))</f>
        <v>266.30229009596883</v>
      </c>
      <c r="CE128" s="59">
        <f t="shared" si="94"/>
        <v>270.19195828386046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0.22034000699562714</v>
      </c>
      <c r="CL128" s="21">
        <f>EXP(-LN(2)/25)*CL127+(1-EXP(-LN(2)/25))/(LN(2)/25)*Calculateur!CG128*Calculateur!CI128*VLOOKUP('Données projet'!$B$12,Paramètres!$A$1:$I$89,3,0)*0.475*44/12</f>
        <v>0.60096470007442193</v>
      </c>
      <c r="CM128" s="21">
        <f>EXP(-LN(2)/2)*CM127+(1-EXP(-LN(2)/2))/(LN(2)/2)*CG128*CJ128*VLOOKUP('Données projet'!$B$12,Paramètres!$A$1:$I$89,3,0)*0.475*44/12</f>
        <v>6.5673473634824895E-14</v>
      </c>
      <c r="CN128" s="22">
        <f t="shared" si="66"/>
        <v>0.82130470707011483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-5.1159076974727213E-13</v>
      </c>
      <c r="CU128" s="17">
        <f>CT128*VLOOKUP('Données projet'!$B$13,Paramètres!$A$1:$I$89,3,0)*VLOOKUP('Données projet'!$B$13,Paramètres!$A$1:$I$89,5,0)</f>
        <v>-4.0702161641092972E-13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260.20517190557814</v>
      </c>
      <c r="CZ128" s="59">
        <f t="shared" si="96"/>
        <v>307.22009971147133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0.49720372956043679</v>
      </c>
      <c r="DG128" s="21">
        <f>EXP(-LN(2)/25)*DG127+(1-EXP(-LN(2)/25))/(LN(2)/25)*Calculateur!DB128*Calculateur!DD128*VLOOKUP('Données projet'!$B$13,Paramètres!$A$1:$I$89,3,0)*0.475*44/12</f>
        <v>1.473177118447937</v>
      </c>
      <c r="DH128" s="21">
        <f>EXP(-LN(2)/2)*DH127+(1-EXP(-LN(2)/2))/(LN(2)/2)*DB128*DE128*VLOOKUP('Données projet'!$B$13,Paramètres!$A$1:$I$89,3,0)*0.475*44/12</f>
        <v>1.2077922046174455E-13</v>
      </c>
      <c r="DI128" s="22">
        <f t="shared" si="69"/>
        <v>1.9703808480084946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-3.4106051316484809E-13</v>
      </c>
      <c r="DP128" s="17">
        <f>DO128*VLOOKUP('Données projet'!$B$14,Paramètres!$A$1:$I$89,3,0)*VLOOKUP('Données projet'!$B$14,Paramètres!$A$1:$I$89,5,0)</f>
        <v>-3.2987372833304104E-13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347.8889410585312</v>
      </c>
      <c r="DU128" s="59">
        <f t="shared" si="98"/>
        <v>254.78167322479203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0.39231820732759887</v>
      </c>
      <c r="EB128" s="21">
        <f>EXP(-LN(2)/25)*EB127+(1-EXP(-LN(2)/25))/(LN(2)/25)*Calculateur!DW128*Calculateur!DY128*VLOOKUP('Données projet'!$B$14,Paramètres!$A$1:$I$89,3,0)*0.475*44/12</f>
        <v>0.86589914445748051</v>
      </c>
      <c r="EC128" s="21">
        <f>EXP(-LN(2)/2)*EC127+(1-EXP(-LN(2)/2))/(LN(2)/2)*DW128*DZ128*VLOOKUP('Données projet'!$B$14,Paramètres!$A$1:$I$89,3,0)*0.475*44/12</f>
        <v>1.1575864026299469E-13</v>
      </c>
      <c r="ED128" s="22">
        <f t="shared" si="72"/>
        <v>1.2582173517851951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-3.4106051316484809E-13</v>
      </c>
      <c r="EK128" s="17">
        <f>EJ128*VLOOKUP('Données projet'!$B$15,Paramètres!$A$1:$I$89,3,0)*VLOOKUP('Données projet'!$B$15,Paramètres!$A$1:$I$89,5,0)</f>
        <v>-3.6711753637064249E-13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399.38728019348088</v>
      </c>
      <c r="EP128" s="59">
        <f t="shared" si="100"/>
        <v>289.54922160039791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0.43661219847748883</v>
      </c>
      <c r="EW128" s="21">
        <f>EXP(-LN(2)/25)*EW127+(1-EXP(-LN(2)/25))/(LN(2)/25)*Calculateur!ER128*Calculateur!ET128*VLOOKUP('Données projet'!$B$15,Paramètres!$A$1:$I$89,3,0)*0.475*44/12</f>
        <v>0.9636619510897777</v>
      </c>
      <c r="EX128" s="21">
        <f>EXP(-LN(2)/2)*EX127+(1-EXP(-LN(2)/2))/(LN(2)/2)*ER128*EU128*VLOOKUP('Données projet'!$B$15,Paramètres!$A$1:$I$89,3,0)*0.475*44/12</f>
        <v>1.2882816416365539E-13</v>
      </c>
      <c r="EY128" s="22">
        <f t="shared" si="75"/>
        <v>1.4002741495673954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-3.0859155231155454E-13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318.40875902853116</v>
      </c>
      <c r="T129" s="59">
        <f t="shared" si="88"/>
        <v>234.87694492493506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0.35981056485803553</v>
      </c>
      <c r="AA129" s="21">
        <f>EXP(-LN(2)/25)*AA128+(1-EXP(-LN(2)/25))/(LN(2)/25)*Calculateur!V129*Calculateur!X129*VLOOKUP('Données projet'!$B$9,Paramètres!$A$1:$I$89,3,0)*0.475*44/12</f>
        <v>0.78788424250588307</v>
      </c>
      <c r="AB129" s="21">
        <f>EXP(-LN(2)/2)*AB128+(1-EXP(-LN(2)/2))/(LN(2)/2)*V129*Y129*VLOOKUP('Données projet'!$B$9,Paramètres!$A$1:$I$89,3,0)*0.475*44/12</f>
        <v>7.6572834381162674E-14</v>
      </c>
      <c r="AC129" s="22">
        <f t="shared" si="57"/>
        <v>1.1476948073639952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243.38048563215585</v>
      </c>
      <c r="AO129" s="59">
        <f t="shared" si="90"/>
        <v>372.1604147006675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1.0918389554312808</v>
      </c>
      <c r="AV129" s="21">
        <f>EXP(-LN(2)/25)*AV128+(1-EXP(-LN(2)/25))/(LN(2)/25)*Calculateur!AQ129*Calculateur!AS129*VLOOKUP('Données projet'!$B$10,Paramètres!$A$1:$I$89,3,0)*0.475*44/12</f>
        <v>1.3520870227077104</v>
      </c>
      <c r="AW129" s="21">
        <f>EXP(-LN(2)/2)*AW128+(1-EXP(-LN(2)/2))/(LN(2)/2)*AQ129*AT129*VLOOKUP('Données projet'!$B$10,Paramètres!$A$1:$I$89,3,0)*0.475*44/12</f>
        <v>1.0414758553580641E-13</v>
      </c>
      <c r="AX129" s="21">
        <f t="shared" si="60"/>
        <v>2.4439259781390956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-5.1159076974727213E-13</v>
      </c>
      <c r="BE129" s="13">
        <f>BD129*VLOOKUP('Données projet'!$B$11,Paramètres!$A$1:$I$89,3,0)*VLOOKUP('Données projet'!$B$11,Paramètres!$A$1:$I$89,5,0)</f>
        <v>-3.4317508834647017E-13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207.93042467236967</v>
      </c>
      <c r="BJ129" s="59">
        <f t="shared" si="92"/>
        <v>250.70954318710835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0.41099051589387664</v>
      </c>
      <c r="BQ129" s="21">
        <f>EXP(-LN(2)/25)*BQ128+(1-EXP(-LN(2)/25))/(LN(2)/25)*Calculateur!BL129*Calculateur!BN129*VLOOKUP('Données projet'!$B$11,Paramètres!$A$1:$I$89,3,0)*0.475*44/12</f>
        <v>1.208125481273282</v>
      </c>
      <c r="BR129" s="21">
        <f>EXP(-LN(2)/2)*BR128+(1-EXP(-LN(2)/2))/(LN(2)/2)*BL129*BO129*VLOOKUP('Données projet'!$B$11,Paramètres!$A$1:$I$89,3,0)*0.475*44/12</f>
        <v>7.2007130392975629E-14</v>
      </c>
      <c r="BS129" s="22">
        <f t="shared" si="63"/>
        <v>1.6191159971672306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1.7053025658242404E-13</v>
      </c>
      <c r="BZ129" s="13">
        <f>BY129*VLOOKUP('Données projet'!$B$12,Paramètres!$A$1:$I$89,3,0)*VLOOKUP('Données projet'!$B$12,Paramètres!$A$1:$I$89,5,0)</f>
        <v>1.3301360013429075E-13</v>
      </c>
      <c r="CA129" s="13">
        <f t="shared" si="93"/>
        <v>1.9329766731057041E-12</v>
      </c>
      <c r="CB129" s="20">
        <f t="shared" si="64"/>
        <v>3.5982663925596575E-12</v>
      </c>
      <c r="CC129" s="59">
        <f t="shared" si="65"/>
        <v>293.3333333333369</v>
      </c>
      <c r="CD129" s="59">
        <f ca="1">AVERAGE(OFFSET($CC$3,0,0,'Données projet'!$E$12+1,1))-AVERAGE(OFFSET($H$3,0,0,'Données projet'!$E$12+1,1))</f>
        <v>266.30229009596883</v>
      </c>
      <c r="CE129" s="59">
        <f t="shared" si="94"/>
        <v>270.19195828386046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0.21601927385257685</v>
      </c>
      <c r="CL129" s="21">
        <f>EXP(-LN(2)/25)*CL128+(1-EXP(-LN(2)/25))/(LN(2)/25)*Calculateur!CG129*Calculateur!CI129*VLOOKUP('Données projet'!$B$12,Paramètres!$A$1:$I$89,3,0)*0.475*44/12</f>
        <v>0.5845312887475268</v>
      </c>
      <c r="CM129" s="21">
        <f>EXP(-LN(2)/2)*CM128+(1-EXP(-LN(2)/2))/(LN(2)/2)*CG129*CJ129*VLOOKUP('Données projet'!$B$12,Paramètres!$A$1:$I$89,3,0)*0.475*44/12</f>
        <v>4.6438158551260626E-14</v>
      </c>
      <c r="CN129" s="22">
        <f t="shared" si="66"/>
        <v>0.80055056260015012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-5.1159076974727213E-13</v>
      </c>
      <c r="CU129" s="17">
        <f>CT129*VLOOKUP('Données projet'!$B$13,Paramètres!$A$1:$I$89,3,0)*VLOOKUP('Données projet'!$B$13,Paramètres!$A$1:$I$89,5,0)</f>
        <v>-4.0702161641092972E-13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260.20517190557814</v>
      </c>
      <c r="CZ129" s="59">
        <f t="shared" si="96"/>
        <v>307.22009971147133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0.48745386768808679</v>
      </c>
      <c r="DG129" s="21">
        <f>EXP(-LN(2)/25)*DG128+(1-EXP(-LN(2)/25))/(LN(2)/25)*Calculateur!DB129*Calculateur!DD129*VLOOKUP('Données projet'!$B$13,Paramètres!$A$1:$I$89,3,0)*0.475*44/12</f>
        <v>1.4328930126729604</v>
      </c>
      <c r="DH129" s="21">
        <f>EXP(-LN(2)/2)*DH128+(1-EXP(-LN(2)/2))/(LN(2)/2)*DB129*DE129*VLOOKUP('Données projet'!$B$13,Paramètres!$A$1:$I$89,3,0)*0.475*44/12</f>
        <v>8.5403805814924589E-14</v>
      </c>
      <c r="DI129" s="22">
        <f t="shared" si="69"/>
        <v>1.9203468803611328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-3.4106051316484809E-13</v>
      </c>
      <c r="DP129" s="17">
        <f>DO129*VLOOKUP('Données projet'!$B$14,Paramètres!$A$1:$I$89,3,0)*VLOOKUP('Données projet'!$B$14,Paramètres!$A$1:$I$89,5,0)</f>
        <v>-3.2987372833304104E-13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347.8889410585312</v>
      </c>
      <c r="DU129" s="59">
        <f t="shared" si="98"/>
        <v>254.78167322479203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0.38462508657238315</v>
      </c>
      <c r="EB129" s="21">
        <f>EXP(-LN(2)/25)*EB128+(1-EXP(-LN(2)/25))/(LN(2)/25)*Calculateur!DW129*Calculateur!DY129*VLOOKUP('Données projet'!$B$14,Paramètres!$A$1:$I$89,3,0)*0.475*44/12</f>
        <v>0.84222108681663377</v>
      </c>
      <c r="EC129" s="21">
        <f>EXP(-LN(2)/2)*EC128+(1-EXP(-LN(2)/2))/(LN(2)/2)*DW129*DZ129*VLOOKUP('Données projet'!$B$14,Paramètres!$A$1:$I$89,3,0)*0.475*44/12</f>
        <v>8.1853719510897655E-14</v>
      </c>
      <c r="ED129" s="22">
        <f t="shared" si="72"/>
        <v>1.226846173389099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-3.4106051316484809E-13</v>
      </c>
      <c r="EK129" s="17">
        <f>EJ129*VLOOKUP('Données projet'!$B$15,Paramètres!$A$1:$I$89,3,0)*VLOOKUP('Données projet'!$B$15,Paramètres!$A$1:$I$89,5,0)</f>
        <v>-3.6711753637064249E-13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399.38728019348088</v>
      </c>
      <c r="EP129" s="59">
        <f t="shared" si="100"/>
        <v>289.54922160039791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0.42805049957249069</v>
      </c>
      <c r="EW129" s="21">
        <f>EXP(-LN(2)/25)*EW128+(1-EXP(-LN(2)/25))/(LN(2)/25)*Calculateur!ER129*Calculateur!ET129*VLOOKUP('Données projet'!$B$15,Paramètres!$A$1:$I$89,3,0)*0.475*44/12</f>
        <v>0.93731056436044824</v>
      </c>
      <c r="EX129" s="21">
        <f>EXP(-LN(2)/2)*EX128+(1-EXP(-LN(2)/2))/(LN(2)/2)*ER129*EU129*VLOOKUP('Données projet'!$B$15,Paramètres!$A$1:$I$89,3,0)*0.475*44/12</f>
        <v>9.1095268487934493E-14</v>
      </c>
      <c r="EY129" s="22">
        <f t="shared" si="75"/>
        <v>1.36536106393303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-3.0859155231155454E-13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318.40875902853116</v>
      </c>
      <c r="T130" s="59">
        <f t="shared" si="88"/>
        <v>234.87694492493506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0.35275489914394387</v>
      </c>
      <c r="AA130" s="21">
        <f>EXP(-LN(2)/25)*AA129+(1-EXP(-LN(2)/25))/(LN(2)/25)*Calculateur!V130*Calculateur!X130*VLOOKUP('Données projet'!$B$9,Paramètres!$A$1:$I$89,3,0)*0.475*44/12</f>
        <v>0.76633950646152815</v>
      </c>
      <c r="AB130" s="21">
        <f>EXP(-LN(2)/2)*AB129+(1-EXP(-LN(2)/2))/(LN(2)/2)*V130*Y130*VLOOKUP('Données projet'!$B$9,Paramètres!$A$1:$I$89,3,0)*0.475*44/12</f>
        <v>5.4145170445594539E-14</v>
      </c>
      <c r="AC130" s="22">
        <f t="shared" si="57"/>
        <v>1.1190944056055261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243.38048563215585</v>
      </c>
      <c r="AO130" s="59">
        <f t="shared" si="90"/>
        <v>372.1604147006675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1.0704286594712786</v>
      </c>
      <c r="AV130" s="21">
        <f>EXP(-LN(2)/25)*AV129+(1-EXP(-LN(2)/25))/(LN(2)/25)*Calculateur!AQ130*Calculateur!AS130*VLOOKUP('Données projet'!$B$10,Paramètres!$A$1:$I$89,3,0)*0.475*44/12</f>
        <v>1.3151141319686017</v>
      </c>
      <c r="AW130" s="21">
        <f>EXP(-LN(2)/2)*AW129+(1-EXP(-LN(2)/2))/(LN(2)/2)*AQ130*AT130*VLOOKUP('Données projet'!$B$10,Paramètres!$A$1:$I$89,3,0)*0.475*44/12</f>
        <v>7.3643463976574703E-14</v>
      </c>
      <c r="AX130" s="21">
        <f t="shared" si="60"/>
        <v>2.3855427914399541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-5.1159076974727213E-13</v>
      </c>
      <c r="BE130" s="13">
        <f>BD130*VLOOKUP('Données projet'!$B$11,Paramètres!$A$1:$I$89,3,0)*VLOOKUP('Données projet'!$B$11,Paramètres!$A$1:$I$89,5,0)</f>
        <v>-3.4317508834647017E-13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207.93042467236967</v>
      </c>
      <c r="BJ130" s="59">
        <f t="shared" si="92"/>
        <v>250.70954318710835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0.40293124255665985</v>
      </c>
      <c r="BQ130" s="21">
        <f>EXP(-LN(2)/25)*BQ129+(1-EXP(-LN(2)/25))/(LN(2)/25)*Calculateur!BL130*Calculateur!BN130*VLOOKUP('Données projet'!$B$11,Paramètres!$A$1:$I$89,3,0)*0.475*44/12</f>
        <v>1.1750892264553063</v>
      </c>
      <c r="BR130" s="21">
        <f>EXP(-LN(2)/2)*BR129+(1-EXP(-LN(2)/2))/(LN(2)/2)*BL130*BO130*VLOOKUP('Données projet'!$B$11,Paramètres!$A$1:$I$89,3,0)*0.475*44/12</f>
        <v>5.0916730194657014E-14</v>
      </c>
      <c r="BS130" s="22">
        <f t="shared" si="63"/>
        <v>1.578020469012017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1.7053025658242404E-13</v>
      </c>
      <c r="BZ130" s="13">
        <f>BY130*VLOOKUP('Données projet'!$B$12,Paramètres!$A$1:$I$89,3,0)*VLOOKUP('Données projet'!$B$12,Paramètres!$A$1:$I$89,5,0)</f>
        <v>1.3301360013429075E-13</v>
      </c>
      <c r="CA130" s="13">
        <f t="shared" si="93"/>
        <v>1.9329766731057041E-12</v>
      </c>
      <c r="CB130" s="20">
        <f t="shared" si="64"/>
        <v>3.5982663925596575E-12</v>
      </c>
      <c r="CC130" s="59">
        <f t="shared" si="65"/>
        <v>293.3333333333369</v>
      </c>
      <c r="CD130" s="59">
        <f ca="1">AVERAGE(OFFSET($CC$3,0,0,'Données projet'!$E$12+1,1))-AVERAGE(OFFSET($H$3,0,0,'Données projet'!$E$12+1,1))</f>
        <v>266.30229009596883</v>
      </c>
      <c r="CE130" s="59">
        <f t="shared" si="94"/>
        <v>270.19195828386046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0.21178326765107477</v>
      </c>
      <c r="CL130" s="21">
        <f>EXP(-LN(2)/25)*CL129+(1-EXP(-LN(2)/25))/(LN(2)/25)*Calculateur!CG130*Calculateur!CI130*VLOOKUP('Données projet'!$B$12,Paramètres!$A$1:$I$89,3,0)*0.475*44/12</f>
        <v>0.56854724991756111</v>
      </c>
      <c r="CM130" s="21">
        <f>EXP(-LN(2)/2)*CM129+(1-EXP(-LN(2)/2))/(LN(2)/2)*CG130*CJ130*VLOOKUP('Données projet'!$B$12,Paramètres!$A$1:$I$89,3,0)*0.475*44/12</f>
        <v>3.2836736817412447E-14</v>
      </c>
      <c r="CN130" s="22">
        <f t="shared" si="66"/>
        <v>0.78033051756866878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-5.1159076974727213E-13</v>
      </c>
      <c r="CU130" s="17">
        <f>CT130*VLOOKUP('Données projet'!$B$13,Paramètres!$A$1:$I$89,3,0)*VLOOKUP('Données projet'!$B$13,Paramètres!$A$1:$I$89,5,0)</f>
        <v>-4.0702161641092972E-13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260.20517190557814</v>
      </c>
      <c r="CZ130" s="59">
        <f t="shared" si="96"/>
        <v>307.22009971147133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0.47789519466022506</v>
      </c>
      <c r="DG130" s="21">
        <f>EXP(-LN(2)/25)*DG129+(1-EXP(-LN(2)/25))/(LN(2)/25)*Calculateur!DB130*Calculateur!DD130*VLOOKUP('Données projet'!$B$13,Paramètres!$A$1:$I$89,3,0)*0.475*44/12</f>
        <v>1.3937104778888496</v>
      </c>
      <c r="DH130" s="21">
        <f>EXP(-LN(2)/2)*DH129+(1-EXP(-LN(2)/2))/(LN(2)/2)*DB130*DE130*VLOOKUP('Données projet'!$B$13,Paramètres!$A$1:$I$89,3,0)*0.475*44/12</f>
        <v>6.0389610230872276E-14</v>
      </c>
      <c r="DI130" s="22">
        <f t="shared" si="69"/>
        <v>1.871605672549135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-3.4106051316484809E-13</v>
      </c>
      <c r="DP130" s="17">
        <f>DO130*VLOOKUP('Données projet'!$B$14,Paramètres!$A$1:$I$89,3,0)*VLOOKUP('Données projet'!$B$14,Paramètres!$A$1:$I$89,5,0)</f>
        <v>-3.2987372833304104E-13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347.8889410585312</v>
      </c>
      <c r="DU130" s="59">
        <f t="shared" si="98"/>
        <v>254.78167322479203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0.37708282322283687</v>
      </c>
      <c r="EB130" s="21">
        <f>EXP(-LN(2)/25)*EB129+(1-EXP(-LN(2)/25))/(LN(2)/25)*Calculateur!DW130*Calculateur!DY130*VLOOKUP('Données projet'!$B$14,Paramètres!$A$1:$I$89,3,0)*0.475*44/12</f>
        <v>0.81919050690715089</v>
      </c>
      <c r="EC130" s="21">
        <f>EXP(-LN(2)/2)*EC129+(1-EXP(-LN(2)/2))/(LN(2)/2)*DW130*DZ130*VLOOKUP('Données projet'!$B$14,Paramètres!$A$1:$I$89,3,0)*0.475*44/12</f>
        <v>5.7879320131497343E-14</v>
      </c>
      <c r="ED130" s="22">
        <f t="shared" si="72"/>
        <v>1.1962733301300457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-3.4106051316484809E-13</v>
      </c>
      <c r="EK130" s="17">
        <f>EJ130*VLOOKUP('Données projet'!$B$15,Paramètres!$A$1:$I$89,3,0)*VLOOKUP('Données projet'!$B$15,Paramètres!$A$1:$I$89,5,0)</f>
        <v>-3.6711753637064249E-13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399.38728019348088</v>
      </c>
      <c r="EP130" s="59">
        <f t="shared" si="100"/>
        <v>289.54922160039791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0.41965669036089887</v>
      </c>
      <c r="EW130" s="21">
        <f>EXP(-LN(2)/25)*EW129+(1-EXP(-LN(2)/25))/(LN(2)/25)*Calculateur!ER130*Calculateur!ET130*VLOOKUP('Données projet'!$B$15,Paramètres!$A$1:$I$89,3,0)*0.475*44/12</f>
        <v>0.9116797576869915</v>
      </c>
      <c r="EX130" s="21">
        <f>EXP(-LN(2)/2)*EX129+(1-EXP(-LN(2)/2))/(LN(2)/2)*ER130*EU130*VLOOKUP('Données projet'!$B$15,Paramètres!$A$1:$I$89,3,0)*0.475*44/12</f>
        <v>6.4414082081827693E-14</v>
      </c>
      <c r="EY130" s="22">
        <f t="shared" si="75"/>
        <v>1.3313364480479548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-3.0859155231155454E-13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318.40875902853116</v>
      </c>
      <c r="T131" s="59">
        <f t="shared" si="88"/>
        <v>234.87694492493506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0.34583759073097442</v>
      </c>
      <c r="AA131" s="21">
        <f>EXP(-LN(2)/25)*AA130+(1-EXP(-LN(2)/25))/(LN(2)/25)*Calculateur!V131*Calculateur!X131*VLOOKUP('Données projet'!$B$9,Paramètres!$A$1:$I$89,3,0)*0.475*44/12</f>
        <v>0.74538391235729451</v>
      </c>
      <c r="AB131" s="21">
        <f>EXP(-LN(2)/2)*AB130+(1-EXP(-LN(2)/2))/(LN(2)/2)*V131*Y131*VLOOKUP('Données projet'!$B$9,Paramètres!$A$1:$I$89,3,0)*0.475*44/12</f>
        <v>3.8286417190581337E-14</v>
      </c>
      <c r="AC131" s="22">
        <f t="shared" si="57"/>
        <v>1.091221503088307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243.38048563215585</v>
      </c>
      <c r="AO131" s="59">
        <f t="shared" si="90"/>
        <v>372.1604147006675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1.049438206356061</v>
      </c>
      <c r="AV131" s="21">
        <f>EXP(-LN(2)/25)*AV130+(1-EXP(-LN(2)/25))/(LN(2)/25)*Calculateur!AQ131*Calculateur!AS131*VLOOKUP('Données projet'!$B$10,Paramètres!$A$1:$I$89,3,0)*0.475*44/12</f>
        <v>1.2791522668710738</v>
      </c>
      <c r="AW131" s="21">
        <f>EXP(-LN(2)/2)*AW130+(1-EXP(-LN(2)/2))/(LN(2)/2)*AQ131*AT131*VLOOKUP('Données projet'!$B$10,Paramètres!$A$1:$I$89,3,0)*0.475*44/12</f>
        <v>5.2073792767903204E-14</v>
      </c>
      <c r="AX131" s="21">
        <f t="shared" si="60"/>
        <v>2.3285904732271869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-5.1159076974727213E-13</v>
      </c>
      <c r="BE131" s="13">
        <f>BD131*VLOOKUP('Données projet'!$B$11,Paramètres!$A$1:$I$89,3,0)*VLOOKUP('Données projet'!$B$11,Paramètres!$A$1:$I$89,5,0)</f>
        <v>-3.4317508834647017E-13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207.93042467236967</v>
      </c>
      <c r="BJ131" s="59">
        <f t="shared" si="92"/>
        <v>250.70954318710835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0.39503000665391458</v>
      </c>
      <c r="BQ131" s="21">
        <f>EXP(-LN(2)/25)*BQ130+(1-EXP(-LN(2)/25))/(LN(2)/25)*Calculateur!BL131*Calculateur!BN131*VLOOKUP('Données projet'!$B$11,Paramètres!$A$1:$I$89,3,0)*0.475*44/12</f>
        <v>1.1429563497626292</v>
      </c>
      <c r="BR131" s="21">
        <f>EXP(-LN(2)/2)*BR130+(1-EXP(-LN(2)/2))/(LN(2)/2)*BL131*BO131*VLOOKUP('Données projet'!$B$11,Paramètres!$A$1:$I$89,3,0)*0.475*44/12</f>
        <v>3.6003565196487814E-14</v>
      </c>
      <c r="BS131" s="22">
        <f t="shared" si="63"/>
        <v>1.5379863564165797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1.7053025658242404E-13</v>
      </c>
      <c r="BZ131" s="13">
        <f>BY131*VLOOKUP('Données projet'!$B$12,Paramètres!$A$1:$I$89,3,0)*VLOOKUP('Données projet'!$B$12,Paramètres!$A$1:$I$89,5,0)</f>
        <v>1.3301360013429075E-13</v>
      </c>
      <c r="CA131" s="13">
        <f t="shared" si="93"/>
        <v>1.9329766731057041E-12</v>
      </c>
      <c r="CB131" s="20">
        <f t="shared" si="64"/>
        <v>3.5982663925596575E-12</v>
      </c>
      <c r="CC131" s="59">
        <f t="shared" si="65"/>
        <v>293.3333333333369</v>
      </c>
      <c r="CD131" s="59">
        <f ca="1">AVERAGE(OFFSET($CC$3,0,0,'Données projet'!$E$12+1,1))-AVERAGE(OFFSET($H$3,0,0,'Données projet'!$E$12+1,1))</f>
        <v>266.30229009596883</v>
      </c>
      <c r="CE131" s="59">
        <f t="shared" si="94"/>
        <v>270.19195828386046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0.20763032694747549</v>
      </c>
      <c r="CL131" s="21">
        <f>EXP(-LN(2)/25)*CL130+(1-EXP(-LN(2)/25))/(LN(2)/25)*Calculateur!CG131*Calculateur!CI131*VLOOKUP('Données projet'!$B$12,Paramètres!$A$1:$I$89,3,0)*0.475*44/12</f>
        <v>0.55300029546996499</v>
      </c>
      <c r="CM131" s="21">
        <f>EXP(-LN(2)/2)*CM130+(1-EXP(-LN(2)/2))/(LN(2)/2)*CG131*CJ131*VLOOKUP('Données projet'!$B$12,Paramètres!$A$1:$I$89,3,0)*0.475*44/12</f>
        <v>2.3219079275630313E-14</v>
      </c>
      <c r="CN131" s="22">
        <f t="shared" si="66"/>
        <v>0.76063062241746371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-5.1159076974727213E-13</v>
      </c>
      <c r="CU131" s="17">
        <f>CT131*VLOOKUP('Données projet'!$B$13,Paramètres!$A$1:$I$89,3,0)*VLOOKUP('Données projet'!$B$13,Paramètres!$A$1:$I$89,5,0)</f>
        <v>-4.0702161641092972E-13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260.20517190557814</v>
      </c>
      <c r="CZ131" s="59">
        <f t="shared" si="96"/>
        <v>307.22009971147133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0.46852396138022484</v>
      </c>
      <c r="DG131" s="21">
        <f>EXP(-LN(2)/25)*DG130+(1-EXP(-LN(2)/25))/(LN(2)/25)*Calculateur!DB131*Calculateur!DD131*VLOOKUP('Données projet'!$B$13,Paramètres!$A$1:$I$89,3,0)*0.475*44/12</f>
        <v>1.3555993915789304</v>
      </c>
      <c r="DH131" s="21">
        <f>EXP(-LN(2)/2)*DH130+(1-EXP(-LN(2)/2))/(LN(2)/2)*DB131*DE131*VLOOKUP('Données projet'!$B$13,Paramètres!$A$1:$I$89,3,0)*0.475*44/12</f>
        <v>4.2701902907462295E-14</v>
      </c>
      <c r="DI131" s="22">
        <f t="shared" si="69"/>
        <v>1.8241233529591978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-3.4106051316484809E-13</v>
      </c>
      <c r="DP131" s="17">
        <f>DO131*VLOOKUP('Données projet'!$B$14,Paramètres!$A$1:$I$89,3,0)*VLOOKUP('Données projet'!$B$14,Paramètres!$A$1:$I$89,5,0)</f>
        <v>-3.2987372833304104E-13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347.8889410585312</v>
      </c>
      <c r="DU131" s="59">
        <f t="shared" si="98"/>
        <v>254.78167322479203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0.36968845905724879</v>
      </c>
      <c r="EB131" s="21">
        <f>EXP(-LN(2)/25)*EB130+(1-EXP(-LN(2)/25))/(LN(2)/25)*Calculateur!DW131*Calculateur!DY131*VLOOKUP('Données projet'!$B$14,Paramètres!$A$1:$I$89,3,0)*0.475*44/12</f>
        <v>0.79678969941641842</v>
      </c>
      <c r="EC131" s="21">
        <f>EXP(-LN(2)/2)*EC130+(1-EXP(-LN(2)/2))/(LN(2)/2)*DW131*DZ131*VLOOKUP('Données projet'!$B$14,Paramètres!$A$1:$I$89,3,0)*0.475*44/12</f>
        <v>4.0926859755448827E-14</v>
      </c>
      <c r="ED131" s="22">
        <f t="shared" si="72"/>
        <v>1.1664781584737081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-3.4106051316484809E-13</v>
      </c>
      <c r="EK131" s="17">
        <f>EJ131*VLOOKUP('Données projet'!$B$15,Paramètres!$A$1:$I$89,3,0)*VLOOKUP('Données projet'!$B$15,Paramètres!$A$1:$I$89,5,0)</f>
        <v>-3.6711753637064249E-13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399.38728019348088</v>
      </c>
      <c r="EP131" s="59">
        <f t="shared" si="100"/>
        <v>289.54922160039791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0.41142747862822826</v>
      </c>
      <c r="EW131" s="21">
        <f>EXP(-LN(2)/25)*EW130+(1-EXP(-LN(2)/25))/(LN(2)/25)*Calculateur!ER131*Calculateur!ET131*VLOOKUP('Données projet'!$B$15,Paramètres!$A$1:$I$89,3,0)*0.475*44/12</f>
        <v>0.8867498267698859</v>
      </c>
      <c r="EX131" s="21">
        <f>EXP(-LN(2)/2)*EX130+(1-EXP(-LN(2)/2))/(LN(2)/2)*ER131*EU131*VLOOKUP('Données projet'!$B$15,Paramètres!$A$1:$I$89,3,0)*0.475*44/12</f>
        <v>4.5547634243967247E-14</v>
      </c>
      <c r="EY131" s="22">
        <f t="shared" si="75"/>
        <v>1.2981773053981598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-3.0859155231155454E-13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318.40875902853116</v>
      </c>
      <c r="T132" s="59">
        <f t="shared" si="88"/>
        <v>234.87694492493506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0.33905592651684174</v>
      </c>
      <c r="AA132" s="21">
        <f>EXP(-LN(2)/25)*AA131+(1-EXP(-LN(2)/25))/(LN(2)/25)*Calculateur!V132*Calculateur!X132*VLOOKUP('Données projet'!$B$9,Paramètres!$A$1:$I$89,3,0)*0.475*44/12</f>
        <v>0.72500135007584798</v>
      </c>
      <c r="AB132" s="21">
        <f>EXP(-LN(2)/2)*AB131+(1-EXP(-LN(2)/2))/(LN(2)/2)*V132*Y132*VLOOKUP('Données projet'!$B$9,Paramètres!$A$1:$I$89,3,0)*0.475*44/12</f>
        <v>2.7072585222797269E-14</v>
      </c>
      <c r="AC132" s="22">
        <f t="shared" ref="AC132:AC153" si="111">SUM(Z132:AB132)</f>
        <v>1.0640572765927168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243.38048563215585</v>
      </c>
      <c r="AO132" s="59">
        <f t="shared" si="90"/>
        <v>372.1604147006675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1.0288593632235206</v>
      </c>
      <c r="AV132" s="21">
        <f>EXP(-LN(2)/25)*AV131+(1-EXP(-LN(2)/25))/(LN(2)/25)*Calculateur!AQ132*Calculateur!AS132*VLOOKUP('Données projet'!$B$10,Paramètres!$A$1:$I$89,3,0)*0.475*44/12</f>
        <v>1.24417378086579</v>
      </c>
      <c r="AW132" s="21">
        <f>EXP(-LN(2)/2)*AW131+(1-EXP(-LN(2)/2))/(LN(2)/2)*AQ132*AT132*VLOOKUP('Données projet'!$B$10,Paramètres!$A$1:$I$89,3,0)*0.475*44/12</f>
        <v>3.6821731988287352E-14</v>
      </c>
      <c r="AX132" s="21">
        <f t="shared" ref="AX132:AX153" si="114">SUM(AU132:AW132)</f>
        <v>2.2730331440893474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-5.1159076974727213E-13</v>
      </c>
      <c r="BE132" s="13">
        <f>BD132*VLOOKUP('Données projet'!$B$11,Paramètres!$A$1:$I$89,3,0)*VLOOKUP('Données projet'!$B$11,Paramètres!$A$1:$I$89,5,0)</f>
        <v>-3.4317508834647017E-13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207.93042467236967</v>
      </c>
      <c r="BJ132" s="59">
        <f t="shared" si="92"/>
        <v>250.70954318710835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0.38728370916794408</v>
      </c>
      <c r="BQ132" s="21">
        <f>EXP(-LN(2)/25)*BQ131+(1-EXP(-LN(2)/25))/(LN(2)/25)*Calculateur!BL132*Calculateur!BN132*VLOOKUP('Données projet'!$B$11,Paramètres!$A$1:$I$89,3,0)*0.475*44/12</f>
        <v>1.1117021482729079</v>
      </c>
      <c r="BR132" s="21">
        <f>EXP(-LN(2)/2)*BR131+(1-EXP(-LN(2)/2))/(LN(2)/2)*BL132*BO132*VLOOKUP('Données projet'!$B$11,Paramètres!$A$1:$I$89,3,0)*0.475*44/12</f>
        <v>2.5458365097328507E-14</v>
      </c>
      <c r="BS132" s="22">
        <f t="shared" ref="BS132:BS153" si="117">SUM(BP132:BR132)</f>
        <v>1.4989858574408774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1.7053025658242404E-13</v>
      </c>
      <c r="BZ132" s="13">
        <f>BY132*VLOOKUP('Données projet'!$B$12,Paramètres!$A$1:$I$89,3,0)*VLOOKUP('Données projet'!$B$12,Paramètres!$A$1:$I$89,5,0)</f>
        <v>1.3301360013429075E-13</v>
      </c>
      <c r="CA132" s="13">
        <f t="shared" si="93"/>
        <v>1.9329766731057041E-12</v>
      </c>
      <c r="CB132" s="20">
        <f t="shared" ref="CB132:CB153" si="118">(BZ132+CA132)*0.475*44/12</f>
        <v>3.5982663925596575E-12</v>
      </c>
      <c r="CC132" s="59">
        <f t="shared" ref="CC132:CC195" si="119">CB132+(BT132+BU132)*44/12</f>
        <v>293.3333333333369</v>
      </c>
      <c r="CD132" s="59">
        <f ca="1">AVERAGE(OFFSET($CC$3,0,0,'Données projet'!$E$12+1,1))-AVERAGE(OFFSET($H$3,0,0,'Données projet'!$E$12+1,1))</f>
        <v>266.30229009596883</v>
      </c>
      <c r="CE132" s="59">
        <f t="shared" si="94"/>
        <v>270.19195828386046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0.20355882287803007</v>
      </c>
      <c r="CL132" s="21">
        <f>EXP(-LN(2)/25)*CL131+(1-EXP(-LN(2)/25))/(LN(2)/25)*Calculateur!CG132*Calculateur!CI132*VLOOKUP('Données projet'!$B$12,Paramètres!$A$1:$I$89,3,0)*0.475*44/12</f>
        <v>0.53787847330931715</v>
      </c>
      <c r="CM132" s="21">
        <f>EXP(-LN(2)/2)*CM131+(1-EXP(-LN(2)/2))/(LN(2)/2)*CG132*CJ132*VLOOKUP('Données projet'!$B$12,Paramètres!$A$1:$I$89,3,0)*0.475*44/12</f>
        <v>1.6418368408706224E-14</v>
      </c>
      <c r="CN132" s="22">
        <f t="shared" ref="CN132:CN153" si="120">SUM(CK132:CM132)</f>
        <v>0.74143729618736365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-5.1159076974727213E-13</v>
      </c>
      <c r="CU132" s="17">
        <f>CT132*VLOOKUP('Données projet'!$B$13,Paramètres!$A$1:$I$89,3,0)*VLOOKUP('Données projet'!$B$13,Paramètres!$A$1:$I$89,5,0)</f>
        <v>-4.0702161641092972E-13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260.20517190557814</v>
      </c>
      <c r="CZ132" s="59">
        <f t="shared" si="96"/>
        <v>307.22009971147133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0.45933649226895751</v>
      </c>
      <c r="DG132" s="21">
        <f>EXP(-LN(2)/25)*DG131+(1-EXP(-LN(2)/25))/(LN(2)/25)*Calculateur!DB132*Calculateur!DD132*VLOOKUP('Données projet'!$B$13,Paramètres!$A$1:$I$89,3,0)*0.475*44/12</f>
        <v>1.3185304549283308</v>
      </c>
      <c r="DH132" s="21">
        <f>EXP(-LN(2)/2)*DH131+(1-EXP(-LN(2)/2))/(LN(2)/2)*DB132*DE132*VLOOKUP('Données projet'!$B$13,Paramètres!$A$1:$I$89,3,0)*0.475*44/12</f>
        <v>3.0194805115436138E-14</v>
      </c>
      <c r="DI132" s="22">
        <f t="shared" ref="DI132:DI153" si="123">SUM(DF132:DH132)</f>
        <v>1.7778669471973185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-3.4106051316484809E-13</v>
      </c>
      <c r="DP132" s="17">
        <f>DO132*VLOOKUP('Données projet'!$B$14,Paramètres!$A$1:$I$89,3,0)*VLOOKUP('Données projet'!$B$14,Paramètres!$A$1:$I$89,5,0)</f>
        <v>-3.2987372833304104E-13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347.8889410585312</v>
      </c>
      <c r="DU132" s="59">
        <f t="shared" si="98"/>
        <v>254.78167322479203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0.36243909386283107</v>
      </c>
      <c r="EB132" s="21">
        <f>EXP(-LN(2)/25)*EB131+(1-EXP(-LN(2)/25))/(LN(2)/25)*Calculateur!DW132*Calculateur!DY132*VLOOKUP('Données projet'!$B$14,Paramètres!$A$1:$I$89,3,0)*0.475*44/12</f>
        <v>0.77500144318452724</v>
      </c>
      <c r="EC132" s="21">
        <f>EXP(-LN(2)/2)*EC131+(1-EXP(-LN(2)/2))/(LN(2)/2)*DW132*DZ132*VLOOKUP('Données projet'!$B$14,Paramètres!$A$1:$I$89,3,0)*0.475*44/12</f>
        <v>2.8939660065748671E-14</v>
      </c>
      <c r="ED132" s="22">
        <f t="shared" ref="ED132:ED153" si="126">SUM(EA132:EC132)</f>
        <v>1.1374405370473872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-3.4106051316484809E-13</v>
      </c>
      <c r="EK132" s="17">
        <f>EJ132*VLOOKUP('Données projet'!$B$15,Paramètres!$A$1:$I$89,3,0)*VLOOKUP('Données projet'!$B$15,Paramètres!$A$1:$I$89,5,0)</f>
        <v>-3.6711753637064249E-13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399.38728019348088</v>
      </c>
      <c r="EP132" s="59">
        <f t="shared" si="100"/>
        <v>289.54922160039791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0.40335963671831182</v>
      </c>
      <c r="EW132" s="21">
        <f>EXP(-LN(2)/25)*EW131+(1-EXP(-LN(2)/25))/(LN(2)/25)*Calculateur!ER132*Calculateur!ET132*VLOOKUP('Données projet'!$B$15,Paramètres!$A$1:$I$89,3,0)*0.475*44/12</f>
        <v>0.86250160612471671</v>
      </c>
      <c r="EX132" s="21">
        <f>EXP(-LN(2)/2)*EX131+(1-EXP(-LN(2)/2))/(LN(2)/2)*ER132*EU132*VLOOKUP('Données projet'!$B$15,Paramètres!$A$1:$I$89,3,0)*0.475*44/12</f>
        <v>3.2207041040913847E-14</v>
      </c>
      <c r="EY132" s="22">
        <f t="shared" ref="EY132:EY153" si="129">SUM(EV132:EX132)</f>
        <v>1.2658612428430607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-3.0859155231155454E-13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318.40875902853116</v>
      </c>
      <c r="T133" s="59">
        <f t="shared" ref="T133:T196" si="142">$T$3</f>
        <v>234.87694492493506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0.33240724660154147</v>
      </c>
      <c r="AA133" s="21">
        <f>EXP(-LN(2)/25)*AA132+(1-EXP(-LN(2)/25))/(LN(2)/25)*Calculateur!V133*Calculateur!X133*VLOOKUP('Données projet'!$B$9,Paramètres!$A$1:$I$89,3,0)*0.475*44/12</f>
        <v>0.70517615003185996</v>
      </c>
      <c r="AB133" s="21">
        <f>EXP(-LN(2)/2)*AB132+(1-EXP(-LN(2)/2))/(LN(2)/2)*V133*Y133*VLOOKUP('Données projet'!$B$9,Paramètres!$A$1:$I$89,3,0)*0.475*44/12</f>
        <v>1.9143208595290668E-14</v>
      </c>
      <c r="AC133" s="22">
        <f t="shared" si="111"/>
        <v>1.0375833966334205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243.38048563215585</v>
      </c>
      <c r="AO133" s="59">
        <f t="shared" ref="AO133:AO196" si="144">$AO$3</f>
        <v>372.1604147006675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1.0086840586529542</v>
      </c>
      <c r="AV133" s="21">
        <f>EXP(-LN(2)/25)*AV132+(1-EXP(-LN(2)/25))/(LN(2)/25)*Calculateur!AQ133*Calculateur!AS133*VLOOKUP('Données projet'!$B$10,Paramètres!$A$1:$I$89,3,0)*0.475*44/12</f>
        <v>1.2101517833997595</v>
      </c>
      <c r="AW133" s="21">
        <f>EXP(-LN(2)/2)*AW132+(1-EXP(-LN(2)/2))/(LN(2)/2)*AQ133*AT133*VLOOKUP('Données projet'!$B$10,Paramètres!$A$1:$I$89,3,0)*0.475*44/12</f>
        <v>2.6036896383951602E-14</v>
      </c>
      <c r="AX133" s="21">
        <f t="shared" si="114"/>
        <v>2.2188358420527399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-5.1159076974727213E-13</v>
      </c>
      <c r="BE133" s="13">
        <f>BD133*VLOOKUP('Données projet'!$B$11,Paramètres!$A$1:$I$89,3,0)*VLOOKUP('Données projet'!$B$11,Paramètres!$A$1:$I$89,5,0)</f>
        <v>-3.4317508834647017E-13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207.93042467236967</v>
      </c>
      <c r="BJ133" s="59">
        <f t="shared" ref="BJ133:BJ196" si="146">$BJ$3</f>
        <v>250.70954318710835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0.37968931185089855</v>
      </c>
      <c r="BQ133" s="21">
        <f>EXP(-LN(2)/25)*BQ132+(1-EXP(-LN(2)/25))/(LN(2)/25)*Calculateur!BL133*Calculateur!BN133*VLOOKUP('Données projet'!$B$11,Paramètres!$A$1:$I$89,3,0)*0.475*44/12</f>
        <v>1.08130259456651</v>
      </c>
      <c r="BR133" s="21">
        <f>EXP(-LN(2)/2)*BR132+(1-EXP(-LN(2)/2))/(LN(2)/2)*BL133*BO133*VLOOKUP('Données projet'!$B$11,Paramètres!$A$1:$I$89,3,0)*0.475*44/12</f>
        <v>1.8001782598243907E-14</v>
      </c>
      <c r="BS133" s="22">
        <f t="shared" si="117"/>
        <v>1.4609919064174266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1.7053025658242404E-13</v>
      </c>
      <c r="BZ133" s="13">
        <f>BY133*VLOOKUP('Données projet'!$B$12,Paramètres!$A$1:$I$89,3,0)*VLOOKUP('Données projet'!$B$12,Paramètres!$A$1:$I$89,5,0)</f>
        <v>1.3301360013429075E-13</v>
      </c>
      <c r="CA133" s="13">
        <f t="shared" ref="CA133:CA153" si="147">EXP(-1.0587+0.8836*LN(BZ133)+0.284)</f>
        <v>1.9329766731057041E-12</v>
      </c>
      <c r="CB133" s="20">
        <f t="shared" si="118"/>
        <v>3.5982663925596575E-12</v>
      </c>
      <c r="CC133" s="59">
        <f t="shared" si="119"/>
        <v>293.3333333333369</v>
      </c>
      <c r="CD133" s="59">
        <f ca="1">AVERAGE(OFFSET($CC$3,0,0,'Données projet'!$E$12+1,1))-AVERAGE(OFFSET($H$3,0,0,'Données projet'!$E$12+1,1))</f>
        <v>266.30229009596883</v>
      </c>
      <c r="CE133" s="59">
        <f t="shared" ref="CE133:CE196" si="148">$CE$3</f>
        <v>270.19195828386046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0.19956715852001419</v>
      </c>
      <c r="CL133" s="21">
        <f>EXP(-LN(2)/25)*CL132+(1-EXP(-LN(2)/25))/(LN(2)/25)*Calculateur!CG133*Calculateur!CI133*VLOOKUP('Données projet'!$B$12,Paramètres!$A$1:$I$89,3,0)*0.475*44/12</f>
        <v>0.52317015817087431</v>
      </c>
      <c r="CM133" s="21">
        <f>EXP(-LN(2)/2)*CM132+(1-EXP(-LN(2)/2))/(LN(2)/2)*CG133*CJ133*VLOOKUP('Données projet'!$B$12,Paramètres!$A$1:$I$89,3,0)*0.475*44/12</f>
        <v>1.1609539637815156E-14</v>
      </c>
      <c r="CN133" s="22">
        <f t="shared" si="120"/>
        <v>0.72273731669090013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-5.1159076974727213E-13</v>
      </c>
      <c r="CU133" s="17">
        <f>CT133*VLOOKUP('Données projet'!$B$13,Paramètres!$A$1:$I$89,3,0)*VLOOKUP('Données projet'!$B$13,Paramètres!$A$1:$I$89,5,0)</f>
        <v>-4.0702161641092972E-13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260.20517190557814</v>
      </c>
      <c r="CZ133" s="59">
        <f t="shared" ref="CZ133:CZ196" si="150">$CZ$3</f>
        <v>307.22009971147133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0.45032918382315928</v>
      </c>
      <c r="DG133" s="21">
        <f>EXP(-LN(2)/25)*DG132+(1-EXP(-LN(2)/25))/(LN(2)/25)*Calculateur!DB133*Calculateur!DD133*VLOOKUP('Données projet'!$B$13,Paramètres!$A$1:$I$89,3,0)*0.475*44/12</f>
        <v>1.2824751702998125</v>
      </c>
      <c r="DH133" s="21">
        <f>EXP(-LN(2)/2)*DH132+(1-EXP(-LN(2)/2))/(LN(2)/2)*DB133*DE133*VLOOKUP('Données projet'!$B$13,Paramètres!$A$1:$I$89,3,0)*0.475*44/12</f>
        <v>2.1350951453731147E-14</v>
      </c>
      <c r="DI133" s="22">
        <f t="shared" si="123"/>
        <v>1.7328043541229932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-3.4106051316484809E-13</v>
      </c>
      <c r="DP133" s="17">
        <f>DO133*VLOOKUP('Données projet'!$B$14,Paramètres!$A$1:$I$89,3,0)*VLOOKUP('Données projet'!$B$14,Paramètres!$A$1:$I$89,5,0)</f>
        <v>-3.2987372833304104E-13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347.8889410585312</v>
      </c>
      <c r="DU133" s="59">
        <f t="shared" ref="DU133:DU196" si="152">$DU$3</f>
        <v>254.78167322479203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0.35533188429819973</v>
      </c>
      <c r="EB133" s="21">
        <f>EXP(-LN(2)/25)*EB132+(1-EXP(-LN(2)/25))/(LN(2)/25)*Calculateur!DW133*Calculateur!DY133*VLOOKUP('Données projet'!$B$14,Paramètres!$A$1:$I$89,3,0)*0.475*44/12</f>
        <v>0.75380898796509177</v>
      </c>
      <c r="EC133" s="21">
        <f>EXP(-LN(2)/2)*EC132+(1-EXP(-LN(2)/2))/(LN(2)/2)*DW133*DZ133*VLOOKUP('Données projet'!$B$14,Paramètres!$A$1:$I$89,3,0)*0.475*44/12</f>
        <v>2.0463429877724414E-14</v>
      </c>
      <c r="ED133" s="22">
        <f t="shared" si="126"/>
        <v>1.1091408722633118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-3.4106051316484809E-13</v>
      </c>
      <c r="EK133" s="17">
        <f>EJ133*VLOOKUP('Données projet'!$B$15,Paramètres!$A$1:$I$89,3,0)*VLOOKUP('Données projet'!$B$15,Paramètres!$A$1:$I$89,5,0)</f>
        <v>-3.6711753637064249E-13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399.38728019348088</v>
      </c>
      <c r="EP133" s="59">
        <f t="shared" ref="EP133:EP196" si="154">$EP$3</f>
        <v>289.54922160039791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0.39545000026735116</v>
      </c>
      <c r="EW133" s="21">
        <f>EXP(-LN(2)/25)*EW132+(1-EXP(-LN(2)/25))/(LN(2)/25)*Calculateur!ER133*Calculateur!ET133*VLOOKUP('Données projet'!$B$15,Paramètres!$A$1:$I$89,3,0)*0.475*44/12</f>
        <v>0.83891645434824813</v>
      </c>
      <c r="EX133" s="21">
        <f>EXP(-LN(2)/2)*EX132+(1-EXP(-LN(2)/2))/(LN(2)/2)*ER133*EU133*VLOOKUP('Données projet'!$B$15,Paramètres!$A$1:$I$89,3,0)*0.475*44/12</f>
        <v>2.2773817121983623E-14</v>
      </c>
      <c r="EY133" s="22">
        <f t="shared" si="129"/>
        <v>1.2343664546156221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-3.0859155231155454E-13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318.40875902853116</v>
      </c>
      <c r="T134" s="59">
        <f t="shared" si="142"/>
        <v>234.87694492493506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0.3258889432440859</v>
      </c>
      <c r="AA134" s="21">
        <f>EXP(-LN(2)/25)*AA133+(1-EXP(-LN(2)/25))/(LN(2)/25)*Calculateur!V134*Calculateur!X134*VLOOKUP('Données projet'!$B$9,Paramètres!$A$1:$I$89,3,0)*0.475*44/12</f>
        <v>0.68589307112563669</v>
      </c>
      <c r="AB134" s="21">
        <f>EXP(-LN(2)/2)*AB133+(1-EXP(-LN(2)/2))/(LN(2)/2)*V134*Y134*VLOOKUP('Données projet'!$B$9,Paramètres!$A$1:$I$89,3,0)*0.475*44/12</f>
        <v>1.3536292611398635E-14</v>
      </c>
      <c r="AC134" s="22">
        <f t="shared" si="111"/>
        <v>1.011782014369736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243.38048563215585</v>
      </c>
      <c r="AO134" s="59">
        <f t="shared" si="144"/>
        <v>372.1604147006675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0.98890437949929599</v>
      </c>
      <c r="AV134" s="21">
        <f>EXP(-LN(2)/25)*AV133+(1-EXP(-LN(2)/25))/(LN(2)/25)*Calculateur!AQ134*Calculateur!AS134*VLOOKUP('Données projet'!$B$10,Paramètres!$A$1:$I$89,3,0)*0.475*44/12</f>
        <v>1.1770601192435766</v>
      </c>
      <c r="AW134" s="21">
        <f>EXP(-LN(2)/2)*AW133+(1-EXP(-LN(2)/2))/(LN(2)/2)*AQ134*AT134*VLOOKUP('Données projet'!$B$10,Paramètres!$A$1:$I$89,3,0)*0.475*44/12</f>
        <v>1.8410865994143676E-14</v>
      </c>
      <c r="AX134" s="21">
        <f t="shared" si="114"/>
        <v>2.1659644987428908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-5.1159076974727213E-13</v>
      </c>
      <c r="BE134" s="13">
        <f>BD134*VLOOKUP('Données projet'!$B$11,Paramètres!$A$1:$I$89,3,0)*VLOOKUP('Données projet'!$B$11,Paramètres!$A$1:$I$89,5,0)</f>
        <v>-3.4317508834647017E-13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207.93042467236967</v>
      </c>
      <c r="BJ134" s="59">
        <f t="shared" si="146"/>
        <v>250.70954318710835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0.37224383603311528</v>
      </c>
      <c r="BQ134" s="21">
        <f>EXP(-LN(2)/25)*BQ133+(1-EXP(-LN(2)/25))/(LN(2)/25)*Calculateur!BL134*Calculateur!BN134*VLOOKUP('Données projet'!$B$11,Paramètres!$A$1:$I$89,3,0)*0.475*44/12</f>
        <v>1.0517343182548566</v>
      </c>
      <c r="BR134" s="21">
        <f>EXP(-LN(2)/2)*BR133+(1-EXP(-LN(2)/2))/(LN(2)/2)*BL134*BO134*VLOOKUP('Données projet'!$B$11,Paramètres!$A$1:$I$89,3,0)*0.475*44/12</f>
        <v>1.2729182548664254E-14</v>
      </c>
      <c r="BS134" s="22">
        <f t="shared" si="117"/>
        <v>1.4239781542879846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1.7053025658242404E-13</v>
      </c>
      <c r="BZ134" s="13">
        <f>BY134*VLOOKUP('Données projet'!$B$12,Paramètres!$A$1:$I$89,3,0)*VLOOKUP('Données projet'!$B$12,Paramètres!$A$1:$I$89,5,0)</f>
        <v>1.3301360013429075E-13</v>
      </c>
      <c r="CA134" s="13">
        <f t="shared" si="147"/>
        <v>1.9329766731057041E-12</v>
      </c>
      <c r="CB134" s="20">
        <f t="shared" si="118"/>
        <v>3.5982663925596575E-12</v>
      </c>
      <c r="CC134" s="59">
        <f t="shared" si="119"/>
        <v>293.3333333333369</v>
      </c>
      <c r="CD134" s="59">
        <f ca="1">AVERAGE(OFFSET($CC$3,0,0,'Données projet'!$E$12+1,1))-AVERAGE(OFFSET($H$3,0,0,'Données projet'!$E$12+1,1))</f>
        <v>266.30229009596883</v>
      </c>
      <c r="CE134" s="59">
        <f t="shared" si="148"/>
        <v>270.19195828386046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0.19565376826538416</v>
      </c>
      <c r="CL134" s="21">
        <f>EXP(-LN(2)/25)*CL133+(1-EXP(-LN(2)/25))/(LN(2)/25)*Calculateur!CG134*Calculateur!CI134*VLOOKUP('Données projet'!$B$12,Paramètres!$A$1:$I$89,3,0)*0.475*44/12</f>
        <v>0.50886404268336882</v>
      </c>
      <c r="CM134" s="21">
        <f>EXP(-LN(2)/2)*CM133+(1-EXP(-LN(2)/2))/(LN(2)/2)*CG134*CJ134*VLOOKUP('Données projet'!$B$12,Paramètres!$A$1:$I$89,3,0)*0.475*44/12</f>
        <v>8.2091842043531118E-15</v>
      </c>
      <c r="CN134" s="22">
        <f t="shared" si="120"/>
        <v>0.7045178109487612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-5.1159076974727213E-13</v>
      </c>
      <c r="CU134" s="17">
        <f>CT134*VLOOKUP('Données projet'!$B$13,Paramètres!$A$1:$I$89,3,0)*VLOOKUP('Données projet'!$B$13,Paramètres!$A$1:$I$89,5,0)</f>
        <v>-4.0702161641092972E-13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260.20517190557814</v>
      </c>
      <c r="CZ134" s="59">
        <f t="shared" si="150"/>
        <v>307.22009971147133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0.44149850320206752</v>
      </c>
      <c r="DG134" s="21">
        <f>EXP(-LN(2)/25)*DG133+(1-EXP(-LN(2)/25))/(LN(2)/25)*Calculateur!DB134*Calculateur!DD134*VLOOKUP('Données projet'!$B$13,Paramètres!$A$1:$I$89,3,0)*0.475*44/12</f>
        <v>1.247405819325526</v>
      </c>
      <c r="DH134" s="21">
        <f>EXP(-LN(2)/2)*DH133+(1-EXP(-LN(2)/2))/(LN(2)/2)*DB134*DE134*VLOOKUP('Données projet'!$B$13,Paramètres!$A$1:$I$89,3,0)*0.475*44/12</f>
        <v>1.5097402557718069E-14</v>
      </c>
      <c r="DI134" s="22">
        <f t="shared" si="123"/>
        <v>1.6889043225276086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-3.4106051316484809E-13</v>
      </c>
      <c r="DP134" s="17">
        <f>DO134*VLOOKUP('Données projet'!$B$14,Paramètres!$A$1:$I$89,3,0)*VLOOKUP('Données projet'!$B$14,Paramètres!$A$1:$I$89,5,0)</f>
        <v>-3.2987372833304104E-13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347.8889410585312</v>
      </c>
      <c r="DU134" s="59">
        <f t="shared" si="152"/>
        <v>254.78167322479203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0.34836404277816102</v>
      </c>
      <c r="EB134" s="21">
        <f>EXP(-LN(2)/25)*EB133+(1-EXP(-LN(2)/25))/(LN(2)/25)*Calculateur!DW134*Calculateur!DY134*VLOOKUP('Données projet'!$B$14,Paramètres!$A$1:$I$89,3,0)*0.475*44/12</f>
        <v>0.73319604154809448</v>
      </c>
      <c r="EC134" s="21">
        <f>EXP(-LN(2)/2)*EC133+(1-EXP(-LN(2)/2))/(LN(2)/2)*DW134*DZ134*VLOOKUP('Données projet'!$B$14,Paramètres!$A$1:$I$89,3,0)*0.475*44/12</f>
        <v>1.4469830032874336E-14</v>
      </c>
      <c r="ED134" s="22">
        <f t="shared" si="126"/>
        <v>1.0815600843262698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-3.4106051316484809E-13</v>
      </c>
      <c r="EK134" s="17">
        <f>EJ134*VLOOKUP('Données projet'!$B$15,Paramètres!$A$1:$I$89,3,0)*VLOOKUP('Données projet'!$B$15,Paramètres!$A$1:$I$89,5,0)</f>
        <v>-3.6711753637064249E-13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399.38728019348088</v>
      </c>
      <c r="EP134" s="59">
        <f t="shared" si="154"/>
        <v>289.54922160039791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0.387695466962792</v>
      </c>
      <c r="EW134" s="21">
        <f>EXP(-LN(2)/25)*EW133+(1-EXP(-LN(2)/25))/(LN(2)/25)*Calculateur!ER134*Calculateur!ET134*VLOOKUP('Données projet'!$B$15,Paramètres!$A$1:$I$89,3,0)*0.475*44/12</f>
        <v>0.81597623978739631</v>
      </c>
      <c r="EX134" s="21">
        <f>EXP(-LN(2)/2)*EX133+(1-EXP(-LN(2)/2))/(LN(2)/2)*ER134*EU134*VLOOKUP('Données projet'!$B$15,Paramètres!$A$1:$I$89,3,0)*0.475*44/12</f>
        <v>1.6103520520456923E-14</v>
      </c>
      <c r="EY134" s="22">
        <f t="shared" si="129"/>
        <v>1.2036717067502045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-3.0859155231155454E-13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318.40875902853116</v>
      </c>
      <c r="T135" s="59">
        <f t="shared" si="142"/>
        <v>234.87694492493506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0.3194984598396976</v>
      </c>
      <c r="AA135" s="21">
        <f>EXP(-LN(2)/25)*AA134+(1-EXP(-LN(2)/25))/(LN(2)/25)*Calculateur!V135*Calculateur!X135*VLOOKUP('Données projet'!$B$9,Paramètres!$A$1:$I$89,3,0)*0.475*44/12</f>
        <v>0.66713728902615721</v>
      </c>
      <c r="AB135" s="21">
        <f>EXP(-LN(2)/2)*AB134+(1-EXP(-LN(2)/2))/(LN(2)/2)*V135*Y135*VLOOKUP('Données projet'!$B$9,Paramètres!$A$1:$I$89,3,0)*0.475*44/12</f>
        <v>9.5716042976453342E-15</v>
      </c>
      <c r="AC135" s="22">
        <f t="shared" si="111"/>
        <v>0.98663574886586436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243.38048563215585</v>
      </c>
      <c r="AO135" s="59">
        <f t="shared" si="144"/>
        <v>372.1604147006675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0.96951256778942796</v>
      </c>
      <c r="AV135" s="21">
        <f>EXP(-LN(2)/25)*AV134+(1-EXP(-LN(2)/25))/(LN(2)/25)*Calculateur!AQ135*Calculateur!AS135*VLOOKUP('Données projet'!$B$10,Paramètres!$A$1:$I$89,3,0)*0.475*44/12</f>
        <v>1.1448733483839595</v>
      </c>
      <c r="AW135" s="21">
        <f>EXP(-LN(2)/2)*AW134+(1-EXP(-LN(2)/2))/(LN(2)/2)*AQ135*AT135*VLOOKUP('Données projet'!$B$10,Paramètres!$A$1:$I$89,3,0)*0.475*44/12</f>
        <v>1.3018448191975801E-14</v>
      </c>
      <c r="AX135" s="21">
        <f t="shared" si="114"/>
        <v>2.1143859161734002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-5.1159076974727213E-13</v>
      </c>
      <c r="BE135" s="13">
        <f>BD135*VLOOKUP('Données projet'!$B$11,Paramètres!$A$1:$I$89,3,0)*VLOOKUP('Données projet'!$B$11,Paramètres!$A$1:$I$89,5,0)</f>
        <v>-3.4317508834647017E-13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207.93042467236967</v>
      </c>
      <c r="BJ135" s="59">
        <f t="shared" si="146"/>
        <v>250.70954318710835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0.36494436145482689</v>
      </c>
      <c r="BQ135" s="21">
        <f>EXP(-LN(2)/25)*BQ134+(1-EXP(-LN(2)/25))/(LN(2)/25)*Calculateur!BL135*Calculateur!BN135*VLOOKUP('Données projet'!$B$11,Paramètres!$A$1:$I$89,3,0)*0.475*44/12</f>
        <v>1.0229745880138736</v>
      </c>
      <c r="BR135" s="21">
        <f>EXP(-LN(2)/2)*BR134+(1-EXP(-LN(2)/2))/(LN(2)/2)*BL135*BO135*VLOOKUP('Données projet'!$B$11,Paramètres!$A$1:$I$89,3,0)*0.475*44/12</f>
        <v>9.0008912991219536E-15</v>
      </c>
      <c r="BS135" s="22">
        <f t="shared" si="117"/>
        <v>1.3879189494687096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1.7053025658242404E-13</v>
      </c>
      <c r="BZ135" s="13">
        <f>BY135*VLOOKUP('Données projet'!$B$12,Paramètres!$A$1:$I$89,3,0)*VLOOKUP('Données projet'!$B$12,Paramètres!$A$1:$I$89,5,0)</f>
        <v>1.3301360013429075E-13</v>
      </c>
      <c r="CA135" s="13">
        <f t="shared" si="147"/>
        <v>1.9329766731057041E-12</v>
      </c>
      <c r="CB135" s="20">
        <f t="shared" si="118"/>
        <v>3.5982663925596575E-12</v>
      </c>
      <c r="CC135" s="59">
        <f t="shared" si="119"/>
        <v>293.3333333333369</v>
      </c>
      <c r="CD135" s="59">
        <f ca="1">AVERAGE(OFFSET($CC$3,0,0,'Données projet'!$E$12+1,1))-AVERAGE(OFFSET($H$3,0,0,'Données projet'!$E$12+1,1))</f>
        <v>266.30229009596883</v>
      </c>
      <c r="CE135" s="59">
        <f t="shared" si="148"/>
        <v>270.19195828386046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0.19181711720671507</v>
      </c>
      <c r="CL135" s="21">
        <f>EXP(-LN(2)/25)*CL134+(1-EXP(-LN(2)/25))/(LN(2)/25)*Calculateur!CG135*Calculateur!CI135*VLOOKUP('Données projet'!$B$12,Paramètres!$A$1:$I$89,3,0)*0.475*44/12</f>
        <v>0.49494912867619512</v>
      </c>
      <c r="CM135" s="21">
        <f>EXP(-LN(2)/2)*CM134+(1-EXP(-LN(2)/2))/(LN(2)/2)*CG135*CJ135*VLOOKUP('Données projet'!$B$12,Paramètres!$A$1:$I$89,3,0)*0.475*44/12</f>
        <v>5.8047698189075782E-15</v>
      </c>
      <c r="CN135" s="22">
        <f t="shared" si="120"/>
        <v>0.68676624588291602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-5.1159076974727213E-13</v>
      </c>
      <c r="CU135" s="17">
        <f>CT135*VLOOKUP('Données projet'!$B$13,Paramètres!$A$1:$I$89,3,0)*VLOOKUP('Données projet'!$B$13,Paramètres!$A$1:$I$89,5,0)</f>
        <v>-4.0702161641092972E-13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260.20517190557814</v>
      </c>
      <c r="CZ135" s="59">
        <f t="shared" si="150"/>
        <v>307.22009971147133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0.43284098684177197</v>
      </c>
      <c r="DG135" s="21">
        <f>EXP(-LN(2)/25)*DG134+(1-EXP(-LN(2)/25))/(LN(2)/25)*Calculateur!DB135*Calculateur!DD135*VLOOKUP('Données projet'!$B$13,Paramètres!$A$1:$I$89,3,0)*0.475*44/12</f>
        <v>1.2132954415978483</v>
      </c>
      <c r="DH135" s="21">
        <f>EXP(-LN(2)/2)*DH134+(1-EXP(-LN(2)/2))/(LN(2)/2)*DB135*DE135*VLOOKUP('Données projet'!$B$13,Paramètres!$A$1:$I$89,3,0)*0.475*44/12</f>
        <v>1.0675475726865574E-14</v>
      </c>
      <c r="DI135" s="22">
        <f t="shared" si="123"/>
        <v>1.6461364284396309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-3.4106051316484809E-13</v>
      </c>
      <c r="DP135" s="17">
        <f>DO135*VLOOKUP('Données projet'!$B$14,Paramètres!$A$1:$I$89,3,0)*VLOOKUP('Données projet'!$B$14,Paramètres!$A$1:$I$89,5,0)</f>
        <v>-3.2987372833304104E-13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347.8889410585312</v>
      </c>
      <c r="DU135" s="59">
        <f t="shared" si="152"/>
        <v>254.78167322479203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0.34153283638036663</v>
      </c>
      <c r="EB135" s="21">
        <f>EXP(-LN(2)/25)*EB134+(1-EXP(-LN(2)/25))/(LN(2)/25)*Calculateur!DW135*Calculateur!DY135*VLOOKUP('Données projet'!$B$14,Paramètres!$A$1:$I$89,3,0)*0.475*44/12</f>
        <v>0.71314675723485776</v>
      </c>
      <c r="EC135" s="21">
        <f>EXP(-LN(2)/2)*EC134+(1-EXP(-LN(2)/2))/(LN(2)/2)*DW135*DZ135*VLOOKUP('Données projet'!$B$14,Paramètres!$A$1:$I$89,3,0)*0.475*44/12</f>
        <v>1.0231714938862207E-14</v>
      </c>
      <c r="ED135" s="22">
        <f t="shared" si="126"/>
        <v>1.0546795936152347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-3.4106051316484809E-13</v>
      </c>
      <c r="EK135" s="17">
        <f>EJ135*VLOOKUP('Données projet'!$B$15,Paramètres!$A$1:$I$89,3,0)*VLOOKUP('Données projet'!$B$15,Paramètres!$A$1:$I$89,5,0)</f>
        <v>-3.6711753637064249E-13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399.38728019348088</v>
      </c>
      <c r="EP135" s="59">
        <f t="shared" si="154"/>
        <v>289.54922160039791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0.38009299532653695</v>
      </c>
      <c r="EW135" s="21">
        <f>EXP(-LN(2)/25)*EW134+(1-EXP(-LN(2)/25))/(LN(2)/25)*Calculateur!ER135*Calculateur!ET135*VLOOKUP('Données projet'!$B$15,Paramètres!$A$1:$I$89,3,0)*0.475*44/12</f>
        <v>0.79366332660008443</v>
      </c>
      <c r="EX135" s="21">
        <f>EXP(-LN(2)/2)*EX134+(1-EXP(-LN(2)/2))/(LN(2)/2)*ER135*EU135*VLOOKUP('Données projet'!$B$15,Paramètres!$A$1:$I$89,3,0)*0.475*44/12</f>
        <v>1.1386908560991812E-14</v>
      </c>
      <c r="EY135" s="22">
        <f t="shared" si="129"/>
        <v>1.1737563219266327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-3.0859155231155454E-13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318.40875902853116</v>
      </c>
      <c r="T136" s="59">
        <f t="shared" si="142"/>
        <v>234.87694492493506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0.31323328991705934</v>
      </c>
      <c r="AA136" s="21">
        <f>EXP(-LN(2)/25)*AA135+(1-EXP(-LN(2)/25))/(LN(2)/25)*Calculateur!V136*Calculateur!X136*VLOOKUP('Données projet'!$B$9,Paramètres!$A$1:$I$89,3,0)*0.475*44/12</f>
        <v>0.64889438477451167</v>
      </c>
      <c r="AB136" s="21">
        <f>EXP(-LN(2)/2)*AB135+(1-EXP(-LN(2)/2))/(LN(2)/2)*V136*Y136*VLOOKUP('Données projet'!$B$9,Paramètres!$A$1:$I$89,3,0)*0.475*44/12</f>
        <v>6.7681463056993173E-15</v>
      </c>
      <c r="AC136" s="22">
        <f t="shared" si="111"/>
        <v>0.96212767469157778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243.38048563215585</v>
      </c>
      <c r="AO136" s="59">
        <f t="shared" si="144"/>
        <v>372.1604147006675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0.95050101767935324</v>
      </c>
      <c r="AV136" s="21">
        <f>EXP(-LN(2)/25)*AV135+(1-EXP(-LN(2)/25))/(LN(2)/25)*Calculateur!AQ136*Calculateur!AS136*VLOOKUP('Données projet'!$B$10,Paramètres!$A$1:$I$89,3,0)*0.475*44/12</f>
        <v>1.1135667264661273</v>
      </c>
      <c r="AW136" s="21">
        <f>EXP(-LN(2)/2)*AW135+(1-EXP(-LN(2)/2))/(LN(2)/2)*AQ136*AT136*VLOOKUP('Données projet'!$B$10,Paramètres!$A$1:$I$89,3,0)*0.475*44/12</f>
        <v>9.2054329970718379E-15</v>
      </c>
      <c r="AX136" s="21">
        <f t="shared" si="114"/>
        <v>2.0640677441454898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-5.1159076974727213E-13</v>
      </c>
      <c r="BE136" s="13">
        <f>BD136*VLOOKUP('Données projet'!$B$11,Paramètres!$A$1:$I$89,3,0)*VLOOKUP('Données projet'!$B$11,Paramètres!$A$1:$I$89,5,0)</f>
        <v>-3.4317508834647017E-13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207.93042467236967</v>
      </c>
      <c r="BJ136" s="59">
        <f t="shared" si="146"/>
        <v>250.70954318710835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0.3577880251207789</v>
      </c>
      <c r="BQ136" s="21">
        <f>EXP(-LN(2)/25)*BQ135+(1-EXP(-LN(2)/25))/(LN(2)/25)*Calculateur!BL136*Calculateur!BN136*VLOOKUP('Données projet'!$B$11,Paramètres!$A$1:$I$89,3,0)*0.475*44/12</f>
        <v>0.99500129410873872</v>
      </c>
      <c r="BR136" s="21">
        <f>EXP(-LN(2)/2)*BR135+(1-EXP(-LN(2)/2))/(LN(2)/2)*BL136*BO136*VLOOKUP('Données projet'!$B$11,Paramètres!$A$1:$I$89,3,0)*0.475*44/12</f>
        <v>6.3645912743321268E-15</v>
      </c>
      <c r="BS136" s="22">
        <f t="shared" si="117"/>
        <v>1.3527893192295239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1.7053025658242404E-13</v>
      </c>
      <c r="BZ136" s="13">
        <f>BY136*VLOOKUP('Données projet'!$B$12,Paramètres!$A$1:$I$89,3,0)*VLOOKUP('Données projet'!$B$12,Paramètres!$A$1:$I$89,5,0)</f>
        <v>1.3301360013429075E-13</v>
      </c>
      <c r="CA136" s="13">
        <f t="shared" si="147"/>
        <v>1.9329766731057041E-12</v>
      </c>
      <c r="CB136" s="20">
        <f t="shared" si="118"/>
        <v>3.5982663925596575E-12</v>
      </c>
      <c r="CC136" s="59">
        <f t="shared" si="119"/>
        <v>293.3333333333369</v>
      </c>
      <c r="CD136" s="59">
        <f ca="1">AVERAGE(OFFSET($CC$3,0,0,'Données projet'!$E$12+1,1))-AVERAGE(OFFSET($H$3,0,0,'Données projet'!$E$12+1,1))</f>
        <v>266.30229009596883</v>
      </c>
      <c r="CE136" s="59">
        <f t="shared" si="148"/>
        <v>270.19195828386046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0.18805570053518039</v>
      </c>
      <c r="CL136" s="21">
        <f>EXP(-LN(2)/25)*CL135+(1-EXP(-LN(2)/25))/(LN(2)/25)*Calculateur!CG136*Calculateur!CI136*VLOOKUP('Données projet'!$B$12,Paramètres!$A$1:$I$89,3,0)*0.475*44/12</f>
        <v>0.48141471872430108</v>
      </c>
      <c r="CM136" s="21">
        <f>EXP(-LN(2)/2)*CM135+(1-EXP(-LN(2)/2))/(LN(2)/2)*CG136*CJ136*VLOOKUP('Données projet'!$B$12,Paramètres!$A$1:$I$89,3,0)*0.475*44/12</f>
        <v>4.1045921021765559E-15</v>
      </c>
      <c r="CN136" s="22">
        <f t="shared" si="120"/>
        <v>0.66947041925948558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-5.1159076974727213E-13</v>
      </c>
      <c r="CU136" s="17">
        <f>CT136*VLOOKUP('Données projet'!$B$13,Paramètres!$A$1:$I$89,3,0)*VLOOKUP('Données projet'!$B$13,Paramètres!$A$1:$I$89,5,0)</f>
        <v>-4.0702161641092972E-13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260.20517190557814</v>
      </c>
      <c r="CZ136" s="59">
        <f t="shared" si="150"/>
        <v>307.22009971147133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0.42435323909673828</v>
      </c>
      <c r="DG136" s="21">
        <f>EXP(-LN(2)/25)*DG135+(1-EXP(-LN(2)/25))/(LN(2)/25)*Calculateur!DB136*Calculateur!DD136*VLOOKUP('Données projet'!$B$13,Paramètres!$A$1:$I$89,3,0)*0.475*44/12</f>
        <v>1.1801178139429209</v>
      </c>
      <c r="DH136" s="21">
        <f>EXP(-LN(2)/2)*DH135+(1-EXP(-LN(2)/2))/(LN(2)/2)*DB136*DE136*VLOOKUP('Données projet'!$B$13,Paramètres!$A$1:$I$89,3,0)*0.475*44/12</f>
        <v>7.5487012788590345E-15</v>
      </c>
      <c r="DI136" s="22">
        <f t="shared" si="123"/>
        <v>1.6044710530396666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-3.4106051316484809E-13</v>
      </c>
      <c r="DP136" s="17">
        <f>DO136*VLOOKUP('Données projet'!$B$14,Paramètres!$A$1:$I$89,3,0)*VLOOKUP('Données projet'!$B$14,Paramètres!$A$1:$I$89,5,0)</f>
        <v>-3.2987372833304104E-13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347.8889410585312</v>
      </c>
      <c r="DU136" s="59">
        <f t="shared" si="152"/>
        <v>254.78167322479203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0.3348355857734085</v>
      </c>
      <c r="EB136" s="21">
        <f>EXP(-LN(2)/25)*EB135+(1-EXP(-LN(2)/25))/(LN(2)/25)*Calculateur!DW136*Calculateur!DY136*VLOOKUP('Données projet'!$B$14,Paramètres!$A$1:$I$89,3,0)*0.475*44/12</f>
        <v>0.69364572165551253</v>
      </c>
      <c r="EC136" s="21">
        <f>EXP(-LN(2)/2)*EC135+(1-EXP(-LN(2)/2))/(LN(2)/2)*DW136*DZ136*VLOOKUP('Données projet'!$B$14,Paramètres!$A$1:$I$89,3,0)*0.475*44/12</f>
        <v>7.2349150164371678E-15</v>
      </c>
      <c r="ED136" s="22">
        <f t="shared" si="126"/>
        <v>1.0284813074289283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-3.4106051316484809E-13</v>
      </c>
      <c r="EK136" s="17">
        <f>EJ136*VLOOKUP('Données projet'!$B$15,Paramètres!$A$1:$I$89,3,0)*VLOOKUP('Données projet'!$B$15,Paramètres!$A$1:$I$89,5,0)</f>
        <v>-3.6711753637064249E-13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399.38728019348088</v>
      </c>
      <c r="EP136" s="59">
        <f t="shared" si="154"/>
        <v>289.54922160039791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0.37263960352201903</v>
      </c>
      <c r="EW136" s="21">
        <f>EXP(-LN(2)/25)*EW135+(1-EXP(-LN(2)/25))/(LN(2)/25)*Calculateur!ER136*Calculateur!ET136*VLOOKUP('Données projet'!$B$15,Paramètres!$A$1:$I$89,3,0)*0.475*44/12</f>
        <v>0.77196056119726475</v>
      </c>
      <c r="EX136" s="21">
        <f>EXP(-LN(2)/2)*EX135+(1-EXP(-LN(2)/2))/(LN(2)/2)*ER136*EU136*VLOOKUP('Données projet'!$B$15,Paramètres!$A$1:$I$89,3,0)*0.475*44/12</f>
        <v>8.0517602602284617E-15</v>
      </c>
      <c r="EY136" s="22">
        <f t="shared" si="129"/>
        <v>1.1446001647192918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-3.0859155231155454E-13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318.40875902853116</v>
      </c>
      <c r="T137" s="59">
        <f t="shared" si="142"/>
        <v>234.87694492493506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0.30709097615522768</v>
      </c>
      <c r="AA137" s="21">
        <f>EXP(-LN(2)/25)*AA136+(1-EXP(-LN(2)/25))/(LN(2)/25)*Calculateur!V137*Calculateur!X137*VLOOKUP('Données projet'!$B$9,Paramètres!$A$1:$I$89,3,0)*0.475*44/12</f>
        <v>0.63115033369897999</v>
      </c>
      <c r="AB137" s="21">
        <f>EXP(-LN(2)/2)*AB136+(1-EXP(-LN(2)/2))/(LN(2)/2)*V137*Y137*VLOOKUP('Données projet'!$B$9,Paramètres!$A$1:$I$89,3,0)*0.475*44/12</f>
        <v>4.7858021488226671E-15</v>
      </c>
      <c r="AC137" s="22">
        <f t="shared" si="111"/>
        <v>0.9382413098542125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243.38048563215585</v>
      </c>
      <c r="AO137" s="59">
        <f t="shared" si="144"/>
        <v>372.1604147006675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0.93186227247103648</v>
      </c>
      <c r="AV137" s="21">
        <f>EXP(-LN(2)/25)*AV136+(1-EXP(-LN(2)/25))/(LN(2)/25)*Calculateur!AQ137*Calculateur!AS137*VLOOKUP('Données projet'!$B$10,Paramètres!$A$1:$I$89,3,0)*0.475*44/12</f>
        <v>1.0831161857709819</v>
      </c>
      <c r="AW137" s="21">
        <f>EXP(-LN(2)/2)*AW136+(1-EXP(-LN(2)/2))/(LN(2)/2)*AQ137*AT137*VLOOKUP('Données projet'!$B$10,Paramètres!$A$1:$I$89,3,0)*0.475*44/12</f>
        <v>6.5092240959879005E-15</v>
      </c>
      <c r="AX137" s="21">
        <f t="shared" si="114"/>
        <v>2.0149784582420249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-5.1159076974727213E-13</v>
      </c>
      <c r="BE137" s="13">
        <f>BD137*VLOOKUP('Données projet'!$B$11,Paramètres!$A$1:$I$89,3,0)*VLOOKUP('Données projet'!$B$11,Paramètres!$A$1:$I$89,5,0)</f>
        <v>-3.4317508834647017E-13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207.93042467236967</v>
      </c>
      <c r="BJ137" s="59">
        <f t="shared" si="146"/>
        <v>250.70954318710835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0.35077202017730741</v>
      </c>
      <c r="BQ137" s="21">
        <f>EXP(-LN(2)/25)*BQ136+(1-EXP(-LN(2)/25))/(LN(2)/25)*Calculateur!BL137*Calculateur!BN137*VLOOKUP('Données projet'!$B$11,Paramètres!$A$1:$I$89,3,0)*0.475*44/12</f>
        <v>0.96779293139649136</v>
      </c>
      <c r="BR137" s="21">
        <f>EXP(-LN(2)/2)*BR136+(1-EXP(-LN(2)/2))/(LN(2)/2)*BL137*BO137*VLOOKUP('Données projet'!$B$11,Paramètres!$A$1:$I$89,3,0)*0.475*44/12</f>
        <v>4.5004456495609768E-15</v>
      </c>
      <c r="BS137" s="22">
        <f t="shared" si="117"/>
        <v>1.3185649515738032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1.7053025658242404E-13</v>
      </c>
      <c r="BZ137" s="13">
        <f>BY137*VLOOKUP('Données projet'!$B$12,Paramètres!$A$1:$I$89,3,0)*VLOOKUP('Données projet'!$B$12,Paramètres!$A$1:$I$89,5,0)</f>
        <v>1.3301360013429075E-13</v>
      </c>
      <c r="CA137" s="13">
        <f t="shared" si="147"/>
        <v>1.9329766731057041E-12</v>
      </c>
      <c r="CB137" s="20">
        <f t="shared" si="118"/>
        <v>3.5982663925596575E-12</v>
      </c>
      <c r="CC137" s="59">
        <f t="shared" si="119"/>
        <v>293.3333333333369</v>
      </c>
      <c r="CD137" s="59">
        <f ca="1">AVERAGE(OFFSET($CC$3,0,0,'Données projet'!$E$12+1,1))-AVERAGE(OFFSET($H$3,0,0,'Données projet'!$E$12+1,1))</f>
        <v>266.30229009596883</v>
      </c>
      <c r="CE137" s="59">
        <f t="shared" si="148"/>
        <v>270.19195828386046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0.18436804295033687</v>
      </c>
      <c r="CL137" s="21">
        <f>EXP(-LN(2)/25)*CL136+(1-EXP(-LN(2)/25))/(LN(2)/25)*Calculateur!CG137*Calculateur!CI137*VLOOKUP('Données projet'!$B$12,Paramètres!$A$1:$I$89,3,0)*0.475*44/12</f>
        <v>0.46825040792428529</v>
      </c>
      <c r="CM137" s="21">
        <f>EXP(-LN(2)/2)*CM136+(1-EXP(-LN(2)/2))/(LN(2)/2)*CG137*CJ137*VLOOKUP('Données projet'!$B$12,Paramètres!$A$1:$I$89,3,0)*0.475*44/12</f>
        <v>2.9023849094537891E-15</v>
      </c>
      <c r="CN137" s="22">
        <f t="shared" si="120"/>
        <v>0.65261845087462511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-5.1159076974727213E-13</v>
      </c>
      <c r="CU137" s="17">
        <f>CT137*VLOOKUP('Données projet'!$B$13,Paramètres!$A$1:$I$89,3,0)*VLOOKUP('Données projet'!$B$13,Paramètres!$A$1:$I$89,5,0)</f>
        <v>-4.0702161641092972E-13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260.20517190557814</v>
      </c>
      <c r="CZ137" s="59">
        <f t="shared" si="150"/>
        <v>307.22009971147133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0.41603193090796975</v>
      </c>
      <c r="DG137" s="21">
        <f>EXP(-LN(2)/25)*DG136+(1-EXP(-LN(2)/25))/(LN(2)/25)*Calculateur!DB137*Calculateur!DD137*VLOOKUP('Données projet'!$B$13,Paramètres!$A$1:$I$89,3,0)*0.475*44/12</f>
        <v>1.1478474302609531</v>
      </c>
      <c r="DH137" s="21">
        <f>EXP(-LN(2)/2)*DH136+(1-EXP(-LN(2)/2))/(LN(2)/2)*DB137*DE137*VLOOKUP('Données projet'!$B$13,Paramètres!$A$1:$I$89,3,0)*0.475*44/12</f>
        <v>5.3377378634327868E-15</v>
      </c>
      <c r="DI137" s="22">
        <f t="shared" si="123"/>
        <v>1.5638793611689281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-3.4106051316484809E-13</v>
      </c>
      <c r="DP137" s="17">
        <f>DO137*VLOOKUP('Données projet'!$B$14,Paramètres!$A$1:$I$89,3,0)*VLOOKUP('Données projet'!$B$14,Paramètres!$A$1:$I$89,5,0)</f>
        <v>-3.2987372833304104E-13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347.8889410585312</v>
      </c>
      <c r="DU137" s="59">
        <f t="shared" si="152"/>
        <v>254.78167322479203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0.32826966416593328</v>
      </c>
      <c r="EB137" s="21">
        <f>EXP(-LN(2)/25)*EB136+(1-EXP(-LN(2)/25))/(LN(2)/25)*Calculateur!DW137*Calculateur!DY137*VLOOKUP('Données projet'!$B$14,Paramètres!$A$1:$I$89,3,0)*0.475*44/12</f>
        <v>0.67467794291959937</v>
      </c>
      <c r="EC137" s="21">
        <f>EXP(-LN(2)/2)*EC136+(1-EXP(-LN(2)/2))/(LN(2)/2)*DW137*DZ137*VLOOKUP('Données projet'!$B$14,Paramètres!$A$1:$I$89,3,0)*0.475*44/12</f>
        <v>5.1158574694311034E-15</v>
      </c>
      <c r="ED137" s="22">
        <f t="shared" si="126"/>
        <v>1.0029476070855379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-3.4106051316484809E-13</v>
      </c>
      <c r="EK137" s="17">
        <f>EJ137*VLOOKUP('Données projet'!$B$15,Paramètres!$A$1:$I$89,3,0)*VLOOKUP('Données projet'!$B$15,Paramètres!$A$1:$I$89,5,0)</f>
        <v>-3.6711753637064249E-13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399.38728019348088</v>
      </c>
      <c r="EP137" s="59">
        <f t="shared" si="154"/>
        <v>289.54922160039791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0.36533236818466758</v>
      </c>
      <c r="EW137" s="21">
        <f>EXP(-LN(2)/25)*EW136+(1-EXP(-LN(2)/25))/(LN(2)/25)*Calculateur!ER137*Calculateur!ET137*VLOOKUP('Données projet'!$B$15,Paramètres!$A$1:$I$89,3,0)*0.475*44/12</f>
        <v>0.75085125905568395</v>
      </c>
      <c r="EX137" s="21">
        <f>EXP(-LN(2)/2)*EX136+(1-EXP(-LN(2)/2))/(LN(2)/2)*ER137*EU137*VLOOKUP('Données projet'!$B$15,Paramètres!$A$1:$I$89,3,0)*0.475*44/12</f>
        <v>5.6934542804959058E-15</v>
      </c>
      <c r="EY137" s="22">
        <f t="shared" si="129"/>
        <v>1.1161836272403574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-3.0859155231155454E-13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318.40875902853116</v>
      </c>
      <c r="T138" s="59">
        <f t="shared" si="142"/>
        <v>234.87694492493506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0.30106910941982407</v>
      </c>
      <c r="AA138" s="21">
        <f>EXP(-LN(2)/25)*AA137+(1-EXP(-LN(2)/25))/(LN(2)/25)*Calculateur!V138*Calculateur!X138*VLOOKUP('Données projet'!$B$9,Paramètres!$A$1:$I$89,3,0)*0.475*44/12</f>
        <v>0.6138914946332279</v>
      </c>
      <c r="AB138" s="21">
        <f>EXP(-LN(2)/2)*AB137+(1-EXP(-LN(2)/2))/(LN(2)/2)*V138*Y138*VLOOKUP('Données projet'!$B$9,Paramètres!$A$1:$I$89,3,0)*0.475*44/12</f>
        <v>3.3840731528496587E-15</v>
      </c>
      <c r="AC138" s="22">
        <f t="shared" si="111"/>
        <v>0.91496060405305535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243.38048563215585</v>
      </c>
      <c r="AO138" s="59">
        <f t="shared" si="144"/>
        <v>372.1604147006675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0.91358902168774281</v>
      </c>
      <c r="AV138" s="21">
        <f>EXP(-LN(2)/25)*AV137+(1-EXP(-LN(2)/25))/(LN(2)/25)*Calculateur!AQ138*Calculateur!AS138*VLOOKUP('Données projet'!$B$10,Paramètres!$A$1:$I$89,3,0)*0.475*44/12</f>
        <v>1.0534983167124696</v>
      </c>
      <c r="AW138" s="21">
        <f>EXP(-LN(2)/2)*AW137+(1-EXP(-LN(2)/2))/(LN(2)/2)*AQ138*AT138*VLOOKUP('Données projet'!$B$10,Paramètres!$A$1:$I$89,3,0)*0.475*44/12</f>
        <v>4.6027164985359189E-15</v>
      </c>
      <c r="AX138" s="21">
        <f t="shared" si="114"/>
        <v>1.9670873384002172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-5.1159076974727213E-13</v>
      </c>
      <c r="BE138" s="13">
        <f>BD138*VLOOKUP('Données projet'!$B$11,Paramètres!$A$1:$I$89,3,0)*VLOOKUP('Données projet'!$B$11,Paramètres!$A$1:$I$89,5,0)</f>
        <v>-3.4317508834647017E-13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207.93042467236967</v>
      </c>
      <c r="BJ138" s="59">
        <f t="shared" si="146"/>
        <v>250.70954318710835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0.34389359481143694</v>
      </c>
      <c r="BQ138" s="21">
        <f>EXP(-LN(2)/25)*BQ137+(1-EXP(-LN(2)/25))/(LN(2)/25)*Calculateur!BL138*Calculateur!BN138*VLOOKUP('Données projet'!$B$11,Paramètres!$A$1:$I$89,3,0)*0.475*44/12</f>
        <v>0.94132858279343601</v>
      </c>
      <c r="BR138" s="21">
        <f>EXP(-LN(2)/2)*BR137+(1-EXP(-LN(2)/2))/(LN(2)/2)*BL138*BO138*VLOOKUP('Données projet'!$B$11,Paramètres!$A$1:$I$89,3,0)*0.475*44/12</f>
        <v>3.1822956371660634E-15</v>
      </c>
      <c r="BS138" s="22">
        <f t="shared" si="117"/>
        <v>1.285222177604876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1.7053025658242404E-13</v>
      </c>
      <c r="BZ138" s="13">
        <f>BY138*VLOOKUP('Données projet'!$B$12,Paramètres!$A$1:$I$89,3,0)*VLOOKUP('Données projet'!$B$12,Paramètres!$A$1:$I$89,5,0)</f>
        <v>1.3301360013429075E-13</v>
      </c>
      <c r="CA138" s="13">
        <f t="shared" si="147"/>
        <v>1.9329766731057041E-12</v>
      </c>
      <c r="CB138" s="20">
        <f t="shared" si="118"/>
        <v>3.5982663925596575E-12</v>
      </c>
      <c r="CC138" s="59">
        <f t="shared" si="119"/>
        <v>293.3333333333369</v>
      </c>
      <c r="CD138" s="59">
        <f ca="1">AVERAGE(OFFSET($CC$3,0,0,'Données projet'!$E$12+1,1))-AVERAGE(OFFSET($H$3,0,0,'Données projet'!$E$12+1,1))</f>
        <v>266.30229009596883</v>
      </c>
      <c r="CE138" s="59">
        <f t="shared" si="148"/>
        <v>270.19195828386046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0.18075269808148312</v>
      </c>
      <c r="CL138" s="21">
        <f>EXP(-LN(2)/25)*CL137+(1-EXP(-LN(2)/25))/(LN(2)/25)*Calculateur!CG138*Calculateur!CI138*VLOOKUP('Données projet'!$B$12,Paramètres!$A$1:$I$89,3,0)*0.475*44/12</f>
        <v>0.45544607589537695</v>
      </c>
      <c r="CM138" s="21">
        <f>EXP(-LN(2)/2)*CM137+(1-EXP(-LN(2)/2))/(LN(2)/2)*CG138*CJ138*VLOOKUP('Données projet'!$B$12,Paramètres!$A$1:$I$89,3,0)*0.475*44/12</f>
        <v>2.052296051088278E-15</v>
      </c>
      <c r="CN138" s="22">
        <f t="shared" si="120"/>
        <v>0.63619877397686209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-5.1159076974727213E-13</v>
      </c>
      <c r="CU138" s="17">
        <f>CT138*VLOOKUP('Données projet'!$B$13,Paramètres!$A$1:$I$89,3,0)*VLOOKUP('Données projet'!$B$13,Paramètres!$A$1:$I$89,5,0)</f>
        <v>-4.0702161641092972E-13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260.20517190557814</v>
      </c>
      <c r="CZ138" s="59">
        <f t="shared" si="150"/>
        <v>307.22009971147133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0.40787379849728617</v>
      </c>
      <c r="DG138" s="21">
        <f>EXP(-LN(2)/25)*DG137+(1-EXP(-LN(2)/25))/(LN(2)/25)*Calculateur!DB138*Calculateur!DD138*VLOOKUP('Données projet'!$B$13,Paramètres!$A$1:$I$89,3,0)*0.475*44/12</f>
        <v>1.1164594819177944</v>
      </c>
      <c r="DH138" s="21">
        <f>EXP(-LN(2)/2)*DH137+(1-EXP(-LN(2)/2))/(LN(2)/2)*DB138*DE138*VLOOKUP('Données projet'!$B$13,Paramètres!$A$1:$I$89,3,0)*0.475*44/12</f>
        <v>3.7743506394295173E-15</v>
      </c>
      <c r="DI138" s="22">
        <f t="shared" si="123"/>
        <v>1.5243332804150844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-3.4106051316484809E-13</v>
      </c>
      <c r="DP138" s="17">
        <f>DO138*VLOOKUP('Données projet'!$B$14,Paramètres!$A$1:$I$89,3,0)*VLOOKUP('Données projet'!$B$14,Paramètres!$A$1:$I$89,5,0)</f>
        <v>-3.2987372833304104E-13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347.8889410585312</v>
      </c>
      <c r="DU138" s="59">
        <f t="shared" si="152"/>
        <v>254.78167322479203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0.3218324962763639</v>
      </c>
      <c r="EB138" s="21">
        <f>EXP(-LN(2)/25)*EB137+(1-EXP(-LN(2)/25))/(LN(2)/25)*Calculateur!DW138*Calculateur!DY138*VLOOKUP('Données projet'!$B$14,Paramètres!$A$1:$I$89,3,0)*0.475*44/12</f>
        <v>0.65622883909069185</v>
      </c>
      <c r="EC138" s="21">
        <f>EXP(-LN(2)/2)*EC137+(1-EXP(-LN(2)/2))/(LN(2)/2)*DW138*DZ138*VLOOKUP('Données projet'!$B$14,Paramètres!$A$1:$I$89,3,0)*0.475*44/12</f>
        <v>3.6174575082185839E-15</v>
      </c>
      <c r="ED138" s="22">
        <f t="shared" si="126"/>
        <v>0.97806133536705941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-3.4106051316484809E-13</v>
      </c>
      <c r="EK138" s="17">
        <f>EJ138*VLOOKUP('Données projet'!$B$15,Paramètres!$A$1:$I$89,3,0)*VLOOKUP('Données projet'!$B$15,Paramètres!$A$1:$I$89,5,0)</f>
        <v>-3.6711753637064249E-13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399.38728019348088</v>
      </c>
      <c r="EP138" s="59">
        <f t="shared" si="154"/>
        <v>289.54922160039791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0.35816842327530812</v>
      </c>
      <c r="EW138" s="21">
        <f>EXP(-LN(2)/25)*EW137+(1-EXP(-LN(2)/25))/(LN(2)/25)*Calculateur!ER138*Calculateur!ET138*VLOOKUP('Données projet'!$B$15,Paramètres!$A$1:$I$89,3,0)*0.475*44/12</f>
        <v>0.7303191918912546</v>
      </c>
      <c r="EX138" s="21">
        <f>EXP(-LN(2)/2)*EX137+(1-EXP(-LN(2)/2))/(LN(2)/2)*ER138*EU138*VLOOKUP('Données projet'!$B$15,Paramètres!$A$1:$I$89,3,0)*0.475*44/12</f>
        <v>4.0258801301142308E-15</v>
      </c>
      <c r="EY138" s="22">
        <f t="shared" si="129"/>
        <v>1.0884876151665668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-3.0859155231155454E-13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318.40875902853116</v>
      </c>
      <c r="T139" s="59">
        <f t="shared" si="142"/>
        <v>234.87694492493506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0.29516532781812571</v>
      </c>
      <c r="AA139" s="21">
        <f>EXP(-LN(2)/25)*AA138+(1-EXP(-LN(2)/25))/(LN(2)/25)*Calculateur!V139*Calculateur!X139*VLOOKUP('Données projet'!$B$9,Paramètres!$A$1:$I$89,3,0)*0.475*44/12</f>
        <v>0.59710459942933169</v>
      </c>
      <c r="AB139" s="21">
        <f>EXP(-LN(2)/2)*AB138+(1-EXP(-LN(2)/2))/(LN(2)/2)*V139*Y139*VLOOKUP('Données projet'!$B$9,Paramètres!$A$1:$I$89,3,0)*0.475*44/12</f>
        <v>2.3929010744113335E-15</v>
      </c>
      <c r="AC139" s="22">
        <f t="shared" si="111"/>
        <v>0.8922699272474599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243.38048563215585</v>
      </c>
      <c r="AO139" s="59">
        <f t="shared" si="144"/>
        <v>372.1604147006675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0.89567409820672705</v>
      </c>
      <c r="AV139" s="21">
        <f>EXP(-LN(2)/25)*AV138+(1-EXP(-LN(2)/25))/(LN(2)/25)*Calculateur!AQ139*Calculateur!AS139*VLOOKUP('Données projet'!$B$10,Paramètres!$A$1:$I$89,3,0)*0.475*44/12</f>
        <v>1.0246903498408986</v>
      </c>
      <c r="AW139" s="21">
        <f>EXP(-LN(2)/2)*AW138+(1-EXP(-LN(2)/2))/(LN(2)/2)*AQ139*AT139*VLOOKUP('Données projet'!$B$10,Paramètres!$A$1:$I$89,3,0)*0.475*44/12</f>
        <v>3.2546120479939503E-15</v>
      </c>
      <c r="AX139" s="21">
        <f t="shared" si="114"/>
        <v>1.920364448047629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-5.1159076974727213E-13</v>
      </c>
      <c r="BE139" s="13">
        <f>BD139*VLOOKUP('Données projet'!$B$11,Paramètres!$A$1:$I$89,3,0)*VLOOKUP('Données projet'!$B$11,Paramètres!$A$1:$I$89,5,0)</f>
        <v>-3.4317508834647017E-13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207.93042467236967</v>
      </c>
      <c r="BJ139" s="59">
        <f t="shared" si="146"/>
        <v>250.70954318710835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0.33715005117156599</v>
      </c>
      <c r="BQ139" s="21">
        <f>EXP(-LN(2)/25)*BQ138+(1-EXP(-LN(2)/25))/(LN(2)/25)*Calculateur!BL139*Calculateur!BN139*VLOOKUP('Données projet'!$B$11,Paramètres!$A$1:$I$89,3,0)*0.475*44/12</f>
        <v>0.91558790319463079</v>
      </c>
      <c r="BR139" s="21">
        <f>EXP(-LN(2)/2)*BR138+(1-EXP(-LN(2)/2))/(LN(2)/2)*BL139*BO139*VLOOKUP('Données projet'!$B$11,Paramètres!$A$1:$I$89,3,0)*0.475*44/12</f>
        <v>2.2502228247804884E-15</v>
      </c>
      <c r="BS139" s="22">
        <f t="shared" si="117"/>
        <v>1.2527379543661989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1.7053025658242404E-13</v>
      </c>
      <c r="BZ139" s="13">
        <f>BY139*VLOOKUP('Données projet'!$B$12,Paramètres!$A$1:$I$89,3,0)*VLOOKUP('Données projet'!$B$12,Paramètres!$A$1:$I$89,5,0)</f>
        <v>1.3301360013429075E-13</v>
      </c>
      <c r="CA139" s="13">
        <f t="shared" si="147"/>
        <v>1.9329766731057041E-12</v>
      </c>
      <c r="CB139" s="20">
        <f t="shared" si="118"/>
        <v>3.5982663925596575E-12</v>
      </c>
      <c r="CC139" s="59">
        <f t="shared" si="119"/>
        <v>293.3333333333369</v>
      </c>
      <c r="CD139" s="59">
        <f ca="1">AVERAGE(OFFSET($CC$3,0,0,'Données projet'!$E$12+1,1))-AVERAGE(OFFSET($H$3,0,0,'Données projet'!$E$12+1,1))</f>
        <v>266.30229009596883</v>
      </c>
      <c r="CE139" s="59">
        <f t="shared" si="148"/>
        <v>270.19195828386046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0.17720824792036494</v>
      </c>
      <c r="CL139" s="21">
        <f>EXP(-LN(2)/25)*CL138+(1-EXP(-LN(2)/25))/(LN(2)/25)*Calculateur!CG139*Calculateur!CI139*VLOOKUP('Données projet'!$B$12,Paramètres!$A$1:$I$89,3,0)*0.475*44/12</f>
        <v>0.44299187899914966</v>
      </c>
      <c r="CM139" s="21">
        <f>EXP(-LN(2)/2)*CM138+(1-EXP(-LN(2)/2))/(LN(2)/2)*CG139*CJ139*VLOOKUP('Données projet'!$B$12,Paramètres!$A$1:$I$89,3,0)*0.475*44/12</f>
        <v>1.4511924547268946E-15</v>
      </c>
      <c r="CN139" s="22">
        <f t="shared" si="120"/>
        <v>0.62020012691951598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-5.1159076974727213E-13</v>
      </c>
      <c r="CU139" s="17">
        <f>CT139*VLOOKUP('Données projet'!$B$13,Paramètres!$A$1:$I$89,3,0)*VLOOKUP('Données projet'!$B$13,Paramètres!$A$1:$I$89,5,0)</f>
        <v>-4.0702161641092972E-13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260.20517190557814</v>
      </c>
      <c r="CZ139" s="59">
        <f t="shared" si="150"/>
        <v>307.22009971147133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0.39987564208720666</v>
      </c>
      <c r="DG139" s="21">
        <f>EXP(-LN(2)/25)*DG138+(1-EXP(-LN(2)/25))/(LN(2)/25)*Calculateur!DB139*Calculateur!DD139*VLOOKUP('Données projet'!$B$13,Paramètres!$A$1:$I$89,3,0)*0.475*44/12</f>
        <v>1.0859298386726999</v>
      </c>
      <c r="DH139" s="21">
        <f>EXP(-LN(2)/2)*DH138+(1-EXP(-LN(2)/2))/(LN(2)/2)*DB139*DE139*VLOOKUP('Données projet'!$B$13,Paramètres!$A$1:$I$89,3,0)*0.475*44/12</f>
        <v>2.6688689317163934E-15</v>
      </c>
      <c r="DI139" s="22">
        <f t="shared" si="123"/>
        <v>1.4858054807599093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-3.4106051316484809E-13</v>
      </c>
      <c r="DP139" s="17">
        <f>DO139*VLOOKUP('Données projet'!$B$14,Paramètres!$A$1:$I$89,3,0)*VLOOKUP('Données projet'!$B$14,Paramètres!$A$1:$I$89,5,0)</f>
        <v>-3.2987372833304104E-13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347.8889410585312</v>
      </c>
      <c r="DU139" s="59">
        <f t="shared" si="152"/>
        <v>254.78167322479203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0.31552155732282428</v>
      </c>
      <c r="EB139" s="21">
        <f>EXP(-LN(2)/25)*EB138+(1-EXP(-LN(2)/25))/(LN(2)/25)*Calculateur!DW139*Calculateur!DY139*VLOOKUP('Données projet'!$B$14,Paramètres!$A$1:$I$89,3,0)*0.475*44/12</f>
        <v>0.63828422697618203</v>
      </c>
      <c r="EC139" s="21">
        <f>EXP(-LN(2)/2)*EC138+(1-EXP(-LN(2)/2))/(LN(2)/2)*DW139*DZ139*VLOOKUP('Données projet'!$B$14,Paramètres!$A$1:$I$89,3,0)*0.475*44/12</f>
        <v>2.5579287347155517E-15</v>
      </c>
      <c r="ED139" s="22">
        <f t="shared" si="126"/>
        <v>0.95380578429900886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-3.4106051316484809E-13</v>
      </c>
      <c r="EK139" s="17">
        <f>EJ139*VLOOKUP('Données projet'!$B$15,Paramètres!$A$1:$I$89,3,0)*VLOOKUP('Données projet'!$B$15,Paramètres!$A$1:$I$89,5,0)</f>
        <v>-3.6711753637064249E-13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399.38728019348088</v>
      </c>
      <c r="EP139" s="59">
        <f t="shared" si="154"/>
        <v>289.54922160039791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0.3511449589560463</v>
      </c>
      <c r="EW139" s="21">
        <f>EXP(-LN(2)/25)*EW138+(1-EXP(-LN(2)/25))/(LN(2)/25)*Calculateur!ER139*Calculateur!ET139*VLOOKUP('Données projet'!$B$15,Paramètres!$A$1:$I$89,3,0)*0.475*44/12</f>
        <v>0.71034857518317107</v>
      </c>
      <c r="EX139" s="21">
        <f>EXP(-LN(2)/2)*EX138+(1-EXP(-LN(2)/2))/(LN(2)/2)*ER139*EU139*VLOOKUP('Données projet'!$B$15,Paramètres!$A$1:$I$89,3,0)*0.475*44/12</f>
        <v>2.8467271402479529E-15</v>
      </c>
      <c r="EY139" s="22">
        <f t="shared" si="129"/>
        <v>1.0614935341392202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-3.0859155231155454E-13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318.40875902853116</v>
      </c>
      <c r="T140" s="59">
        <f t="shared" si="142"/>
        <v>234.87694492493506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0.28937731577268544</v>
      </c>
      <c r="AA140" s="21">
        <f>EXP(-LN(2)/25)*AA139+(1-EXP(-LN(2)/25))/(LN(2)/25)*Calculateur!V140*Calculateur!X140*VLOOKUP('Données projet'!$B$9,Paramètres!$A$1:$I$89,3,0)*0.475*44/12</f>
        <v>0.58077674275757041</v>
      </c>
      <c r="AB140" s="21">
        <f>EXP(-LN(2)/2)*AB139+(1-EXP(-LN(2)/2))/(LN(2)/2)*V140*Y140*VLOOKUP('Données projet'!$B$9,Paramètres!$A$1:$I$89,3,0)*0.475*44/12</f>
        <v>1.6920365764248293E-15</v>
      </c>
      <c r="AC140" s="22">
        <f t="shared" si="111"/>
        <v>0.87015405853025751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243.38048563215585</v>
      </c>
      <c r="AO140" s="59">
        <f t="shared" si="144"/>
        <v>372.1604147006675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0.87811047544814969</v>
      </c>
      <c r="AV140" s="21">
        <f>EXP(-LN(2)/25)*AV139+(1-EXP(-LN(2)/25))/(LN(2)/25)*Calculateur!AQ140*Calculateur!AS140*VLOOKUP('Données projet'!$B$10,Paramètres!$A$1:$I$89,3,0)*0.475*44/12</f>
        <v>0.9966701383383757</v>
      </c>
      <c r="AW140" s="21">
        <f>EXP(-LN(2)/2)*AW139+(1-EXP(-LN(2)/2))/(LN(2)/2)*AQ140*AT140*VLOOKUP('Données projet'!$B$10,Paramètres!$A$1:$I$89,3,0)*0.475*44/12</f>
        <v>2.3013582492679595E-15</v>
      </c>
      <c r="AX140" s="21">
        <f t="shared" si="114"/>
        <v>1.8747806137865277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-5.1159076974727213E-13</v>
      </c>
      <c r="BE140" s="13">
        <f>BD140*VLOOKUP('Données projet'!$B$11,Paramètres!$A$1:$I$89,3,0)*VLOOKUP('Données projet'!$B$11,Paramètres!$A$1:$I$89,5,0)</f>
        <v>-3.4317508834647017E-13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207.93042467236967</v>
      </c>
      <c r="BJ140" s="59">
        <f t="shared" si="146"/>
        <v>250.70954318710835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0.3305387443093174</v>
      </c>
      <c r="BQ140" s="21">
        <f>EXP(-LN(2)/25)*BQ139+(1-EXP(-LN(2)/25))/(LN(2)/25)*Calculateur!BL140*Calculateur!BN140*VLOOKUP('Données projet'!$B$11,Paramètres!$A$1:$I$89,3,0)*0.475*44/12</f>
        <v>0.89055110383309843</v>
      </c>
      <c r="BR140" s="21">
        <f>EXP(-LN(2)/2)*BR139+(1-EXP(-LN(2)/2))/(LN(2)/2)*BL140*BO140*VLOOKUP('Données projet'!$B$11,Paramètres!$A$1:$I$89,3,0)*0.475*44/12</f>
        <v>1.5911478185830317E-15</v>
      </c>
      <c r="BS140" s="22">
        <f t="shared" si="117"/>
        <v>1.2210898481424175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1.7053025658242404E-13</v>
      </c>
      <c r="BZ140" s="13">
        <f>BY140*VLOOKUP('Données projet'!$B$12,Paramètres!$A$1:$I$89,3,0)*VLOOKUP('Données projet'!$B$12,Paramètres!$A$1:$I$89,5,0)</f>
        <v>1.3301360013429075E-13</v>
      </c>
      <c r="CA140" s="13">
        <f t="shared" si="147"/>
        <v>1.9329766731057041E-12</v>
      </c>
      <c r="CB140" s="20">
        <f t="shared" si="118"/>
        <v>3.5982663925596575E-12</v>
      </c>
      <c r="CC140" s="59">
        <f t="shared" si="119"/>
        <v>293.3333333333369</v>
      </c>
      <c r="CD140" s="59">
        <f ca="1">AVERAGE(OFFSET($CC$3,0,0,'Données projet'!$E$12+1,1))-AVERAGE(OFFSET($H$3,0,0,'Données projet'!$E$12+1,1))</f>
        <v>266.30229009596883</v>
      </c>
      <c r="CE140" s="59">
        <f t="shared" si="148"/>
        <v>270.19195828386046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0.17373330226500516</v>
      </c>
      <c r="CL140" s="21">
        <f>EXP(-LN(2)/25)*CL139+(1-EXP(-LN(2)/25))/(LN(2)/25)*Calculateur!CG140*Calculateur!CI140*VLOOKUP('Données projet'!$B$12,Paramètres!$A$1:$I$89,3,0)*0.475*44/12</f>
        <v>0.43087824277198744</v>
      </c>
      <c r="CM140" s="21">
        <f>EXP(-LN(2)/2)*CM139+(1-EXP(-LN(2)/2))/(LN(2)/2)*CG140*CJ140*VLOOKUP('Données projet'!$B$12,Paramètres!$A$1:$I$89,3,0)*0.475*44/12</f>
        <v>1.026148025544139E-15</v>
      </c>
      <c r="CN140" s="22">
        <f t="shared" si="120"/>
        <v>0.60461154503699366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-5.1159076974727213E-13</v>
      </c>
      <c r="CU140" s="17">
        <f>CT140*VLOOKUP('Données projet'!$B$13,Paramètres!$A$1:$I$89,3,0)*VLOOKUP('Données projet'!$B$13,Paramètres!$A$1:$I$89,5,0)</f>
        <v>-4.0702161641092972E-13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260.20517190557814</v>
      </c>
      <c r="CZ140" s="59">
        <f t="shared" si="150"/>
        <v>307.22009971147133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0.39203432464593507</v>
      </c>
      <c r="DG140" s="21">
        <f>EXP(-LN(2)/25)*DG139+(1-EXP(-LN(2)/25))/(LN(2)/25)*Calculateur!DB140*Calculateur!DD140*VLOOKUP('Données projet'!$B$13,Paramètres!$A$1:$I$89,3,0)*0.475*44/12</f>
        <v>1.0562350301276267</v>
      </c>
      <c r="DH140" s="21">
        <f>EXP(-LN(2)/2)*DH139+(1-EXP(-LN(2)/2))/(LN(2)/2)*DB140*DE140*VLOOKUP('Données projet'!$B$13,Paramètres!$A$1:$I$89,3,0)*0.475*44/12</f>
        <v>1.8871753197147586E-15</v>
      </c>
      <c r="DI140" s="22">
        <f t="shared" si="123"/>
        <v>1.4482693547735634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-3.4106051316484809E-13</v>
      </c>
      <c r="DP140" s="17">
        <f>DO140*VLOOKUP('Données projet'!$B$14,Paramètres!$A$1:$I$89,3,0)*VLOOKUP('Données projet'!$B$14,Paramètres!$A$1:$I$89,5,0)</f>
        <v>-3.2987372833304104E-13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347.8889410585312</v>
      </c>
      <c r="DU140" s="59">
        <f t="shared" si="152"/>
        <v>254.78167322479203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0.3093343720328709</v>
      </c>
      <c r="EB140" s="21">
        <f>EXP(-LN(2)/25)*EB139+(1-EXP(-LN(2)/25))/(LN(2)/25)*Calculateur!DW140*Calculateur!DY140*VLOOKUP('Données projet'!$B$14,Paramètres!$A$1:$I$89,3,0)*0.475*44/12</f>
        <v>0.62083031122360965</v>
      </c>
      <c r="EC140" s="21">
        <f>EXP(-LN(2)/2)*EC139+(1-EXP(-LN(2)/2))/(LN(2)/2)*DW140*DZ140*VLOOKUP('Données projet'!$B$14,Paramètres!$A$1:$I$89,3,0)*0.475*44/12</f>
        <v>1.808728754109292E-15</v>
      </c>
      <c r="ED140" s="22">
        <f t="shared" si="126"/>
        <v>0.93016468325648227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-3.4106051316484809E-13</v>
      </c>
      <c r="EK140" s="17">
        <f>EJ140*VLOOKUP('Données projet'!$B$15,Paramètres!$A$1:$I$89,3,0)*VLOOKUP('Données projet'!$B$15,Paramètres!$A$1:$I$89,5,0)</f>
        <v>-3.6711753637064249E-13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399.38728019348088</v>
      </c>
      <c r="EP140" s="59">
        <f t="shared" si="154"/>
        <v>289.54922160039791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0.34425922048819496</v>
      </c>
      <c r="EW140" s="21">
        <f>EXP(-LN(2)/25)*EW139+(1-EXP(-LN(2)/25))/(LN(2)/25)*Calculateur!ER140*Calculateur!ET140*VLOOKUP('Données projet'!$B$15,Paramètres!$A$1:$I$89,3,0)*0.475*44/12</f>
        <v>0.69092405603917917</v>
      </c>
      <c r="EX140" s="21">
        <f>EXP(-LN(2)/2)*EX139+(1-EXP(-LN(2)/2))/(LN(2)/2)*ER140*EU140*VLOOKUP('Données projet'!$B$15,Paramètres!$A$1:$I$89,3,0)*0.475*44/12</f>
        <v>2.0129400650571154E-15</v>
      </c>
      <c r="EY140" s="22">
        <f t="shared" si="129"/>
        <v>1.0351832765273761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-3.0859155231155454E-13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318.40875902853116</v>
      </c>
      <c r="T141" s="59">
        <f t="shared" si="142"/>
        <v>234.87694492493506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0.28370280311311752</v>
      </c>
      <c r="AA141" s="21">
        <f>EXP(-LN(2)/25)*AA140+(1-EXP(-LN(2)/25))/(LN(2)/25)*Calculateur!V141*Calculateur!X141*VLOOKUP('Données projet'!$B$9,Paramètres!$A$1:$I$89,3,0)*0.475*44/12</f>
        <v>0.56489537218514307</v>
      </c>
      <c r="AB141" s="21">
        <f>EXP(-LN(2)/2)*AB140+(1-EXP(-LN(2)/2))/(LN(2)/2)*V141*Y141*VLOOKUP('Données projet'!$B$9,Paramètres!$A$1:$I$89,3,0)*0.475*44/12</f>
        <v>1.1964505372056668E-15</v>
      </c>
      <c r="AC141" s="22">
        <f t="shared" si="111"/>
        <v>0.84859817529826176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243.38048563215585</v>
      </c>
      <c r="AO141" s="59">
        <f t="shared" si="144"/>
        <v>372.1604147006675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0.86089126461911591</v>
      </c>
      <c r="AV141" s="21">
        <f>EXP(-LN(2)/25)*AV140+(1-EXP(-LN(2)/25))/(LN(2)/25)*Calculateur!AQ141*Calculateur!AS141*VLOOKUP('Données projet'!$B$10,Paramètres!$A$1:$I$89,3,0)*0.475*44/12</f>
        <v>0.96941614099290818</v>
      </c>
      <c r="AW141" s="21">
        <f>EXP(-LN(2)/2)*AW140+(1-EXP(-LN(2)/2))/(LN(2)/2)*AQ141*AT141*VLOOKUP('Données projet'!$B$10,Paramètres!$A$1:$I$89,3,0)*0.475*44/12</f>
        <v>1.6273060239969751E-15</v>
      </c>
      <c r="AX141" s="21">
        <f t="shared" si="114"/>
        <v>1.8303074056120257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-5.1159076974727213E-13</v>
      </c>
      <c r="BE141" s="13">
        <f>BD141*VLOOKUP('Données projet'!$B$11,Paramètres!$A$1:$I$89,3,0)*VLOOKUP('Données projet'!$B$11,Paramètres!$A$1:$I$89,5,0)</f>
        <v>-3.4317508834647017E-13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207.93042467236967</v>
      </c>
      <c r="BJ141" s="59">
        <f t="shared" si="146"/>
        <v>250.70954318710835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0.32405708114213849</v>
      </c>
      <c r="BQ141" s="21">
        <f>EXP(-LN(2)/25)*BQ140+(1-EXP(-LN(2)/25))/(LN(2)/25)*Calculateur!BL141*Calculateur!BN141*VLOOKUP('Données projet'!$B$11,Paramètres!$A$1:$I$89,3,0)*0.475*44/12</f>
        <v>0.86619893706673523</v>
      </c>
      <c r="BR141" s="21">
        <f>EXP(-LN(2)/2)*BR140+(1-EXP(-LN(2)/2))/(LN(2)/2)*BL141*BO141*VLOOKUP('Données projet'!$B$11,Paramètres!$A$1:$I$89,3,0)*0.475*44/12</f>
        <v>1.1251114123902442E-15</v>
      </c>
      <c r="BS141" s="22">
        <f t="shared" si="117"/>
        <v>1.1902560182088748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1.7053025658242404E-13</v>
      </c>
      <c r="BZ141" s="13">
        <f>BY141*VLOOKUP('Données projet'!$B$12,Paramètres!$A$1:$I$89,3,0)*VLOOKUP('Données projet'!$B$12,Paramètres!$A$1:$I$89,5,0)</f>
        <v>1.3301360013429075E-13</v>
      </c>
      <c r="CA141" s="13">
        <f t="shared" si="147"/>
        <v>1.9329766731057041E-12</v>
      </c>
      <c r="CB141" s="20">
        <f t="shared" si="118"/>
        <v>3.5982663925596575E-12</v>
      </c>
      <c r="CC141" s="59">
        <f t="shared" si="119"/>
        <v>293.3333333333369</v>
      </c>
      <c r="CD141" s="59">
        <f ca="1">AVERAGE(OFFSET($CC$3,0,0,'Données projet'!$E$12+1,1))-AVERAGE(OFFSET($H$3,0,0,'Données projet'!$E$12+1,1))</f>
        <v>266.30229009596883</v>
      </c>
      <c r="CE141" s="59">
        <f t="shared" si="148"/>
        <v>270.19195828386046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0.17032649817443943</v>
      </c>
      <c r="CL141" s="21">
        <f>EXP(-LN(2)/25)*CL140+(1-EXP(-LN(2)/25))/(LN(2)/25)*Calculateur!CG141*Calculateur!CI141*VLOOKUP('Données projet'!$B$12,Paramètres!$A$1:$I$89,3,0)*0.475*44/12</f>
        <v>0.41909585456448545</v>
      </c>
      <c r="CM141" s="21">
        <f>EXP(-LN(2)/2)*CM140+(1-EXP(-LN(2)/2))/(LN(2)/2)*CG141*CJ141*VLOOKUP('Données projet'!$B$12,Paramètres!$A$1:$I$89,3,0)*0.475*44/12</f>
        <v>7.2559622736344728E-16</v>
      </c>
      <c r="CN141" s="22">
        <f t="shared" si="120"/>
        <v>0.58942235273892563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-5.1159076974727213E-13</v>
      </c>
      <c r="CU141" s="17">
        <f>CT141*VLOOKUP('Données projet'!$B$13,Paramètres!$A$1:$I$89,3,0)*VLOOKUP('Données projet'!$B$13,Paramètres!$A$1:$I$89,5,0)</f>
        <v>-4.0702161641092972E-13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260.20517190557814</v>
      </c>
      <c r="CZ141" s="59">
        <f t="shared" si="150"/>
        <v>307.22009971147133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0.38434677065695544</v>
      </c>
      <c r="DG141" s="21">
        <f>EXP(-LN(2)/25)*DG140+(1-EXP(-LN(2)/25))/(LN(2)/25)*Calculateur!DB141*Calculateur!DD141*VLOOKUP('Données projet'!$B$13,Paramètres!$A$1:$I$89,3,0)*0.475*44/12</f>
        <v>1.0273522276838005</v>
      </c>
      <c r="DH141" s="21">
        <f>EXP(-LN(2)/2)*DH140+(1-EXP(-LN(2)/2))/(LN(2)/2)*DB141*DE141*VLOOKUP('Données projet'!$B$13,Paramètres!$A$1:$I$89,3,0)*0.475*44/12</f>
        <v>1.3344344658581967E-15</v>
      </c>
      <c r="DI141" s="22">
        <f t="shared" si="123"/>
        <v>1.4116989983407573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-3.4106051316484809E-13</v>
      </c>
      <c r="DP141" s="17">
        <f>DO141*VLOOKUP('Données projet'!$B$14,Paramètres!$A$1:$I$89,3,0)*VLOOKUP('Données projet'!$B$14,Paramètres!$A$1:$I$89,5,0)</f>
        <v>-3.2987372833304104E-13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347.8889410585312</v>
      </c>
      <c r="DU141" s="59">
        <f t="shared" si="152"/>
        <v>254.78167322479203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0.30326851367264307</v>
      </c>
      <c r="EB141" s="21">
        <f>EXP(-LN(2)/25)*EB140+(1-EXP(-LN(2)/25))/(LN(2)/25)*Calculateur!DW141*Calculateur!DY141*VLOOKUP('Données projet'!$B$14,Paramètres!$A$1:$I$89,3,0)*0.475*44/12</f>
        <v>0.60385367371515286</v>
      </c>
      <c r="EC141" s="21">
        <f>EXP(-LN(2)/2)*EC140+(1-EXP(-LN(2)/2))/(LN(2)/2)*DW141*DZ141*VLOOKUP('Données projet'!$B$14,Paramètres!$A$1:$I$89,3,0)*0.475*44/12</f>
        <v>1.2789643673577759E-15</v>
      </c>
      <c r="ED141" s="22">
        <f t="shared" si="126"/>
        <v>0.90712218738779726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-3.4106051316484809E-13</v>
      </c>
      <c r="EK141" s="17">
        <f>EJ141*VLOOKUP('Données projet'!$B$15,Paramètres!$A$1:$I$89,3,0)*VLOOKUP('Données projet'!$B$15,Paramètres!$A$1:$I$89,5,0)</f>
        <v>-3.6711753637064249E-13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399.38728019348088</v>
      </c>
      <c r="EP141" s="59">
        <f t="shared" si="154"/>
        <v>289.54922160039791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0.33750850715181241</v>
      </c>
      <c r="EW141" s="21">
        <f>EXP(-LN(2)/25)*EW140+(1-EXP(-LN(2)/25))/(LN(2)/25)*Calculateur!ER141*Calculateur!ET141*VLOOKUP('Données projet'!$B$15,Paramètres!$A$1:$I$89,3,0)*0.475*44/12</f>
        <v>0.67203070139267085</v>
      </c>
      <c r="EX141" s="21">
        <f>EXP(-LN(2)/2)*EX140+(1-EXP(-LN(2)/2))/(LN(2)/2)*ER141*EU141*VLOOKUP('Données projet'!$B$15,Paramètres!$A$1:$I$89,3,0)*0.475*44/12</f>
        <v>1.4233635701239765E-15</v>
      </c>
      <c r="EY141" s="22">
        <f t="shared" si="129"/>
        <v>1.0095392085444845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-3.0859155231155454E-13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318.40875902853116</v>
      </c>
      <c r="T142" s="59">
        <f t="shared" si="142"/>
        <v>234.87694492493506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0.27813956418569274</v>
      </c>
      <c r="AA142" s="21">
        <f>EXP(-LN(2)/25)*AA141+(1-EXP(-LN(2)/25))/(LN(2)/25)*Calculateur!V142*Calculateur!X142*VLOOKUP('Données projet'!$B$9,Paramètres!$A$1:$I$89,3,0)*0.475*44/12</f>
        <v>0.54944827852618383</v>
      </c>
      <c r="AB142" s="21">
        <f>EXP(-LN(2)/2)*AB141+(1-EXP(-LN(2)/2))/(LN(2)/2)*V142*Y142*VLOOKUP('Données projet'!$B$9,Paramètres!$A$1:$I$89,3,0)*0.475*44/12</f>
        <v>8.4601828821241466E-16</v>
      </c>
      <c r="AC142" s="22">
        <f t="shared" si="111"/>
        <v>0.82758784271187746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243.38048563215585</v>
      </c>
      <c r="AO142" s="59">
        <f t="shared" si="144"/>
        <v>372.1604147006675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0.84400971201175801</v>
      </c>
      <c r="AV142" s="21">
        <f>EXP(-LN(2)/25)*AV141+(1-EXP(-LN(2)/25))/(LN(2)/25)*Calculateur!AQ142*Calculateur!AS142*VLOOKUP('Données projet'!$B$10,Paramètres!$A$1:$I$89,3,0)*0.475*44/12</f>
        <v>0.94290740563807784</v>
      </c>
      <c r="AW142" s="21">
        <f>EXP(-LN(2)/2)*AW141+(1-EXP(-LN(2)/2))/(LN(2)/2)*AQ142*AT142*VLOOKUP('Données projet'!$B$10,Paramètres!$A$1:$I$89,3,0)*0.475*44/12</f>
        <v>1.1506791246339797E-15</v>
      </c>
      <c r="AX142" s="21">
        <f t="shared" si="114"/>
        <v>1.7869171176498371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-5.1159076974727213E-13</v>
      </c>
      <c r="BE142" s="13">
        <f>BD142*VLOOKUP('Données projet'!$B$11,Paramètres!$A$1:$I$89,3,0)*VLOOKUP('Données projet'!$B$11,Paramètres!$A$1:$I$89,5,0)</f>
        <v>-3.4317508834647017E-13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207.93042467236967</v>
      </c>
      <c r="BJ142" s="59">
        <f t="shared" si="146"/>
        <v>250.70954318710835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0.31770251943624384</v>
      </c>
      <c r="BQ142" s="21">
        <f>EXP(-LN(2)/25)*BQ141+(1-EXP(-LN(2)/25))/(LN(2)/25)*Calculateur!BL142*Calculateur!BN142*VLOOKUP('Données projet'!$B$11,Paramètres!$A$1:$I$89,3,0)*0.475*44/12</f>
        <v>0.84251268158122294</v>
      </c>
      <c r="BR142" s="21">
        <f>EXP(-LN(2)/2)*BR141+(1-EXP(-LN(2)/2))/(LN(2)/2)*BL142*BO142*VLOOKUP('Données projet'!$B$11,Paramètres!$A$1:$I$89,3,0)*0.475*44/12</f>
        <v>7.9557390929151585E-16</v>
      </c>
      <c r="BS142" s="22">
        <f t="shared" si="117"/>
        <v>1.1602152010174676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1.7053025658242404E-13</v>
      </c>
      <c r="BZ142" s="13">
        <f>BY142*VLOOKUP('Données projet'!$B$12,Paramètres!$A$1:$I$89,3,0)*VLOOKUP('Données projet'!$B$12,Paramètres!$A$1:$I$89,5,0)</f>
        <v>1.3301360013429075E-13</v>
      </c>
      <c r="CA142" s="13">
        <f t="shared" si="147"/>
        <v>1.9329766731057041E-12</v>
      </c>
      <c r="CB142" s="20">
        <f t="shared" si="118"/>
        <v>3.5982663925596575E-12</v>
      </c>
      <c r="CC142" s="59">
        <f t="shared" si="119"/>
        <v>293.3333333333369</v>
      </c>
      <c r="CD142" s="59">
        <f ca="1">AVERAGE(OFFSET($CC$3,0,0,'Données projet'!$E$12+1,1))-AVERAGE(OFFSET($H$3,0,0,'Données projet'!$E$12+1,1))</f>
        <v>266.30229009596883</v>
      </c>
      <c r="CE142" s="59">
        <f t="shared" si="148"/>
        <v>270.19195828386046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0.16698649943414437</v>
      </c>
      <c r="CL142" s="21">
        <f>EXP(-LN(2)/25)*CL141+(1-EXP(-LN(2)/25))/(LN(2)/25)*Calculateur!CG142*Calculateur!CI142*VLOOKUP('Données projet'!$B$12,Paramètres!$A$1:$I$89,3,0)*0.475*44/12</f>
        <v>0.40763565638212645</v>
      </c>
      <c r="CM142" s="21">
        <f>EXP(-LN(2)/2)*CM141+(1-EXP(-LN(2)/2))/(LN(2)/2)*CG142*CJ142*VLOOKUP('Données projet'!$B$12,Paramètres!$A$1:$I$89,3,0)*0.475*44/12</f>
        <v>5.1307401277206949E-16</v>
      </c>
      <c r="CN142" s="22">
        <f t="shared" si="120"/>
        <v>0.57462215581627141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-5.1159076974727213E-13</v>
      </c>
      <c r="CU142" s="17">
        <f>CT142*VLOOKUP('Données projet'!$B$13,Paramètres!$A$1:$I$89,3,0)*VLOOKUP('Données projet'!$B$13,Paramètres!$A$1:$I$89,5,0)</f>
        <v>-4.0702161641092972E-13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260.20517190557814</v>
      </c>
      <c r="CZ142" s="59">
        <f t="shared" si="150"/>
        <v>307.22009971147133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0.37680996491275476</v>
      </c>
      <c r="DG142" s="21">
        <f>EXP(-LN(2)/25)*DG141+(1-EXP(-LN(2)/25))/(LN(2)/25)*Calculateur!DB142*Calculateur!DD142*VLOOKUP('Données projet'!$B$13,Paramètres!$A$1:$I$89,3,0)*0.475*44/12</f>
        <v>0.99925922699168135</v>
      </c>
      <c r="DH142" s="21">
        <f>EXP(-LN(2)/2)*DH141+(1-EXP(-LN(2)/2))/(LN(2)/2)*DB142*DE142*VLOOKUP('Données projet'!$B$13,Paramètres!$A$1:$I$89,3,0)*0.475*44/12</f>
        <v>9.4358765985737932E-16</v>
      </c>
      <c r="DI142" s="22">
        <f t="shared" si="123"/>
        <v>1.376069191904437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-3.4106051316484809E-13</v>
      </c>
      <c r="DP142" s="17">
        <f>DO142*VLOOKUP('Données projet'!$B$14,Paramètres!$A$1:$I$89,3,0)*VLOOKUP('Données projet'!$B$14,Paramètres!$A$1:$I$89,5,0)</f>
        <v>-3.2987372833304104E-13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347.8889410585312</v>
      </c>
      <c r="DU142" s="59">
        <f t="shared" si="152"/>
        <v>254.78167322479203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0.29732160309505107</v>
      </c>
      <c r="EB142" s="21">
        <f>EXP(-LN(2)/25)*EB141+(1-EXP(-LN(2)/25))/(LN(2)/25)*Calculateur!DW142*Calculateur!DY142*VLOOKUP('Données projet'!$B$14,Paramètres!$A$1:$I$89,3,0)*0.475*44/12</f>
        <v>0.58734126325212743</v>
      </c>
      <c r="EC142" s="21">
        <f>EXP(-LN(2)/2)*EC141+(1-EXP(-LN(2)/2))/(LN(2)/2)*DW142*DZ142*VLOOKUP('Données projet'!$B$14,Paramètres!$A$1:$I$89,3,0)*0.475*44/12</f>
        <v>9.0436437705464598E-16</v>
      </c>
      <c r="ED142" s="22">
        <f t="shared" si="126"/>
        <v>0.88466286634717939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-3.4106051316484809E-13</v>
      </c>
      <c r="EK142" s="17">
        <f>EJ142*VLOOKUP('Données projet'!$B$15,Paramètres!$A$1:$I$89,3,0)*VLOOKUP('Données projet'!$B$15,Paramètres!$A$1:$I$89,5,0)</f>
        <v>-3.6711753637064249E-13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399.38728019348088</v>
      </c>
      <c r="EP142" s="59">
        <f t="shared" si="154"/>
        <v>289.54922160039791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0.33089017118642777</v>
      </c>
      <c r="EW142" s="21">
        <f>EXP(-LN(2)/25)*EW141+(1-EXP(-LN(2)/25))/(LN(2)/25)*Calculateur!ER142*Calculateur!ET142*VLOOKUP('Données projet'!$B$15,Paramètres!$A$1:$I$89,3,0)*0.475*44/12</f>
        <v>0.6536539865225296</v>
      </c>
      <c r="EX142" s="21">
        <f>EXP(-LN(2)/2)*EX141+(1-EXP(-LN(2)/2))/(LN(2)/2)*ER142*EU142*VLOOKUP('Données projet'!$B$15,Paramètres!$A$1:$I$89,3,0)*0.475*44/12</f>
        <v>1.0064700325285577E-15</v>
      </c>
      <c r="EY142" s="22">
        <f t="shared" si="129"/>
        <v>0.98454415770895831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-3.0859155231155454E-13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318.40875902853116</v>
      </c>
      <c r="T143" s="59">
        <f t="shared" si="142"/>
        <v>234.87694492493506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0.27268541698039406</v>
      </c>
      <c r="AA143" s="21">
        <f>EXP(-LN(2)/25)*AA142+(1-EXP(-LN(2)/25))/(LN(2)/25)*Calculateur!V143*Calculateur!X143*VLOOKUP('Données projet'!$B$9,Paramètres!$A$1:$I$89,3,0)*0.475*44/12</f>
        <v>0.53442358645565613</v>
      </c>
      <c r="AB143" s="21">
        <f>EXP(-LN(2)/2)*AB142+(1-EXP(-LN(2)/2))/(LN(2)/2)*V143*Y143*VLOOKUP('Données projet'!$B$9,Paramètres!$A$1:$I$89,3,0)*0.475*44/12</f>
        <v>5.9822526860283339E-16</v>
      </c>
      <c r="AC143" s="22">
        <f t="shared" si="111"/>
        <v>0.80710900343605074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243.38048563215585</v>
      </c>
      <c r="AO143" s="59">
        <f t="shared" si="144"/>
        <v>372.1604147006675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0.82745919635429999</v>
      </c>
      <c r="AV143" s="21">
        <f>EXP(-LN(2)/25)*AV142+(1-EXP(-LN(2)/25))/(LN(2)/25)*Calculateur!AQ143*Calculateur!AS143*VLOOKUP('Données projet'!$B$10,Paramètres!$A$1:$I$89,3,0)*0.475*44/12</f>
        <v>0.91712355304555915</v>
      </c>
      <c r="AW143" s="21">
        <f>EXP(-LN(2)/2)*AW142+(1-EXP(-LN(2)/2))/(LN(2)/2)*AQ143*AT143*VLOOKUP('Données projet'!$B$10,Paramètres!$A$1:$I$89,3,0)*0.475*44/12</f>
        <v>8.1365301199848756E-16</v>
      </c>
      <c r="AX143" s="21">
        <f t="shared" si="114"/>
        <v>1.74458274939986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-5.1159076974727213E-13</v>
      </c>
      <c r="BE143" s="13">
        <f>BD143*VLOOKUP('Données projet'!$B$11,Paramètres!$A$1:$I$89,3,0)*VLOOKUP('Données projet'!$B$11,Paramètres!$A$1:$I$89,5,0)</f>
        <v>-3.4317508834647017E-13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207.93042467236967</v>
      </c>
      <c r="BJ143" s="59">
        <f t="shared" si="146"/>
        <v>250.70954318710835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0.31147256680950181</v>
      </c>
      <c r="BQ143" s="21">
        <f>EXP(-LN(2)/25)*BQ142+(1-EXP(-LN(2)/25))/(LN(2)/25)*Calculateur!BL143*Calculateur!BN143*VLOOKUP('Données projet'!$B$11,Paramètres!$A$1:$I$89,3,0)*0.475*44/12</f>
        <v>0.81947412799756802</v>
      </c>
      <c r="BR143" s="21">
        <f>EXP(-LN(2)/2)*BR142+(1-EXP(-LN(2)/2))/(LN(2)/2)*BL143*BO143*VLOOKUP('Données projet'!$B$11,Paramètres!$A$1:$I$89,3,0)*0.475*44/12</f>
        <v>5.625557061951221E-16</v>
      </c>
      <c r="BS143" s="22">
        <f t="shared" si="117"/>
        <v>1.1309466948070706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1.7053025658242404E-13</v>
      </c>
      <c r="BZ143" s="13">
        <f>BY143*VLOOKUP('Données projet'!$B$12,Paramètres!$A$1:$I$89,3,0)*VLOOKUP('Données projet'!$B$12,Paramètres!$A$1:$I$89,5,0)</f>
        <v>1.3301360013429075E-13</v>
      </c>
      <c r="CA143" s="13">
        <f t="shared" si="147"/>
        <v>1.9329766731057041E-12</v>
      </c>
      <c r="CB143" s="20">
        <f t="shared" si="118"/>
        <v>3.5982663925596575E-12</v>
      </c>
      <c r="CC143" s="59">
        <f t="shared" si="119"/>
        <v>293.3333333333369</v>
      </c>
      <c r="CD143" s="59">
        <f ca="1">AVERAGE(OFFSET($CC$3,0,0,'Données projet'!$E$12+1,1))-AVERAGE(OFFSET($H$3,0,0,'Données projet'!$E$12+1,1))</f>
        <v>266.30229009596883</v>
      </c>
      <c r="CE143" s="59">
        <f t="shared" si="148"/>
        <v>270.19195828386046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0.16371199603194844</v>
      </c>
      <c r="CL143" s="21">
        <f>EXP(-LN(2)/25)*CL142+(1-EXP(-LN(2)/25))/(LN(2)/25)*Calculateur!CG143*Calculateur!CI143*VLOOKUP('Données projet'!$B$12,Paramètres!$A$1:$I$89,3,0)*0.475*44/12</f>
        <v>0.39648883792172968</v>
      </c>
      <c r="CM143" s="21">
        <f>EXP(-LN(2)/2)*CM142+(1-EXP(-LN(2)/2))/(LN(2)/2)*CG143*CJ143*VLOOKUP('Données projet'!$B$12,Paramètres!$A$1:$I$89,3,0)*0.475*44/12</f>
        <v>3.6279811368172364E-16</v>
      </c>
      <c r="CN143" s="22">
        <f t="shared" si="120"/>
        <v>0.56020083395367848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-5.1159076974727213E-13</v>
      </c>
      <c r="CU143" s="17">
        <f>CT143*VLOOKUP('Données projet'!$B$13,Paramètres!$A$1:$I$89,3,0)*VLOOKUP('Données projet'!$B$13,Paramètres!$A$1:$I$89,5,0)</f>
        <v>-4.0702161641092972E-13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260.20517190557814</v>
      </c>
      <c r="CZ143" s="59">
        <f t="shared" si="150"/>
        <v>307.22009971147133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0.36942095133220026</v>
      </c>
      <c r="DG143" s="21">
        <f>EXP(-LN(2)/25)*DG142+(1-EXP(-LN(2)/25))/(LN(2)/25)*Calculateur!DB143*Calculateur!DD143*VLOOKUP('Données projet'!$B$13,Paramètres!$A$1:$I$89,3,0)*0.475*44/12</f>
        <v>0.97193443088083487</v>
      </c>
      <c r="DH143" s="21">
        <f>EXP(-LN(2)/2)*DH142+(1-EXP(-LN(2)/2))/(LN(2)/2)*DB143*DE143*VLOOKUP('Données projet'!$B$13,Paramètres!$A$1:$I$89,3,0)*0.475*44/12</f>
        <v>6.6721723292909835E-16</v>
      </c>
      <c r="DI143" s="22">
        <f t="shared" si="123"/>
        <v>1.3413553822130357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-3.4106051316484809E-13</v>
      </c>
      <c r="DP143" s="17">
        <f>DO143*VLOOKUP('Données projet'!$B$14,Paramètres!$A$1:$I$89,3,0)*VLOOKUP('Données projet'!$B$14,Paramètres!$A$1:$I$89,5,0)</f>
        <v>-3.2987372833304104E-13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347.8889410585312</v>
      </c>
      <c r="DU143" s="59">
        <f t="shared" si="152"/>
        <v>254.78167322479203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0.29149130780662835</v>
      </c>
      <c r="EB143" s="21">
        <f>EXP(-LN(2)/25)*EB142+(1-EXP(-LN(2)/25))/(LN(2)/25)*Calculateur!DW143*Calculateur!DY143*VLOOKUP('Données projet'!$B$14,Paramètres!$A$1:$I$89,3,0)*0.475*44/12</f>
        <v>0.57128038552156335</v>
      </c>
      <c r="EC143" s="21">
        <f>EXP(-LN(2)/2)*EC142+(1-EXP(-LN(2)/2))/(LN(2)/2)*DW143*DZ143*VLOOKUP('Données projet'!$B$14,Paramètres!$A$1:$I$89,3,0)*0.475*44/12</f>
        <v>6.3948218367888793E-16</v>
      </c>
      <c r="ED143" s="22">
        <f t="shared" si="126"/>
        <v>0.86277169332819237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-3.4106051316484809E-13</v>
      </c>
      <c r="EK143" s="17">
        <f>EJ143*VLOOKUP('Données projet'!$B$15,Paramètres!$A$1:$I$89,3,0)*VLOOKUP('Données projet'!$B$15,Paramètres!$A$1:$I$89,5,0)</f>
        <v>-3.6711753637064249E-13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399.38728019348088</v>
      </c>
      <c r="EP143" s="59">
        <f t="shared" si="154"/>
        <v>289.54922160039791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0.32440161675253798</v>
      </c>
      <c r="EW143" s="21">
        <f>EXP(-LN(2)/25)*EW142+(1-EXP(-LN(2)/25))/(LN(2)/25)*Calculateur!ER143*Calculateur!ET143*VLOOKUP('Données projet'!$B$15,Paramètres!$A$1:$I$89,3,0)*0.475*44/12</f>
        <v>0.63577978388690182</v>
      </c>
      <c r="EX143" s="21">
        <f>EXP(-LN(2)/2)*EX142+(1-EXP(-LN(2)/2))/(LN(2)/2)*ER143*EU143*VLOOKUP('Données projet'!$B$15,Paramètres!$A$1:$I$89,3,0)*0.475*44/12</f>
        <v>7.1168178506198823E-16</v>
      </c>
      <c r="EY143" s="22">
        <f t="shared" si="129"/>
        <v>0.96018140063944046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-3.0859155231155454E-13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318.40875902853116</v>
      </c>
      <c r="T144" s="59">
        <f t="shared" si="142"/>
        <v>234.87694492493506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0.26733822227508997</v>
      </c>
      <c r="AA144" s="21">
        <f>EXP(-LN(2)/25)*AA143+(1-EXP(-LN(2)/25))/(LN(2)/25)*Calculateur!V144*Calculateur!X144*VLOOKUP('Données projet'!$B$9,Paramètres!$A$1:$I$89,3,0)*0.475*44/12</f>
        <v>0.5198097453799112</v>
      </c>
      <c r="AB144" s="21">
        <f>EXP(-LN(2)/2)*AB143+(1-EXP(-LN(2)/2))/(LN(2)/2)*V144*Y144*VLOOKUP('Données projet'!$B$9,Paramètres!$A$1:$I$89,3,0)*0.475*44/12</f>
        <v>4.2300914410620733E-16</v>
      </c>
      <c r="AC144" s="22">
        <f t="shared" si="111"/>
        <v>0.78714796765500161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243.38048563215585</v>
      </c>
      <c r="AO144" s="59">
        <f t="shared" si="144"/>
        <v>372.1604147006675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0.8112332262140669</v>
      </c>
      <c r="AV144" s="21">
        <f>EXP(-LN(2)/25)*AV143+(1-EXP(-LN(2)/25))/(LN(2)/25)*Calculateur!AQ144*Calculateur!AS144*VLOOKUP('Données projet'!$B$10,Paramètres!$A$1:$I$89,3,0)*0.475*44/12</f>
        <v>0.89204476125809684</v>
      </c>
      <c r="AW144" s="21">
        <f>EXP(-LN(2)/2)*AW143+(1-EXP(-LN(2)/2))/(LN(2)/2)*AQ144*AT144*VLOOKUP('Données projet'!$B$10,Paramètres!$A$1:$I$89,3,0)*0.475*44/12</f>
        <v>5.7533956231698987E-16</v>
      </c>
      <c r="AX144" s="21">
        <f t="shared" si="114"/>
        <v>1.7032779874721644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-5.1159076974727213E-13</v>
      </c>
      <c r="BE144" s="13">
        <f>BD144*VLOOKUP('Données projet'!$B$11,Paramètres!$A$1:$I$89,3,0)*VLOOKUP('Données projet'!$B$11,Paramètres!$A$1:$I$89,5,0)</f>
        <v>-3.4317508834647017E-13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207.93042467236967</v>
      </c>
      <c r="BJ144" s="59">
        <f t="shared" si="146"/>
        <v>250.70954318710835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0.30536477975387433</v>
      </c>
      <c r="BQ144" s="21">
        <f>EXP(-LN(2)/25)*BQ143+(1-EXP(-LN(2)/25))/(LN(2)/25)*Calculateur!BL144*Calculateur!BN144*VLOOKUP('Données projet'!$B$11,Paramètres!$A$1:$I$89,3,0)*0.475*44/12</f>
        <v>0.79706556487320301</v>
      </c>
      <c r="BR144" s="21">
        <f>EXP(-LN(2)/2)*BR143+(1-EXP(-LN(2)/2))/(LN(2)/2)*BL144*BO144*VLOOKUP('Données projet'!$B$11,Paramètres!$A$1:$I$89,3,0)*0.475*44/12</f>
        <v>3.9778695464575793E-16</v>
      </c>
      <c r="BS144" s="22">
        <f t="shared" si="117"/>
        <v>1.1024303446270778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1.7053025658242404E-13</v>
      </c>
      <c r="BZ144" s="13">
        <f>BY144*VLOOKUP('Données projet'!$B$12,Paramètres!$A$1:$I$89,3,0)*VLOOKUP('Données projet'!$B$12,Paramètres!$A$1:$I$89,5,0)</f>
        <v>1.3301360013429075E-13</v>
      </c>
      <c r="CA144" s="13">
        <f t="shared" si="147"/>
        <v>1.9329766731057041E-12</v>
      </c>
      <c r="CB144" s="20">
        <f t="shared" si="118"/>
        <v>3.5982663925596575E-12</v>
      </c>
      <c r="CC144" s="59">
        <f t="shared" si="119"/>
        <v>293.3333333333369</v>
      </c>
      <c r="CD144" s="59">
        <f ca="1">AVERAGE(OFFSET($CC$3,0,0,'Données projet'!$E$12+1,1))-AVERAGE(OFFSET($H$3,0,0,'Données projet'!$E$12+1,1))</f>
        <v>266.30229009596883</v>
      </c>
      <c r="CE144" s="59">
        <f t="shared" si="148"/>
        <v>270.19195828386046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0.1605017036442197</v>
      </c>
      <c r="CL144" s="21">
        <f>EXP(-LN(2)/25)*CL143+(1-EXP(-LN(2)/25))/(LN(2)/25)*Calculateur!CG144*Calculateur!CI144*VLOOKUP('Données projet'!$B$12,Paramètres!$A$1:$I$89,3,0)*0.475*44/12</f>
        <v>0.38564682979831816</v>
      </c>
      <c r="CM144" s="21">
        <f>EXP(-LN(2)/2)*CM143+(1-EXP(-LN(2)/2))/(LN(2)/2)*CG144*CJ144*VLOOKUP('Données projet'!$B$12,Paramètres!$A$1:$I$89,3,0)*0.475*44/12</f>
        <v>2.5653700638603474E-16</v>
      </c>
      <c r="CN144" s="22">
        <f t="shared" si="120"/>
        <v>0.54614853344253811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-5.1159076974727213E-13</v>
      </c>
      <c r="CU144" s="17">
        <f>CT144*VLOOKUP('Données projet'!$B$13,Paramètres!$A$1:$I$89,3,0)*VLOOKUP('Données projet'!$B$13,Paramètres!$A$1:$I$89,5,0)</f>
        <v>-4.0702161641092972E-13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260.20517190557814</v>
      </c>
      <c r="CZ144" s="59">
        <f t="shared" si="150"/>
        <v>307.22009971147133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0.36217683180110716</v>
      </c>
      <c r="DG144" s="21">
        <f>EXP(-LN(2)/25)*DG143+(1-EXP(-LN(2)/25))/(LN(2)/25)*Calculateur!DB144*Calculateur!DD144*VLOOKUP('Données projet'!$B$13,Paramètres!$A$1:$I$89,3,0)*0.475*44/12</f>
        <v>0.94535683275658811</v>
      </c>
      <c r="DH144" s="21">
        <f>EXP(-LN(2)/2)*DH143+(1-EXP(-LN(2)/2))/(LN(2)/2)*DB144*DE144*VLOOKUP('Données projet'!$B$13,Paramètres!$A$1:$I$89,3,0)*0.475*44/12</f>
        <v>4.7179382992868966E-16</v>
      </c>
      <c r="DI144" s="22">
        <f t="shared" si="123"/>
        <v>1.3075336645576958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-3.4106051316484809E-13</v>
      </c>
      <c r="DP144" s="17">
        <f>DO144*VLOOKUP('Données projet'!$B$14,Paramètres!$A$1:$I$89,3,0)*VLOOKUP('Données projet'!$B$14,Paramètres!$A$1:$I$89,5,0)</f>
        <v>-3.2987372833304104E-13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347.8889410585312</v>
      </c>
      <c r="DU144" s="59">
        <f t="shared" si="152"/>
        <v>254.78167322479203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0.2857753410526826</v>
      </c>
      <c r="EB144" s="21">
        <f>EXP(-LN(2)/25)*EB143+(1-EXP(-LN(2)/25))/(LN(2)/25)*Calculateur!DW144*Calculateur!DY144*VLOOKUP('Données projet'!$B$14,Paramètres!$A$1:$I$89,3,0)*0.475*44/12</f>
        <v>0.55565869333714646</v>
      </c>
      <c r="EC144" s="21">
        <f>EXP(-LN(2)/2)*EC143+(1-EXP(-LN(2)/2))/(LN(2)/2)*DW144*DZ144*VLOOKUP('Données projet'!$B$14,Paramètres!$A$1:$I$89,3,0)*0.475*44/12</f>
        <v>4.5218218852732299E-16</v>
      </c>
      <c r="ED144" s="22">
        <f t="shared" si="126"/>
        <v>0.84143403438982944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-3.4106051316484809E-13</v>
      </c>
      <c r="EK144" s="17">
        <f>EJ144*VLOOKUP('Données projet'!$B$15,Paramètres!$A$1:$I$89,3,0)*VLOOKUP('Données projet'!$B$15,Paramètres!$A$1:$I$89,5,0)</f>
        <v>-3.6711753637064249E-13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399.38728019348088</v>
      </c>
      <c r="EP144" s="59">
        <f t="shared" si="154"/>
        <v>289.54922160039791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0.31804029891346935</v>
      </c>
      <c r="EW144" s="21">
        <f>EXP(-LN(2)/25)*EW143+(1-EXP(-LN(2)/25))/(LN(2)/25)*Calculateur!ER144*Calculateur!ET144*VLOOKUP('Données projet'!$B$15,Paramètres!$A$1:$I$89,3,0)*0.475*44/12</f>
        <v>0.61839435226230877</v>
      </c>
      <c r="EX144" s="21">
        <f>EXP(-LN(2)/2)*EX143+(1-EXP(-LN(2)/2))/(LN(2)/2)*ER144*EU144*VLOOKUP('Données projet'!$B$15,Paramètres!$A$1:$I$89,3,0)*0.475*44/12</f>
        <v>5.0323501626427885E-16</v>
      </c>
      <c r="EY144" s="22">
        <f t="shared" si="129"/>
        <v>0.93643465117577873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-3.0859155231155454E-13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318.40875902853116</v>
      </c>
      <c r="T145" s="59">
        <f t="shared" si="142"/>
        <v>234.87694492493506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0.26209588279649015</v>
      </c>
      <c r="AA145" s="21">
        <f>EXP(-LN(2)/25)*AA144+(1-EXP(-LN(2)/25))/(LN(2)/25)*Calculateur!V145*Calculateur!X145*VLOOKUP('Données projet'!$B$9,Paramètres!$A$1:$I$89,3,0)*0.475*44/12</f>
        <v>0.50559552055689105</v>
      </c>
      <c r="AB145" s="21">
        <f>EXP(-LN(2)/2)*AB144+(1-EXP(-LN(2)/2))/(LN(2)/2)*V145*Y145*VLOOKUP('Données projet'!$B$9,Paramètres!$A$1:$I$89,3,0)*0.475*44/12</f>
        <v>2.9911263430141669E-16</v>
      </c>
      <c r="AC145" s="22">
        <f t="shared" si="111"/>
        <v>0.7676914033533816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243.38048563215585</v>
      </c>
      <c r="AO145" s="59">
        <f t="shared" si="144"/>
        <v>372.1604147006675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0.79532543745141926</v>
      </c>
      <c r="AV145" s="21">
        <f>EXP(-LN(2)/25)*AV144+(1-EXP(-LN(2)/25))/(LN(2)/25)*Calculateur!AQ145*Calculateur!AS145*VLOOKUP('Données projet'!$B$10,Paramètres!$A$1:$I$89,3,0)*0.475*44/12</f>
        <v>0.86765175035089903</v>
      </c>
      <c r="AW145" s="21">
        <f>EXP(-LN(2)/2)*AW144+(1-EXP(-LN(2)/2))/(LN(2)/2)*AQ145*AT145*VLOOKUP('Données projet'!$B$10,Paramètres!$A$1:$I$89,3,0)*0.475*44/12</f>
        <v>4.0682650599924378E-16</v>
      </c>
      <c r="AX145" s="21">
        <f t="shared" si="114"/>
        <v>1.6629771878023187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-5.1159076974727213E-13</v>
      </c>
      <c r="BE145" s="13">
        <f>BD145*VLOOKUP('Données projet'!$B$11,Paramètres!$A$1:$I$89,3,0)*VLOOKUP('Données projet'!$B$11,Paramètres!$A$1:$I$89,5,0)</f>
        <v>-3.4317508834647017E-13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207.93042467236967</v>
      </c>
      <c r="BJ145" s="59">
        <f t="shared" si="146"/>
        <v>250.70954318710835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0.29937676267702545</v>
      </c>
      <c r="BQ145" s="21">
        <f>EXP(-LN(2)/25)*BQ144+(1-EXP(-LN(2)/25))/(LN(2)/25)*Calculateur!BL145*Calculateur!BN145*VLOOKUP('Données projet'!$B$11,Paramètres!$A$1:$I$89,3,0)*0.475*44/12</f>
        <v>0.77526976508588896</v>
      </c>
      <c r="BR145" s="21">
        <f>EXP(-LN(2)/2)*BR144+(1-EXP(-LN(2)/2))/(LN(2)/2)*BL145*BO145*VLOOKUP('Données projet'!$B$11,Paramètres!$A$1:$I$89,3,0)*0.475*44/12</f>
        <v>2.8127785309756105E-16</v>
      </c>
      <c r="BS145" s="22">
        <f t="shared" si="117"/>
        <v>1.0746465277629147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1.7053025658242404E-13</v>
      </c>
      <c r="BZ145" s="13">
        <f>BY145*VLOOKUP('Données projet'!$B$12,Paramètres!$A$1:$I$89,3,0)*VLOOKUP('Données projet'!$B$12,Paramètres!$A$1:$I$89,5,0)</f>
        <v>1.3301360013429075E-13</v>
      </c>
      <c r="CA145" s="13">
        <f t="shared" si="147"/>
        <v>1.9329766731057041E-12</v>
      </c>
      <c r="CB145" s="20">
        <f t="shared" si="118"/>
        <v>3.5982663925596575E-12</v>
      </c>
      <c r="CC145" s="59">
        <f t="shared" si="119"/>
        <v>293.3333333333369</v>
      </c>
      <c r="CD145" s="59">
        <f ca="1">AVERAGE(OFFSET($CC$3,0,0,'Données projet'!$E$12+1,1))-AVERAGE(OFFSET($H$3,0,0,'Données projet'!$E$12+1,1))</f>
        <v>266.30229009596883</v>
      </c>
      <c r="CE145" s="59">
        <f t="shared" si="148"/>
        <v>270.19195828386046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0.1573543631321293</v>
      </c>
      <c r="CL145" s="21">
        <f>EXP(-LN(2)/25)*CL144+(1-EXP(-LN(2)/25))/(LN(2)/25)*Calculateur!CG145*Calculateur!CI145*VLOOKUP('Données projet'!$B$12,Paramètres!$A$1:$I$89,3,0)*0.475*44/12</f>
        <v>0.37510129695719779</v>
      </c>
      <c r="CM145" s="21">
        <f>EXP(-LN(2)/2)*CM144+(1-EXP(-LN(2)/2))/(LN(2)/2)*CG145*CJ145*VLOOKUP('Données projet'!$B$12,Paramètres!$A$1:$I$89,3,0)*0.475*44/12</f>
        <v>1.8139905684086182E-16</v>
      </c>
      <c r="CN145" s="22">
        <f t="shared" si="120"/>
        <v>0.53245566008932732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-5.1159076974727213E-13</v>
      </c>
      <c r="CU145" s="17">
        <f>CT145*VLOOKUP('Données projet'!$B$13,Paramètres!$A$1:$I$89,3,0)*VLOOKUP('Données projet'!$B$13,Paramètres!$A$1:$I$89,5,0)</f>
        <v>-4.0702161641092972E-13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260.20517190557814</v>
      </c>
      <c r="CZ145" s="59">
        <f t="shared" si="150"/>
        <v>307.22009971147133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0.35507476503554219</v>
      </c>
      <c r="DG145" s="21">
        <f>EXP(-LN(2)/25)*DG144+(1-EXP(-LN(2)/25))/(LN(2)/25)*Calculateur!DB145*Calculateur!DD145*VLOOKUP('Données projet'!$B$13,Paramètres!$A$1:$I$89,3,0)*0.475*44/12</f>
        <v>0.91950600045070396</v>
      </c>
      <c r="DH145" s="21">
        <f>EXP(-LN(2)/2)*DH144+(1-EXP(-LN(2)/2))/(LN(2)/2)*DB145*DE145*VLOOKUP('Données projet'!$B$13,Paramètres!$A$1:$I$89,3,0)*0.475*44/12</f>
        <v>3.3360861646454918E-16</v>
      </c>
      <c r="DI145" s="22">
        <f t="shared" si="123"/>
        <v>1.2745807654862467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-3.4106051316484809E-13</v>
      </c>
      <c r="DP145" s="17">
        <f>DO145*VLOOKUP('Données projet'!$B$14,Paramètres!$A$1:$I$89,3,0)*VLOOKUP('Données projet'!$B$14,Paramètres!$A$1:$I$89,5,0)</f>
        <v>-3.2987372833304104E-13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347.8889410585312</v>
      </c>
      <c r="DU145" s="59">
        <f t="shared" si="152"/>
        <v>254.78167322479203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0.28017146092038625</v>
      </c>
      <c r="EB145" s="21">
        <f>EXP(-LN(2)/25)*EB144+(1-EXP(-LN(2)/25))/(LN(2)/25)*Calculateur!DW145*Calculateur!DY145*VLOOKUP('Données projet'!$B$14,Paramètres!$A$1:$I$89,3,0)*0.475*44/12</f>
        <v>0.54046417714702144</v>
      </c>
      <c r="EC145" s="21">
        <f>EXP(-LN(2)/2)*EC144+(1-EXP(-LN(2)/2))/(LN(2)/2)*DW145*DZ145*VLOOKUP('Données projet'!$B$14,Paramètres!$A$1:$I$89,3,0)*0.475*44/12</f>
        <v>3.1974109183944396E-16</v>
      </c>
      <c r="ED145" s="22">
        <f t="shared" si="126"/>
        <v>0.82063563806740802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-3.4106051316484809E-13</v>
      </c>
      <c r="EK145" s="17">
        <f>EJ145*VLOOKUP('Données projet'!$B$15,Paramètres!$A$1:$I$89,3,0)*VLOOKUP('Données projet'!$B$15,Paramètres!$A$1:$I$89,5,0)</f>
        <v>-3.6711753637064249E-13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399.38728019348088</v>
      </c>
      <c r="EP145" s="59">
        <f t="shared" si="154"/>
        <v>289.54922160039791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0.31180372263720407</v>
      </c>
      <c r="EW145" s="21">
        <f>EXP(-LN(2)/25)*EW144+(1-EXP(-LN(2)/25))/(LN(2)/25)*Calculateur!ER145*Calculateur!ET145*VLOOKUP('Données projet'!$B$15,Paramètres!$A$1:$I$89,3,0)*0.475*44/12</f>
        <v>0.60148432617975034</v>
      </c>
      <c r="EX145" s="21">
        <f>EXP(-LN(2)/2)*EX144+(1-EXP(-LN(2)/2))/(LN(2)/2)*ER145*EU145*VLOOKUP('Données projet'!$B$15,Paramètres!$A$1:$I$89,3,0)*0.475*44/12</f>
        <v>3.5584089253099412E-16</v>
      </c>
      <c r="EY145" s="22">
        <f t="shared" si="129"/>
        <v>0.91328804881695469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-3.0859155231155454E-13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318.40875902853116</v>
      </c>
      <c r="T146" s="59">
        <f t="shared" si="142"/>
        <v>234.87694492493506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0.25695634239755438</v>
      </c>
      <c r="AA146" s="21">
        <f>EXP(-LN(2)/25)*AA145+(1-EXP(-LN(2)/25))/(LN(2)/25)*Calculateur!V146*Calculateur!X146*VLOOKUP('Données projet'!$B$9,Paramètres!$A$1:$I$89,3,0)*0.475*44/12</f>
        <v>0.49176998445914999</v>
      </c>
      <c r="AB146" s="21">
        <f>EXP(-LN(2)/2)*AB145+(1-EXP(-LN(2)/2))/(LN(2)/2)*V146*Y146*VLOOKUP('Données projet'!$B$9,Paramètres!$A$1:$I$89,3,0)*0.475*44/12</f>
        <v>2.1150457205310367E-16</v>
      </c>
      <c r="AC146" s="22">
        <f t="shared" si="111"/>
        <v>0.74872632685670459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243.38048563215585</v>
      </c>
      <c r="AO146" s="59">
        <f t="shared" si="144"/>
        <v>372.1604147006675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0.77972959072361403</v>
      </c>
      <c r="AV146" s="21">
        <f>EXP(-LN(2)/25)*AV145+(1-EXP(-LN(2)/25))/(LN(2)/25)*Calculateur!AQ146*Calculateur!AS146*VLOOKUP('Données projet'!$B$10,Paramètres!$A$1:$I$89,3,0)*0.475*44/12</f>
        <v>0.84392576760973115</v>
      </c>
      <c r="AW146" s="21">
        <f>EXP(-LN(2)/2)*AW145+(1-EXP(-LN(2)/2))/(LN(2)/2)*AQ146*AT146*VLOOKUP('Données projet'!$B$10,Paramètres!$A$1:$I$89,3,0)*0.475*44/12</f>
        <v>2.8766978115849493E-16</v>
      </c>
      <c r="AX146" s="21">
        <f t="shared" si="114"/>
        <v>1.6236553583333453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-5.1159076974727213E-13</v>
      </c>
      <c r="BE146" s="13">
        <f>BD146*VLOOKUP('Données projet'!$B$11,Paramètres!$A$1:$I$89,3,0)*VLOOKUP('Données projet'!$B$11,Paramètres!$A$1:$I$89,5,0)</f>
        <v>-3.4317508834647017E-13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207.93042467236967</v>
      </c>
      <c r="BJ146" s="59">
        <f t="shared" si="146"/>
        <v>250.70954318710835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0.2935061669627238</v>
      </c>
      <c r="BQ146" s="21">
        <f>EXP(-LN(2)/25)*BQ145+(1-EXP(-LN(2)/25))/(LN(2)/25)*Calculateur!BL146*Calculateur!BN146*VLOOKUP('Données projet'!$B$11,Paramètres!$A$1:$I$89,3,0)*0.475*44/12</f>
        <v>0.75406997258995023</v>
      </c>
      <c r="BR146" s="21">
        <f>EXP(-LN(2)/2)*BR145+(1-EXP(-LN(2)/2))/(LN(2)/2)*BL146*BO146*VLOOKUP('Données projet'!$B$11,Paramètres!$A$1:$I$89,3,0)*0.475*44/12</f>
        <v>1.9889347732287896E-16</v>
      </c>
      <c r="BS146" s="22">
        <f t="shared" si="117"/>
        <v>1.0475761395526744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1.7053025658242404E-13</v>
      </c>
      <c r="BZ146" s="13">
        <f>BY146*VLOOKUP('Données projet'!$B$12,Paramètres!$A$1:$I$89,3,0)*VLOOKUP('Données projet'!$B$12,Paramètres!$A$1:$I$89,5,0)</f>
        <v>1.3301360013429075E-13</v>
      </c>
      <c r="CA146" s="13">
        <f t="shared" si="147"/>
        <v>1.9329766731057041E-12</v>
      </c>
      <c r="CB146" s="20">
        <f t="shared" si="118"/>
        <v>3.5982663925596575E-12</v>
      </c>
      <c r="CC146" s="59">
        <f t="shared" si="119"/>
        <v>293.3333333333369</v>
      </c>
      <c r="CD146" s="59">
        <f ca="1">AVERAGE(OFFSET($CC$3,0,0,'Données projet'!$E$12+1,1))-AVERAGE(OFFSET($H$3,0,0,'Données projet'!$E$12+1,1))</f>
        <v>266.30229009596883</v>
      </c>
      <c r="CE146" s="59">
        <f t="shared" si="148"/>
        <v>270.19195828386046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0.15426874004779284</v>
      </c>
      <c r="CL146" s="21">
        <f>EXP(-LN(2)/25)*CL145+(1-EXP(-LN(2)/25))/(LN(2)/25)*Calculateur!CG146*Calculateur!CI146*VLOOKUP('Données projet'!$B$12,Paramètres!$A$1:$I$89,3,0)*0.475*44/12</f>
        <v>0.36484413226618334</v>
      </c>
      <c r="CM146" s="21">
        <f>EXP(-LN(2)/2)*CM145+(1-EXP(-LN(2)/2))/(LN(2)/2)*CG146*CJ146*VLOOKUP('Données projet'!$B$12,Paramètres!$A$1:$I$89,3,0)*0.475*44/12</f>
        <v>1.2826850319301737E-16</v>
      </c>
      <c r="CN146" s="22">
        <f t="shared" si="120"/>
        <v>0.51911287231397629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-5.1159076974727213E-13</v>
      </c>
      <c r="CU146" s="17">
        <f>CT146*VLOOKUP('Données projet'!$B$13,Paramètres!$A$1:$I$89,3,0)*VLOOKUP('Données projet'!$B$13,Paramètres!$A$1:$I$89,5,0)</f>
        <v>-4.0702161641092972E-13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260.20517190557814</v>
      </c>
      <c r="CZ146" s="59">
        <f t="shared" si="150"/>
        <v>307.22009971147133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0.34811196546741696</v>
      </c>
      <c r="DG146" s="21">
        <f>EXP(-LN(2)/25)*DG145+(1-EXP(-LN(2)/25))/(LN(2)/25)*Calculateur!DB146*Calculateur!DD146*VLOOKUP('Données projet'!$B$13,Paramètres!$A$1:$I$89,3,0)*0.475*44/12</f>
        <v>0.89436206051366041</v>
      </c>
      <c r="DH146" s="21">
        <f>EXP(-LN(2)/2)*DH145+(1-EXP(-LN(2)/2))/(LN(2)/2)*DB146*DE146*VLOOKUP('Données projet'!$B$13,Paramètres!$A$1:$I$89,3,0)*0.475*44/12</f>
        <v>2.3589691496434483E-16</v>
      </c>
      <c r="DI146" s="22">
        <f t="shared" si="123"/>
        <v>1.2424740259810776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-3.4106051316484809E-13</v>
      </c>
      <c r="DP146" s="17">
        <f>DO146*VLOOKUP('Données projet'!$B$14,Paramètres!$A$1:$I$89,3,0)*VLOOKUP('Données projet'!$B$14,Paramètres!$A$1:$I$89,5,0)</f>
        <v>-3.2987372833304104E-13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347.8889410585312</v>
      </c>
      <c r="DU146" s="59">
        <f t="shared" si="152"/>
        <v>254.78167322479203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0.27467746945945487</v>
      </c>
      <c r="EB146" s="21">
        <f>EXP(-LN(2)/25)*EB145+(1-EXP(-LN(2)/25))/(LN(2)/25)*Calculateur!DW146*Calculateur!DY146*VLOOKUP('Données projet'!$B$14,Paramètres!$A$1:$I$89,3,0)*0.475*44/12</f>
        <v>0.52568515580116026</v>
      </c>
      <c r="EC146" s="21">
        <f>EXP(-LN(2)/2)*EC145+(1-EXP(-LN(2)/2))/(LN(2)/2)*DW146*DZ146*VLOOKUP('Données projet'!$B$14,Paramètres!$A$1:$I$89,3,0)*0.475*44/12</f>
        <v>2.260910942636615E-16</v>
      </c>
      <c r="ED146" s="22">
        <f t="shared" si="126"/>
        <v>0.8003626252606153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-3.4106051316484809E-13</v>
      </c>
      <c r="EK146" s="17">
        <f>EJ146*VLOOKUP('Données projet'!$B$15,Paramètres!$A$1:$I$89,3,0)*VLOOKUP('Données projet'!$B$15,Paramètres!$A$1:$I$89,5,0)</f>
        <v>-3.6711753637064249E-13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399.38728019348088</v>
      </c>
      <c r="EP146" s="59">
        <f t="shared" si="154"/>
        <v>289.54922160039791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0.30568944181778046</v>
      </c>
      <c r="EW146" s="21">
        <f>EXP(-LN(2)/25)*EW145+(1-EXP(-LN(2)/25))/(LN(2)/25)*Calculateur!ER146*Calculateur!ET146*VLOOKUP('Données projet'!$B$15,Paramètres!$A$1:$I$89,3,0)*0.475*44/12</f>
        <v>0.58503670564967902</v>
      </c>
      <c r="EX146" s="21">
        <f>EXP(-LN(2)/2)*EX145+(1-EXP(-LN(2)/2))/(LN(2)/2)*ER146*EU146*VLOOKUP('Données projet'!$B$15,Paramètres!$A$1:$I$89,3,0)*0.475*44/12</f>
        <v>2.5161750813213943E-16</v>
      </c>
      <c r="EY146" s="22">
        <f t="shared" si="129"/>
        <v>0.89072614746745971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-3.0859155231155454E-13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318.40875902853116</v>
      </c>
      <c r="T147" s="59">
        <f t="shared" si="142"/>
        <v>234.87694492493506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0.25191758525103158</v>
      </c>
      <c r="AA147" s="21">
        <f>EXP(-LN(2)/25)*AA146+(1-EXP(-LN(2)/25))/(LN(2)/25)*Calculateur!V147*Calculateur!X147*VLOOKUP('Données projet'!$B$9,Paramètres!$A$1:$I$89,3,0)*0.475*44/12</f>
        <v>0.47832250837305501</v>
      </c>
      <c r="AB147" s="21">
        <f>EXP(-LN(2)/2)*AB146+(1-EXP(-LN(2)/2))/(LN(2)/2)*V147*Y147*VLOOKUP('Données projet'!$B$9,Paramètres!$A$1:$I$89,3,0)*0.475*44/12</f>
        <v>1.4955631715070835E-16</v>
      </c>
      <c r="AC147" s="22">
        <f t="shared" si="111"/>
        <v>0.73024009362408671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243.38048563215585</v>
      </c>
      <c r="AO147" s="59">
        <f t="shared" si="144"/>
        <v>372.1604147006675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0.7644395690376139</v>
      </c>
      <c r="AV147" s="21">
        <f>EXP(-LN(2)/25)*AV146+(1-EXP(-LN(2)/25))/(LN(2)/25)*Calculateur!AQ147*Calculateur!AS147*VLOOKUP('Données projet'!$B$10,Paramètres!$A$1:$I$89,3,0)*0.475*44/12</f>
        <v>0.8208485731143158</v>
      </c>
      <c r="AW147" s="21">
        <f>EXP(-LN(2)/2)*AW146+(1-EXP(-LN(2)/2))/(LN(2)/2)*AQ147*AT147*VLOOKUP('Données projet'!$B$10,Paramètres!$A$1:$I$89,3,0)*0.475*44/12</f>
        <v>2.0341325299962189E-16</v>
      </c>
      <c r="AX147" s="21">
        <f t="shared" si="114"/>
        <v>1.5852881421519298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-5.1159076974727213E-13</v>
      </c>
      <c r="BE147" s="13">
        <f>BD147*VLOOKUP('Données projet'!$B$11,Paramètres!$A$1:$I$89,3,0)*VLOOKUP('Données projet'!$B$11,Paramètres!$A$1:$I$89,5,0)</f>
        <v>-3.4317508834647017E-13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207.93042467236967</v>
      </c>
      <c r="BJ147" s="59">
        <f t="shared" si="146"/>
        <v>250.70954318710835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0.2877506900496698</v>
      </c>
      <c r="BQ147" s="21">
        <f>EXP(-LN(2)/25)*BQ146+(1-EXP(-LN(2)/25))/(LN(2)/25)*Calculateur!BL147*Calculateur!BN147*VLOOKUP('Données projet'!$B$11,Paramètres!$A$1:$I$89,3,0)*0.475*44/12</f>
        <v>0.73344988953466161</v>
      </c>
      <c r="BR147" s="21">
        <f>EXP(-LN(2)/2)*BR146+(1-EXP(-LN(2)/2))/(LN(2)/2)*BL147*BO147*VLOOKUP('Données projet'!$B$11,Paramètres!$A$1:$I$89,3,0)*0.475*44/12</f>
        <v>1.4063892654878053E-16</v>
      </c>
      <c r="BS147" s="22">
        <f t="shared" si="117"/>
        <v>1.0212005795843317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1.7053025658242404E-13</v>
      </c>
      <c r="BZ147" s="13">
        <f>BY147*VLOOKUP('Données projet'!$B$12,Paramètres!$A$1:$I$89,3,0)*VLOOKUP('Données projet'!$B$12,Paramètres!$A$1:$I$89,5,0)</f>
        <v>1.3301360013429075E-13</v>
      </c>
      <c r="CA147" s="13">
        <f t="shared" si="147"/>
        <v>1.9329766731057041E-12</v>
      </c>
      <c r="CB147" s="20">
        <f t="shared" si="118"/>
        <v>3.5982663925596575E-12</v>
      </c>
      <c r="CC147" s="59">
        <f t="shared" si="119"/>
        <v>293.3333333333369</v>
      </c>
      <c r="CD147" s="59">
        <f ca="1">AVERAGE(OFFSET($CC$3,0,0,'Données projet'!$E$12+1,1))-AVERAGE(OFFSET($H$3,0,0,'Données projet'!$E$12+1,1))</f>
        <v>266.30229009596883</v>
      </c>
      <c r="CE147" s="59">
        <f t="shared" si="148"/>
        <v>270.19195828386046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0.15124362415009598</v>
      </c>
      <c r="CL147" s="21">
        <f>EXP(-LN(2)/25)*CL146+(1-EXP(-LN(2)/25))/(LN(2)/25)*Calculateur!CG147*Calculateur!CI147*VLOOKUP('Données projet'!$B$12,Paramètres!$A$1:$I$89,3,0)*0.475*44/12</f>
        <v>0.3548674502830455</v>
      </c>
      <c r="CM147" s="21">
        <f>EXP(-LN(2)/2)*CM146+(1-EXP(-LN(2)/2))/(LN(2)/2)*CG147*CJ147*VLOOKUP('Données projet'!$B$12,Paramètres!$A$1:$I$89,3,0)*0.475*44/12</f>
        <v>9.0699528420430909E-17</v>
      </c>
      <c r="CN147" s="22">
        <f t="shared" si="120"/>
        <v>0.50611107443314163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-5.1159076974727213E-13</v>
      </c>
      <c r="CU147" s="17">
        <f>CT147*VLOOKUP('Données projet'!$B$13,Paramètres!$A$1:$I$89,3,0)*VLOOKUP('Données projet'!$B$13,Paramètres!$A$1:$I$89,5,0)</f>
        <v>-4.0702161641092972E-13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260.20517190557814</v>
      </c>
      <c r="CZ147" s="59">
        <f t="shared" si="150"/>
        <v>307.22009971147133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0.34128570215193427</v>
      </c>
      <c r="DG147" s="21">
        <f>EXP(-LN(2)/25)*DG146+(1-EXP(-LN(2)/25))/(LN(2)/25)*Calculateur!DB147*Calculateur!DD147*VLOOKUP('Données projet'!$B$13,Paramètres!$A$1:$I$89,3,0)*0.475*44/12</f>
        <v>0.86990568293645765</v>
      </c>
      <c r="DH147" s="21">
        <f>EXP(-LN(2)/2)*DH146+(1-EXP(-LN(2)/2))/(LN(2)/2)*DB147*DE147*VLOOKUP('Données projet'!$B$13,Paramètres!$A$1:$I$89,3,0)*0.475*44/12</f>
        <v>1.6680430823227459E-16</v>
      </c>
      <c r="DI147" s="22">
        <f t="shared" si="123"/>
        <v>1.2111913850883922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-3.4106051316484809E-13</v>
      </c>
      <c r="DP147" s="17">
        <f>DO147*VLOOKUP('Données projet'!$B$14,Paramètres!$A$1:$I$89,3,0)*VLOOKUP('Données projet'!$B$14,Paramètres!$A$1:$I$89,5,0)</f>
        <v>-3.2987372833304104E-13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347.8889410585312</v>
      </c>
      <c r="DU147" s="59">
        <f t="shared" si="152"/>
        <v>254.78167322479203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0.26929121182006843</v>
      </c>
      <c r="EB147" s="21">
        <f>EXP(-LN(2)/25)*EB146+(1-EXP(-LN(2)/25))/(LN(2)/25)*Calculateur!DW147*Calculateur!DY147*VLOOKUP('Données projet'!$B$14,Paramètres!$A$1:$I$89,3,0)*0.475*44/12</f>
        <v>0.51131026757119669</v>
      </c>
      <c r="EC147" s="21">
        <f>EXP(-LN(2)/2)*EC146+(1-EXP(-LN(2)/2))/(LN(2)/2)*DW147*DZ147*VLOOKUP('Données projet'!$B$14,Paramètres!$A$1:$I$89,3,0)*0.475*44/12</f>
        <v>1.5987054591972198E-16</v>
      </c>
      <c r="ED147" s="22">
        <f t="shared" si="126"/>
        <v>0.78060147939126523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-3.4106051316484809E-13</v>
      </c>
      <c r="EK147" s="17">
        <f>EJ147*VLOOKUP('Données projet'!$B$15,Paramètres!$A$1:$I$89,3,0)*VLOOKUP('Données projet'!$B$15,Paramètres!$A$1:$I$89,5,0)</f>
        <v>-3.6711753637064249E-13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399.38728019348088</v>
      </c>
      <c r="EP147" s="59">
        <f t="shared" si="154"/>
        <v>289.54922160039791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0.29969505831588267</v>
      </c>
      <c r="EW147" s="21">
        <f>EXP(-LN(2)/25)*EW146+(1-EXP(-LN(2)/25))/(LN(2)/25)*Calculateur!ER147*Calculateur!ET147*VLOOKUP('Données projet'!$B$15,Paramètres!$A$1:$I$89,3,0)*0.475*44/12</f>
        <v>0.56903884616794531</v>
      </c>
      <c r="EX147" s="21">
        <f>EXP(-LN(2)/2)*EX146+(1-EXP(-LN(2)/2))/(LN(2)/2)*ER147*EU147*VLOOKUP('Données projet'!$B$15,Paramètres!$A$1:$I$89,3,0)*0.475*44/12</f>
        <v>1.7792044626549706E-16</v>
      </c>
      <c r="EY147" s="22">
        <f t="shared" si="129"/>
        <v>0.86873390448382826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-3.0859155231155454E-13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318.40875902853116</v>
      </c>
      <c r="T148" s="59">
        <f t="shared" si="142"/>
        <v>234.87694492493506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0.24697763505881373</v>
      </c>
      <c r="AA148" s="21">
        <f>EXP(-LN(2)/25)*AA147+(1-EXP(-LN(2)/25))/(LN(2)/25)*Calculateur!V148*Calculateur!X148*VLOOKUP('Données projet'!$B$9,Paramètres!$A$1:$I$89,3,0)*0.475*44/12</f>
        <v>0.46524275422770633</v>
      </c>
      <c r="AB148" s="21">
        <f>EXP(-LN(2)/2)*AB147+(1-EXP(-LN(2)/2))/(LN(2)/2)*V148*Y148*VLOOKUP('Données projet'!$B$9,Paramètres!$A$1:$I$89,3,0)*0.475*44/12</f>
        <v>1.0575228602655183E-16</v>
      </c>
      <c r="AC148" s="22">
        <f t="shared" si="111"/>
        <v>0.71222038928652021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243.38048563215585</v>
      </c>
      <c r="AO148" s="59">
        <f t="shared" si="144"/>
        <v>372.1604147006675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0.74944937535088385</v>
      </c>
      <c r="AV148" s="21">
        <f>EXP(-LN(2)/25)*AV147+(1-EXP(-LN(2)/25))/(LN(2)/25)*Calculateur!AQ148*Calculateur!AS148*VLOOKUP('Données projet'!$B$10,Paramètres!$A$1:$I$89,3,0)*0.475*44/12</f>
        <v>0.79840242571595443</v>
      </c>
      <c r="AW148" s="21">
        <f>EXP(-LN(2)/2)*AW147+(1-EXP(-LN(2)/2))/(LN(2)/2)*AQ148*AT148*VLOOKUP('Données projet'!$B$10,Paramètres!$A$1:$I$89,3,0)*0.475*44/12</f>
        <v>1.4383489057924747E-16</v>
      </c>
      <c r="AX148" s="21">
        <f t="shared" si="114"/>
        <v>1.5478518010668385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-5.1159076974727213E-13</v>
      </c>
      <c r="BE148" s="13">
        <f>BD148*VLOOKUP('Données projet'!$B$11,Paramètres!$A$1:$I$89,3,0)*VLOOKUP('Données projet'!$B$11,Paramètres!$A$1:$I$89,5,0)</f>
        <v>-3.4317508834647017E-13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207.93042467236967</v>
      </c>
      <c r="BJ148" s="59">
        <f t="shared" si="146"/>
        <v>250.70954318710835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0.28210807452838649</v>
      </c>
      <c r="BQ148" s="21">
        <f>EXP(-LN(2)/25)*BQ147+(1-EXP(-LN(2)/25))/(LN(2)/25)*Calculateur!BL148*Calculateur!BN148*VLOOKUP('Données projet'!$B$11,Paramètres!$A$1:$I$89,3,0)*0.475*44/12</f>
        <v>0.71339366373488289</v>
      </c>
      <c r="BR148" s="21">
        <f>EXP(-LN(2)/2)*BR147+(1-EXP(-LN(2)/2))/(LN(2)/2)*BL148*BO148*VLOOKUP('Données projet'!$B$11,Paramètres!$A$1:$I$89,3,0)*0.475*44/12</f>
        <v>9.9446738661439481E-17</v>
      </c>
      <c r="BS148" s="22">
        <f t="shared" si="117"/>
        <v>0.99550173826326949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1.7053025658242404E-13</v>
      </c>
      <c r="BZ148" s="13">
        <f>BY148*VLOOKUP('Données projet'!$B$12,Paramètres!$A$1:$I$89,3,0)*VLOOKUP('Données projet'!$B$12,Paramètres!$A$1:$I$89,5,0)</f>
        <v>1.3301360013429075E-13</v>
      </c>
      <c r="CA148" s="13">
        <f t="shared" si="147"/>
        <v>1.9329766731057041E-12</v>
      </c>
      <c r="CB148" s="20">
        <f t="shared" si="118"/>
        <v>3.5982663925596575E-12</v>
      </c>
      <c r="CC148" s="59">
        <f t="shared" si="119"/>
        <v>293.3333333333369</v>
      </c>
      <c r="CD148" s="59">
        <f ca="1">AVERAGE(OFFSET($CC$3,0,0,'Données projet'!$E$12+1,1))-AVERAGE(OFFSET($H$3,0,0,'Données projet'!$E$12+1,1))</f>
        <v>266.30229009596883</v>
      </c>
      <c r="CE148" s="59">
        <f t="shared" si="148"/>
        <v>270.19195828386046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0.14827782893001445</v>
      </c>
      <c r="CL148" s="21">
        <f>EXP(-LN(2)/25)*CL147+(1-EXP(-LN(2)/25))/(LN(2)/25)*Calculateur!CG148*Calculateur!CI148*VLOOKUP('Données projet'!$B$12,Paramètres!$A$1:$I$89,3,0)*0.475*44/12</f>
        <v>0.34516358119338747</v>
      </c>
      <c r="CM148" s="21">
        <f>EXP(-LN(2)/2)*CM147+(1-EXP(-LN(2)/2))/(LN(2)/2)*CG148*CJ148*VLOOKUP('Données projet'!$B$12,Paramètres!$A$1:$I$89,3,0)*0.475*44/12</f>
        <v>6.4134251596508686E-17</v>
      </c>
      <c r="CN148" s="22">
        <f t="shared" si="120"/>
        <v>0.49344141012340198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-5.1159076974727213E-13</v>
      </c>
      <c r="CU148" s="17">
        <f>CT148*VLOOKUP('Données projet'!$B$13,Paramètres!$A$1:$I$89,3,0)*VLOOKUP('Données projet'!$B$13,Paramètres!$A$1:$I$89,5,0)</f>
        <v>-4.0702161641092972E-13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260.20517190557814</v>
      </c>
      <c r="CZ148" s="59">
        <f t="shared" si="150"/>
        <v>307.22009971147133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0.33459329769645868</v>
      </c>
      <c r="DG148" s="21">
        <f>EXP(-LN(2)/25)*DG147+(1-EXP(-LN(2)/25))/(LN(2)/25)*Calculateur!DB148*Calculateur!DD148*VLOOKUP('Données projet'!$B$13,Paramètres!$A$1:$I$89,3,0)*0.475*44/12</f>
        <v>0.84611806629020858</v>
      </c>
      <c r="DH148" s="21">
        <f>EXP(-LN(2)/2)*DH147+(1-EXP(-LN(2)/2))/(LN(2)/2)*DB148*DE148*VLOOKUP('Données projet'!$B$13,Paramètres!$A$1:$I$89,3,0)*0.475*44/12</f>
        <v>1.1794845748217241E-16</v>
      </c>
      <c r="DI148" s="22">
        <f t="shared" si="123"/>
        <v>1.1807113639866675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-3.4106051316484809E-13</v>
      </c>
      <c r="DP148" s="17">
        <f>DO148*VLOOKUP('Données projet'!$B$14,Paramètres!$A$1:$I$89,3,0)*VLOOKUP('Données projet'!$B$14,Paramètres!$A$1:$I$89,5,0)</f>
        <v>-3.2987372833304104E-13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347.8889410585312</v>
      </c>
      <c r="DU148" s="59">
        <f t="shared" si="152"/>
        <v>254.78167322479203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0.26401057540769762</v>
      </c>
      <c r="EB148" s="21">
        <f>EXP(-LN(2)/25)*EB147+(1-EXP(-LN(2)/25))/(LN(2)/25)*Calculateur!DW148*Calculateur!DY148*VLOOKUP('Données projet'!$B$14,Paramètres!$A$1:$I$89,3,0)*0.475*44/12</f>
        <v>0.49732846141582393</v>
      </c>
      <c r="EC148" s="21">
        <f>EXP(-LN(2)/2)*EC147+(1-EXP(-LN(2)/2))/(LN(2)/2)*DW148*DZ148*VLOOKUP('Données projet'!$B$14,Paramètres!$A$1:$I$89,3,0)*0.475*44/12</f>
        <v>1.1304554713183075E-16</v>
      </c>
      <c r="ED148" s="22">
        <f t="shared" si="126"/>
        <v>0.76133903682352166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-3.4106051316484809E-13</v>
      </c>
      <c r="EK148" s="17">
        <f>EJ148*VLOOKUP('Données projet'!$B$15,Paramètres!$A$1:$I$89,3,0)*VLOOKUP('Données projet'!$B$15,Paramètres!$A$1:$I$89,5,0)</f>
        <v>-3.6711753637064249E-13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399.38728019348088</v>
      </c>
      <c r="EP148" s="59">
        <f t="shared" si="154"/>
        <v>289.54922160039791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0.29381822101824417</v>
      </c>
      <c r="EW148" s="21">
        <f>EXP(-LN(2)/25)*EW147+(1-EXP(-LN(2)/25))/(LN(2)/25)*Calculateur!ER148*Calculateur!ET148*VLOOKUP('Données projet'!$B$15,Paramètres!$A$1:$I$89,3,0)*0.475*44/12</f>
        <v>0.55347844899503051</v>
      </c>
      <c r="EX148" s="21">
        <f>EXP(-LN(2)/2)*EX147+(1-EXP(-LN(2)/2))/(LN(2)/2)*ER148*EU148*VLOOKUP('Données projet'!$B$15,Paramètres!$A$1:$I$89,3,0)*0.475*44/12</f>
        <v>1.2580875406606971E-16</v>
      </c>
      <c r="EY148" s="22">
        <f t="shared" si="129"/>
        <v>0.8472966700132748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-3.0859155231155454E-13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318.40875902853116</v>
      </c>
      <c r="T149" s="59">
        <f t="shared" si="142"/>
        <v>234.87694492493506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0.24213455427679317</v>
      </c>
      <c r="AA149" s="21">
        <f>EXP(-LN(2)/25)*AA148+(1-EXP(-LN(2)/25))/(LN(2)/25)*Calculateur!V149*Calculateur!X149*VLOOKUP('Données projet'!$B$9,Paramètres!$A$1:$I$89,3,0)*0.475*44/12</f>
        <v>0.45252066664729657</v>
      </c>
      <c r="AB149" s="21">
        <f>EXP(-LN(2)/2)*AB148+(1-EXP(-LN(2)/2))/(LN(2)/2)*V149*Y149*VLOOKUP('Données projet'!$B$9,Paramètres!$A$1:$I$89,3,0)*0.475*44/12</f>
        <v>7.4778158575354173E-17</v>
      </c>
      <c r="AC149" s="22">
        <f t="shared" si="111"/>
        <v>0.69465522092408982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243.38048563215585</v>
      </c>
      <c r="AO149" s="59">
        <f t="shared" si="144"/>
        <v>372.1604147006675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0.73475313021923527</v>
      </c>
      <c r="AV149" s="21">
        <f>EXP(-LN(2)/25)*AV148+(1-EXP(-LN(2)/25))/(LN(2)/25)*Calculateur!AQ149*Calculateur!AS149*VLOOKUP('Données projet'!$B$10,Paramètres!$A$1:$I$89,3,0)*0.475*44/12</f>
        <v>0.77657006939859285</v>
      </c>
      <c r="AW149" s="21">
        <f>EXP(-LN(2)/2)*AW148+(1-EXP(-LN(2)/2))/(LN(2)/2)*AQ149*AT149*VLOOKUP('Données projet'!$B$10,Paramètres!$A$1:$I$89,3,0)*0.475*44/12</f>
        <v>1.0170662649981095E-16</v>
      </c>
      <c r="AX149" s="21">
        <f t="shared" si="114"/>
        <v>1.511323199617828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-5.1159076974727213E-13</v>
      </c>
      <c r="BE149" s="13">
        <f>BD149*VLOOKUP('Données projet'!$B$11,Paramètres!$A$1:$I$89,3,0)*VLOOKUP('Données projet'!$B$11,Paramètres!$A$1:$I$89,5,0)</f>
        <v>-3.4317508834647017E-13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207.93042467236967</v>
      </c>
      <c r="BJ149" s="59">
        <f t="shared" si="146"/>
        <v>250.70954318710835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0.27657610725581988</v>
      </c>
      <c r="BQ149" s="21">
        <f>EXP(-LN(2)/25)*BQ148+(1-EXP(-LN(2)/25))/(LN(2)/25)*Calculateur!BL149*Calculateur!BN149*VLOOKUP('Données projet'!$B$11,Paramètres!$A$1:$I$89,3,0)*0.475*44/12</f>
        <v>0.69388587648431022</v>
      </c>
      <c r="BR149" s="21">
        <f>EXP(-LN(2)/2)*BR148+(1-EXP(-LN(2)/2))/(LN(2)/2)*BL149*BO149*VLOOKUP('Données projet'!$B$11,Paramètres!$A$1:$I$89,3,0)*0.475*44/12</f>
        <v>7.0319463274390263E-17</v>
      </c>
      <c r="BS149" s="22">
        <f t="shared" si="117"/>
        <v>0.97046198374013015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1.7053025658242404E-13</v>
      </c>
      <c r="BZ149" s="13">
        <f>BY149*VLOOKUP('Données projet'!$B$12,Paramètres!$A$1:$I$89,3,0)*VLOOKUP('Données projet'!$B$12,Paramètres!$A$1:$I$89,5,0)</f>
        <v>1.3301360013429075E-13</v>
      </c>
      <c r="CA149" s="13">
        <f t="shared" si="147"/>
        <v>1.9329766731057041E-12</v>
      </c>
      <c r="CB149" s="20">
        <f t="shared" si="118"/>
        <v>3.5982663925596575E-12</v>
      </c>
      <c r="CC149" s="59">
        <f t="shared" si="119"/>
        <v>293.3333333333369</v>
      </c>
      <c r="CD149" s="59">
        <f ca="1">AVERAGE(OFFSET($CC$3,0,0,'Données projet'!$E$12+1,1))-AVERAGE(OFFSET($H$3,0,0,'Données projet'!$E$12+1,1))</f>
        <v>266.30229009596883</v>
      </c>
      <c r="CE149" s="59">
        <f t="shared" si="148"/>
        <v>270.19195828386046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0.14537019114524224</v>
      </c>
      <c r="CL149" s="21">
        <f>EXP(-LN(2)/25)*CL148+(1-EXP(-LN(2)/25))/(LN(2)/25)*Calculateur!CG149*Calculateur!CI149*VLOOKUP('Données projet'!$B$12,Paramètres!$A$1:$I$89,3,0)*0.475*44/12</f>
        <v>0.33572506491429044</v>
      </c>
      <c r="CM149" s="21">
        <f>EXP(-LN(2)/2)*CM148+(1-EXP(-LN(2)/2))/(LN(2)/2)*CG149*CJ149*VLOOKUP('Données projet'!$B$12,Paramètres!$A$1:$I$89,3,0)*0.475*44/12</f>
        <v>4.5349764210215455E-17</v>
      </c>
      <c r="CN149" s="22">
        <f t="shared" si="120"/>
        <v>0.48109525605953274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-5.1159076974727213E-13</v>
      </c>
      <c r="CU149" s="17">
        <f>CT149*VLOOKUP('Données projet'!$B$13,Paramètres!$A$1:$I$89,3,0)*VLOOKUP('Données projet'!$B$13,Paramètres!$A$1:$I$89,5,0)</f>
        <v>-4.0702161641092972E-13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260.20517190557814</v>
      </c>
      <c r="CZ149" s="59">
        <f t="shared" si="150"/>
        <v>307.22009971147133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0.32803212721039132</v>
      </c>
      <c r="DG149" s="21">
        <f>EXP(-LN(2)/25)*DG148+(1-EXP(-LN(2)/25))/(LN(2)/25)*Calculateur!DB149*Calculateur!DD149*VLOOKUP('Données projet'!$B$13,Paramètres!$A$1:$I$89,3,0)*0.475*44/12</f>
        <v>0.82298092327208761</v>
      </c>
      <c r="DH149" s="21">
        <f>EXP(-LN(2)/2)*DH148+(1-EXP(-LN(2)/2))/(LN(2)/2)*DB149*DE149*VLOOKUP('Données projet'!$B$13,Paramètres!$A$1:$I$89,3,0)*0.475*44/12</f>
        <v>8.3402154116137294E-17</v>
      </c>
      <c r="DI149" s="22">
        <f t="shared" si="123"/>
        <v>1.1510130504824789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-3.4106051316484809E-13</v>
      </c>
      <c r="DP149" s="17">
        <f>DO149*VLOOKUP('Données projet'!$B$14,Paramètres!$A$1:$I$89,3,0)*VLOOKUP('Données projet'!$B$14,Paramètres!$A$1:$I$89,5,0)</f>
        <v>-3.2987372833304104E-13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347.8889410585312</v>
      </c>
      <c r="DU149" s="59">
        <f t="shared" si="152"/>
        <v>254.78167322479203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0.25883348905450321</v>
      </c>
      <c r="EB149" s="21">
        <f>EXP(-LN(2)/25)*EB148+(1-EXP(-LN(2)/25))/(LN(2)/25)*Calculateur!DW149*Calculateur!DY149*VLOOKUP('Données projet'!$B$14,Paramètres!$A$1:$I$89,3,0)*0.475*44/12</f>
        <v>0.48372898848504109</v>
      </c>
      <c r="EC149" s="21">
        <f>EXP(-LN(2)/2)*EC148+(1-EXP(-LN(2)/2))/(LN(2)/2)*DW149*DZ149*VLOOKUP('Données projet'!$B$14,Paramètres!$A$1:$I$89,3,0)*0.475*44/12</f>
        <v>7.9935272959860991E-17</v>
      </c>
      <c r="ED149" s="22">
        <f t="shared" si="126"/>
        <v>0.74256247753954441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-3.4106051316484809E-13</v>
      </c>
      <c r="EK149" s="17">
        <f>EJ149*VLOOKUP('Données projet'!$B$15,Paramètres!$A$1:$I$89,3,0)*VLOOKUP('Données projet'!$B$15,Paramètres!$A$1:$I$89,5,0)</f>
        <v>-3.6711753637064249E-13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399.38728019348088</v>
      </c>
      <c r="EP149" s="59">
        <f t="shared" si="154"/>
        <v>289.54922160039791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0.28805662491549555</v>
      </c>
      <c r="EW149" s="21">
        <f>EXP(-LN(2)/25)*EW148+(1-EXP(-LN(2)/25))/(LN(2)/25)*Calculateur!ER149*Calculateur!ET149*VLOOKUP('Données projet'!$B$15,Paramètres!$A$1:$I$89,3,0)*0.475*44/12</f>
        <v>0.53834355170109471</v>
      </c>
      <c r="EX149" s="21">
        <f>EXP(-LN(2)/2)*EX148+(1-EXP(-LN(2)/2))/(LN(2)/2)*ER149*EU149*VLOOKUP('Données projet'!$B$15,Paramètres!$A$1:$I$89,3,0)*0.475*44/12</f>
        <v>8.8960223132748529E-17</v>
      </c>
      <c r="EY149" s="22">
        <f t="shared" si="129"/>
        <v>0.82640017661659038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-3.0859155231155454E-13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318.40875902853116</v>
      </c>
      <c r="T150" s="59">
        <f t="shared" si="142"/>
        <v>234.87694492493506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0.23738644335492043</v>
      </c>
      <c r="AA150" s="21">
        <f>EXP(-LN(2)/25)*AA149+(1-EXP(-LN(2)/25))/(LN(2)/25)*Calculateur!V150*Calculateur!X150*VLOOKUP('Données projet'!$B$9,Paramètres!$A$1:$I$89,3,0)*0.475*44/12</f>
        <v>0.44014646522079864</v>
      </c>
      <c r="AB150" s="21">
        <f>EXP(-LN(2)/2)*AB149+(1-EXP(-LN(2)/2))/(LN(2)/2)*V150*Y150*VLOOKUP('Données projet'!$B$9,Paramètres!$A$1:$I$89,3,0)*0.475*44/12</f>
        <v>5.2876143013275917E-17</v>
      </c>
      <c r="AC150" s="22">
        <f t="shared" si="111"/>
        <v>0.67753290857571913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243.38048563215585</v>
      </c>
      <c r="AO150" s="59">
        <f t="shared" si="144"/>
        <v>372.1604147006675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0.72034506949079391</v>
      </c>
      <c r="AV150" s="21">
        <f>EXP(-LN(2)/25)*AV149+(1-EXP(-LN(2)/25))/(LN(2)/25)*Calculateur!AQ150*Calculateur!AS150*VLOOKUP('Données projet'!$B$10,Paramètres!$A$1:$I$89,3,0)*0.475*44/12</f>
        <v>0.7553347200128433</v>
      </c>
      <c r="AW150" s="21">
        <f>EXP(-LN(2)/2)*AW149+(1-EXP(-LN(2)/2))/(LN(2)/2)*AQ150*AT150*VLOOKUP('Données projet'!$B$10,Paramètres!$A$1:$I$89,3,0)*0.475*44/12</f>
        <v>7.1917445289623733E-17</v>
      </c>
      <c r="AX150" s="21">
        <f t="shared" si="114"/>
        <v>1.4756797895036371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-5.1159076974727213E-13</v>
      </c>
      <c r="BE150" s="13">
        <f>BD150*VLOOKUP('Données projet'!$B$11,Paramètres!$A$1:$I$89,3,0)*VLOOKUP('Données projet'!$B$11,Paramètres!$A$1:$I$89,5,0)</f>
        <v>-3.4317508834647017E-13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207.93042467236967</v>
      </c>
      <c r="BJ150" s="59">
        <f t="shared" si="146"/>
        <v>250.70954318710835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0.27115261848730143</v>
      </c>
      <c r="BQ150" s="21">
        <f>EXP(-LN(2)/25)*BQ149+(1-EXP(-LN(2)/25))/(LN(2)/25)*Calculateur!BL150*Calculateur!BN150*VLOOKUP('Données projet'!$B$11,Paramètres!$A$1:$I$89,3,0)*0.475*44/12</f>
        <v>0.6749115307019744</v>
      </c>
      <c r="BR150" s="21">
        <f>EXP(-LN(2)/2)*BR149+(1-EXP(-LN(2)/2))/(LN(2)/2)*BL150*BO150*VLOOKUP('Données projet'!$B$11,Paramètres!$A$1:$I$89,3,0)*0.475*44/12</f>
        <v>4.9723369330719741E-17</v>
      </c>
      <c r="BS150" s="22">
        <f t="shared" si="117"/>
        <v>0.94606414918927584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1.7053025658242404E-13</v>
      </c>
      <c r="BZ150" s="13">
        <f>BY150*VLOOKUP('Données projet'!$B$12,Paramètres!$A$1:$I$89,3,0)*VLOOKUP('Données projet'!$B$12,Paramètres!$A$1:$I$89,5,0)</f>
        <v>1.3301360013429075E-13</v>
      </c>
      <c r="CA150" s="13">
        <f t="shared" si="147"/>
        <v>1.9329766731057041E-12</v>
      </c>
      <c r="CB150" s="20">
        <f t="shared" si="118"/>
        <v>3.5982663925596575E-12</v>
      </c>
      <c r="CC150" s="59">
        <f t="shared" si="119"/>
        <v>293.3333333333369</v>
      </c>
      <c r="CD150" s="59">
        <f ca="1">AVERAGE(OFFSET($CC$3,0,0,'Données projet'!$E$12+1,1))-AVERAGE(OFFSET($H$3,0,0,'Données projet'!$E$12+1,1))</f>
        <v>266.30229009596883</v>
      </c>
      <c r="CE150" s="59">
        <f t="shared" si="148"/>
        <v>270.19195828386046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0.1425195703639455</v>
      </c>
      <c r="CL150" s="21">
        <f>EXP(-LN(2)/25)*CL149+(1-EXP(-LN(2)/25))/(LN(2)/25)*Calculateur!CG150*Calculateur!CI150*VLOOKUP('Données projet'!$B$12,Paramètres!$A$1:$I$89,3,0)*0.475*44/12</f>
        <v>0.32654464535919531</v>
      </c>
      <c r="CM150" s="21">
        <f>EXP(-LN(2)/2)*CM149+(1-EXP(-LN(2)/2))/(LN(2)/2)*CG150*CJ150*VLOOKUP('Données projet'!$B$12,Paramètres!$A$1:$I$89,3,0)*0.475*44/12</f>
        <v>3.2067125798254343E-17</v>
      </c>
      <c r="CN150" s="22">
        <f t="shared" si="120"/>
        <v>0.46906421572314089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-5.1159076974727213E-13</v>
      </c>
      <c r="CU150" s="17">
        <f>CT150*VLOOKUP('Données projet'!$B$13,Paramètres!$A$1:$I$89,3,0)*VLOOKUP('Données projet'!$B$13,Paramètres!$A$1:$I$89,5,0)</f>
        <v>-4.0702161641092972E-13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260.20517190557814</v>
      </c>
      <c r="CZ150" s="59">
        <f t="shared" si="150"/>
        <v>307.22009971147133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0.32159961727563691</v>
      </c>
      <c r="DG150" s="21">
        <f>EXP(-LN(2)/25)*DG149+(1-EXP(-LN(2)/25))/(LN(2)/25)*Calculateur!DB150*Calculateur!DD150*VLOOKUP('Données projet'!$B$13,Paramètres!$A$1:$I$89,3,0)*0.475*44/12</f>
        <v>0.80047646664652661</v>
      </c>
      <c r="DH150" s="21">
        <f>EXP(-LN(2)/2)*DH149+(1-EXP(-LN(2)/2))/(LN(2)/2)*DB150*DE150*VLOOKUP('Données projet'!$B$13,Paramètres!$A$1:$I$89,3,0)*0.475*44/12</f>
        <v>5.8974228741086207E-17</v>
      </c>
      <c r="DI150" s="22">
        <f t="shared" si="123"/>
        <v>1.1220760839221635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-3.4106051316484809E-13</v>
      </c>
      <c r="DP150" s="17">
        <f>DO150*VLOOKUP('Données projet'!$B$14,Paramètres!$A$1:$I$89,3,0)*VLOOKUP('Données projet'!$B$14,Paramètres!$A$1:$I$89,5,0)</f>
        <v>-3.2987372833304104E-13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347.8889410585312</v>
      </c>
      <c r="DU150" s="59">
        <f t="shared" si="152"/>
        <v>254.78167322479203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0.25375792220698407</v>
      </c>
      <c r="EB150" s="21">
        <f>EXP(-LN(2)/25)*EB149+(1-EXP(-LN(2)/25))/(LN(2)/25)*Calculateur!DW150*Calculateur!DY150*VLOOKUP('Données projet'!$B$14,Paramètres!$A$1:$I$89,3,0)*0.475*44/12</f>
        <v>0.47050139385671569</v>
      </c>
      <c r="EC150" s="21">
        <f>EXP(-LN(2)/2)*EC149+(1-EXP(-LN(2)/2))/(LN(2)/2)*DW150*DZ150*VLOOKUP('Données projet'!$B$14,Paramètres!$A$1:$I$89,3,0)*0.475*44/12</f>
        <v>5.6522773565915374E-17</v>
      </c>
      <c r="ED150" s="22">
        <f t="shared" si="126"/>
        <v>0.72425931606369987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-3.4106051316484809E-13</v>
      </c>
      <c r="EK150" s="17">
        <f>EJ150*VLOOKUP('Données projet'!$B$15,Paramètres!$A$1:$I$89,3,0)*VLOOKUP('Données projet'!$B$15,Paramètres!$A$1:$I$89,5,0)</f>
        <v>-3.6711753637064249E-13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399.38728019348088</v>
      </c>
      <c r="EP150" s="59">
        <f t="shared" si="154"/>
        <v>289.54922160039791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0.28240801019809525</v>
      </c>
      <c r="EW150" s="21">
        <f>EXP(-LN(2)/25)*EW149+(1-EXP(-LN(2)/25))/(LN(2)/25)*Calculateur!ER150*Calculateur!ET150*VLOOKUP('Données projet'!$B$15,Paramètres!$A$1:$I$89,3,0)*0.475*44/12</f>
        <v>0.52362251896957135</v>
      </c>
      <c r="EX150" s="21">
        <f>EXP(-LN(2)/2)*EX149+(1-EXP(-LN(2)/2))/(LN(2)/2)*ER150*EU150*VLOOKUP('Données projet'!$B$15,Paramètres!$A$1:$I$89,3,0)*0.475*44/12</f>
        <v>6.2904377033034857E-17</v>
      </c>
      <c r="EY150" s="22">
        <f t="shared" si="129"/>
        <v>0.80603052916766671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-3.0859155231155454E-13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318.40875902853116</v>
      </c>
      <c r="T151" s="59">
        <f t="shared" si="142"/>
        <v>234.87694492493506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0.23273143999216392</v>
      </c>
      <c r="AA151" s="21">
        <f>EXP(-LN(2)/25)*AA150+(1-EXP(-LN(2)/25))/(LN(2)/25)*Calculateur!V151*Calculateur!X151*VLOOKUP('Données projet'!$B$9,Paramètres!$A$1:$I$89,3,0)*0.475*44/12</f>
        <v>0.42811063698303925</v>
      </c>
      <c r="AB151" s="21">
        <f>EXP(-LN(2)/2)*AB150+(1-EXP(-LN(2)/2))/(LN(2)/2)*V151*Y151*VLOOKUP('Données projet'!$B$9,Paramètres!$A$1:$I$89,3,0)*0.475*44/12</f>
        <v>3.7389079287677087E-17</v>
      </c>
      <c r="AC151" s="22">
        <f t="shared" si="111"/>
        <v>0.66084207697520314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243.38048563215585</v>
      </c>
      <c r="AO151" s="59">
        <f t="shared" si="144"/>
        <v>372.1604147006675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0.70621954204518789</v>
      </c>
      <c r="AV151" s="21">
        <f>EXP(-LN(2)/25)*AV150+(1-EXP(-LN(2)/25))/(LN(2)/25)*Calculateur!AQ151*Calculateur!AS151*VLOOKUP('Données projet'!$B$10,Paramètres!$A$1:$I$89,3,0)*0.475*44/12</f>
        <v>0.73468005237276546</v>
      </c>
      <c r="AW151" s="21">
        <f>EXP(-LN(2)/2)*AW150+(1-EXP(-LN(2)/2))/(LN(2)/2)*AQ151*AT151*VLOOKUP('Données projet'!$B$10,Paramètres!$A$1:$I$89,3,0)*0.475*44/12</f>
        <v>5.0853313249905473E-17</v>
      </c>
      <c r="AX151" s="21">
        <f t="shared" si="114"/>
        <v>1.4408995944179535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-5.1159076974727213E-13</v>
      </c>
      <c r="BE151" s="13">
        <f>BD151*VLOOKUP('Données projet'!$B$11,Paramètres!$A$1:$I$89,3,0)*VLOOKUP('Données projet'!$B$11,Paramètres!$A$1:$I$89,5,0)</f>
        <v>-3.4317508834647017E-13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207.93042467236967</v>
      </c>
      <c r="BJ151" s="59">
        <f t="shared" si="146"/>
        <v>250.70954318710835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0.26583548102553212</v>
      </c>
      <c r="BQ151" s="21">
        <f>EXP(-LN(2)/25)*BQ150+(1-EXP(-LN(2)/25))/(LN(2)/25)*Calculateur!BL151*Calculateur!BN151*VLOOKUP('Données projet'!$B$11,Paramètres!$A$1:$I$89,3,0)*0.475*44/12</f>
        <v>0.656456039402874</v>
      </c>
      <c r="BR151" s="21">
        <f>EXP(-LN(2)/2)*BR150+(1-EXP(-LN(2)/2))/(LN(2)/2)*BL151*BO151*VLOOKUP('Données projet'!$B$11,Paramètres!$A$1:$I$89,3,0)*0.475*44/12</f>
        <v>3.5159731637195131E-17</v>
      </c>
      <c r="BS151" s="22">
        <f t="shared" si="117"/>
        <v>0.92229152042840612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1.7053025658242404E-13</v>
      </c>
      <c r="BZ151" s="13">
        <f>BY151*VLOOKUP('Données projet'!$B$12,Paramètres!$A$1:$I$89,3,0)*VLOOKUP('Données projet'!$B$12,Paramètres!$A$1:$I$89,5,0)</f>
        <v>1.3301360013429075E-13</v>
      </c>
      <c r="CA151" s="13">
        <f t="shared" si="147"/>
        <v>1.9329766731057041E-12</v>
      </c>
      <c r="CB151" s="20">
        <f t="shared" si="118"/>
        <v>3.5982663925596575E-12</v>
      </c>
      <c r="CC151" s="59">
        <f t="shared" si="119"/>
        <v>293.3333333333369</v>
      </c>
      <c r="CD151" s="59">
        <f ca="1">AVERAGE(OFFSET($CC$3,0,0,'Données projet'!$E$12+1,1))-AVERAGE(OFFSET($H$3,0,0,'Données projet'!$E$12+1,1))</f>
        <v>266.30229009596883</v>
      </c>
      <c r="CE151" s="59">
        <f t="shared" si="148"/>
        <v>270.19195828386046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0.13972484851746297</v>
      </c>
      <c r="CL151" s="21">
        <f>EXP(-LN(2)/25)*CL150+(1-EXP(-LN(2)/25))/(LN(2)/25)*Calculateur!CG151*Calculateur!CI151*VLOOKUP('Données projet'!$B$12,Paramètres!$A$1:$I$89,3,0)*0.475*44/12</f>
        <v>0.31761526485961156</v>
      </c>
      <c r="CM151" s="21">
        <f>EXP(-LN(2)/2)*CM150+(1-EXP(-LN(2)/2))/(LN(2)/2)*CG151*CJ151*VLOOKUP('Données projet'!$B$12,Paramètres!$A$1:$I$89,3,0)*0.475*44/12</f>
        <v>2.2674882105107727E-17</v>
      </c>
      <c r="CN151" s="22">
        <f t="shared" si="120"/>
        <v>0.45734011337707453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-5.1159076974727213E-13</v>
      </c>
      <c r="CU151" s="17">
        <f>CT151*VLOOKUP('Données projet'!$B$13,Paramètres!$A$1:$I$89,3,0)*VLOOKUP('Données projet'!$B$13,Paramètres!$A$1:$I$89,5,0)</f>
        <v>-4.0702161641092972E-13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260.20517190557814</v>
      </c>
      <c r="CZ151" s="59">
        <f t="shared" si="150"/>
        <v>307.22009971147133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0.31529324493725935</v>
      </c>
      <c r="DG151" s="21">
        <f>EXP(-LN(2)/25)*DG150+(1-EXP(-LN(2)/25))/(LN(2)/25)*Calculateur!DB151*Calculateur!DD151*VLOOKUP('Données projet'!$B$13,Paramètres!$A$1:$I$89,3,0)*0.475*44/12</f>
        <v>0.77858739557084944</v>
      </c>
      <c r="DH151" s="21">
        <f>EXP(-LN(2)/2)*DH150+(1-EXP(-LN(2)/2))/(LN(2)/2)*DB151*DE151*VLOOKUP('Données projet'!$B$13,Paramètres!$A$1:$I$89,3,0)*0.475*44/12</f>
        <v>4.1701077058068647E-17</v>
      </c>
      <c r="DI151" s="22">
        <f t="shared" si="123"/>
        <v>1.0938806405081087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-3.4106051316484809E-13</v>
      </c>
      <c r="DP151" s="17">
        <f>DO151*VLOOKUP('Données projet'!$B$14,Paramètres!$A$1:$I$89,3,0)*VLOOKUP('Données projet'!$B$14,Paramètres!$A$1:$I$89,5,0)</f>
        <v>-3.2987372833304104E-13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347.8889410585312</v>
      </c>
      <c r="DU151" s="59">
        <f t="shared" si="152"/>
        <v>254.78167322479203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0.24878188412955468</v>
      </c>
      <c r="EB151" s="21">
        <f>EXP(-LN(2)/25)*EB150+(1-EXP(-LN(2)/25))/(LN(2)/25)*Calculateur!DW151*Calculateur!DY151*VLOOKUP('Données projet'!$B$14,Paramètres!$A$1:$I$89,3,0)*0.475*44/12</f>
        <v>0.45763550849911083</v>
      </c>
      <c r="EC151" s="21">
        <f>EXP(-LN(2)/2)*EC150+(1-EXP(-LN(2)/2))/(LN(2)/2)*DW151*DZ151*VLOOKUP('Données projet'!$B$14,Paramètres!$A$1:$I$89,3,0)*0.475*44/12</f>
        <v>3.9967636479930495E-17</v>
      </c>
      <c r="ED151" s="22">
        <f t="shared" si="126"/>
        <v>0.70641739262866554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-3.4106051316484809E-13</v>
      </c>
      <c r="EK151" s="17">
        <f>EJ151*VLOOKUP('Données projet'!$B$15,Paramètres!$A$1:$I$89,3,0)*VLOOKUP('Données projet'!$B$15,Paramètres!$A$1:$I$89,5,0)</f>
        <v>-3.6711753637064249E-13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399.38728019348088</v>
      </c>
      <c r="EP151" s="59">
        <f t="shared" si="154"/>
        <v>289.54922160039791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0.27687016136998838</v>
      </c>
      <c r="EW151" s="21">
        <f>EXP(-LN(2)/25)*EW150+(1-EXP(-LN(2)/25))/(LN(2)/25)*Calculateur!ER151*Calculateur!ET151*VLOOKUP('Données projet'!$B$15,Paramètres!$A$1:$I$89,3,0)*0.475*44/12</f>
        <v>0.50930403365223686</v>
      </c>
      <c r="EX151" s="21">
        <f>EXP(-LN(2)/2)*EX150+(1-EXP(-LN(2)/2))/(LN(2)/2)*ER151*EU151*VLOOKUP('Données projet'!$B$15,Paramètres!$A$1:$I$89,3,0)*0.475*44/12</f>
        <v>4.4480111566374264E-17</v>
      </c>
      <c r="EY151" s="22">
        <f t="shared" si="129"/>
        <v>0.78617419502222519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-3.0859155231155454E-13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318.40875902853116</v>
      </c>
      <c r="T152" s="59">
        <f t="shared" si="142"/>
        <v>234.87694492493506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0.22816771840607936</v>
      </c>
      <c r="AA152" s="21">
        <f>EXP(-LN(2)/25)*AA151+(1-EXP(-LN(2)/25))/(LN(2)/25)*Calculateur!V152*Calculateur!X152*VLOOKUP('Données projet'!$B$9,Paramètres!$A$1:$I$89,3,0)*0.475*44/12</f>
        <v>0.41640392910137808</v>
      </c>
      <c r="AB152" s="21">
        <f>EXP(-LN(2)/2)*AB151+(1-EXP(-LN(2)/2))/(LN(2)/2)*V152*Y152*VLOOKUP('Données projet'!$B$9,Paramètres!$A$1:$I$89,3,0)*0.475*44/12</f>
        <v>2.6438071506637958E-17</v>
      </c>
      <c r="AC152" s="22">
        <f t="shared" si="111"/>
        <v>0.64457164750745743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243.38048563215585</v>
      </c>
      <c r="AO152" s="59">
        <f t="shared" si="144"/>
        <v>372.1604147006675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0.69237100757706926</v>
      </c>
      <c r="AV152" s="21">
        <f>EXP(-LN(2)/25)*AV151+(1-EXP(-LN(2)/25))/(LN(2)/25)*Calculateur!AQ152*Calculateur!AS152*VLOOKUP('Données projet'!$B$10,Paramètres!$A$1:$I$89,3,0)*0.475*44/12</f>
        <v>0.71459018770548732</v>
      </c>
      <c r="AW152" s="21">
        <f>EXP(-LN(2)/2)*AW151+(1-EXP(-LN(2)/2))/(LN(2)/2)*AQ152*AT152*VLOOKUP('Données projet'!$B$10,Paramètres!$A$1:$I$89,3,0)*0.475*44/12</f>
        <v>3.5958722644811867E-17</v>
      </c>
      <c r="AX152" s="21">
        <f t="shared" si="114"/>
        <v>1.4069611952825567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-5.1159076974727213E-13</v>
      </c>
      <c r="BE152" s="13">
        <f>BD152*VLOOKUP('Données projet'!$B$11,Paramètres!$A$1:$I$89,3,0)*VLOOKUP('Données projet'!$B$11,Paramètres!$A$1:$I$89,5,0)</f>
        <v>-3.4317508834647017E-13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207.93042467236967</v>
      </c>
      <c r="BJ152" s="59">
        <f t="shared" si="146"/>
        <v>250.70954318710835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0.26062260938625448</v>
      </c>
      <c r="BQ152" s="21">
        <f>EXP(-LN(2)/25)*BQ151+(1-EXP(-LN(2)/25))/(LN(2)/25)*Calculateur!BL152*Calculateur!BN152*VLOOKUP('Données projet'!$B$11,Paramètres!$A$1:$I$89,3,0)*0.475*44/12</f>
        <v>0.63850521448387965</v>
      </c>
      <c r="BR152" s="21">
        <f>EXP(-LN(2)/2)*BR151+(1-EXP(-LN(2)/2))/(LN(2)/2)*BL152*BO152*VLOOKUP('Données projet'!$B$11,Paramètres!$A$1:$I$89,3,0)*0.475*44/12</f>
        <v>2.486168466535987E-17</v>
      </c>
      <c r="BS152" s="22">
        <f t="shared" si="117"/>
        <v>0.89912782387013412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1.7053025658242404E-13</v>
      </c>
      <c r="BZ152" s="13">
        <f>BY152*VLOOKUP('Données projet'!$B$12,Paramètres!$A$1:$I$89,3,0)*VLOOKUP('Données projet'!$B$12,Paramètres!$A$1:$I$89,5,0)</f>
        <v>1.3301360013429075E-13</v>
      </c>
      <c r="CA152" s="13">
        <f t="shared" si="147"/>
        <v>1.9329766731057041E-12</v>
      </c>
      <c r="CB152" s="20">
        <f t="shared" si="118"/>
        <v>3.5982663925596575E-12</v>
      </c>
      <c r="CC152" s="59">
        <f t="shared" si="119"/>
        <v>293.3333333333369</v>
      </c>
      <c r="CD152" s="59">
        <f ca="1">AVERAGE(OFFSET($CC$3,0,0,'Données projet'!$E$12+1,1))-AVERAGE(OFFSET($H$3,0,0,'Données projet'!$E$12+1,1))</f>
        <v>266.30229009596883</v>
      </c>
      <c r="CE152" s="59">
        <f t="shared" si="148"/>
        <v>270.19195828386046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0.13698492946177798</v>
      </c>
      <c r="CL152" s="21">
        <f>EXP(-LN(2)/25)*CL151+(1-EXP(-LN(2)/25))/(LN(2)/25)*Calculateur!CG152*Calculateur!CI152*VLOOKUP('Données projet'!$B$12,Paramètres!$A$1:$I$89,3,0)*0.475*44/12</f>
        <v>0.30893005873936463</v>
      </c>
      <c r="CM152" s="21">
        <f>EXP(-LN(2)/2)*CM151+(1-EXP(-LN(2)/2))/(LN(2)/2)*CG152*CJ152*VLOOKUP('Données projet'!$B$12,Paramètres!$A$1:$I$89,3,0)*0.475*44/12</f>
        <v>1.6033562899127172E-17</v>
      </c>
      <c r="CN152" s="22">
        <f t="shared" si="120"/>
        <v>0.44591498820114261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-5.1159076974727213E-13</v>
      </c>
      <c r="CU152" s="17">
        <f>CT152*VLOOKUP('Données projet'!$B$13,Paramètres!$A$1:$I$89,3,0)*VLOOKUP('Données projet'!$B$13,Paramètres!$A$1:$I$89,5,0)</f>
        <v>-4.0702161641092972E-13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260.20517190557814</v>
      </c>
      <c r="CZ152" s="59">
        <f t="shared" si="150"/>
        <v>307.22009971147133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0.30911053671393007</v>
      </c>
      <c r="DG152" s="21">
        <f>EXP(-LN(2)/25)*DG151+(1-EXP(-LN(2)/25))/(LN(2)/25)*Calculateur!DB152*Calculateur!DD152*VLOOKUP('Données projet'!$B$13,Paramètres!$A$1:$I$89,3,0)*0.475*44/12</f>
        <v>0.75729688229483294</v>
      </c>
      <c r="DH152" s="21">
        <f>EXP(-LN(2)/2)*DH151+(1-EXP(-LN(2)/2))/(LN(2)/2)*DB152*DE152*VLOOKUP('Données projet'!$B$13,Paramètres!$A$1:$I$89,3,0)*0.475*44/12</f>
        <v>2.9487114370543104E-17</v>
      </c>
      <c r="DI152" s="22">
        <f t="shared" si="123"/>
        <v>1.0664074190087631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-3.4106051316484809E-13</v>
      </c>
      <c r="DP152" s="17">
        <f>DO152*VLOOKUP('Données projet'!$B$14,Paramètres!$A$1:$I$89,3,0)*VLOOKUP('Données projet'!$B$14,Paramètres!$A$1:$I$89,5,0)</f>
        <v>-3.2987372833304104E-13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347.8889410585312</v>
      </c>
      <c r="DU152" s="59">
        <f t="shared" si="152"/>
        <v>254.78167322479203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0.24390342312374017</v>
      </c>
      <c r="EB152" s="21">
        <f>EXP(-LN(2)/25)*EB151+(1-EXP(-LN(2)/25))/(LN(2)/25)*Calculateur!DW152*Calculateur!DY152*VLOOKUP('Données projet'!$B$14,Paramètres!$A$1:$I$89,3,0)*0.475*44/12</f>
        <v>0.44512144145319721</v>
      </c>
      <c r="EC152" s="21">
        <f>EXP(-LN(2)/2)*EC151+(1-EXP(-LN(2)/2))/(LN(2)/2)*DW152*DZ152*VLOOKUP('Données projet'!$B$14,Paramètres!$A$1:$I$89,3,0)*0.475*44/12</f>
        <v>2.8261386782957687E-17</v>
      </c>
      <c r="ED152" s="22">
        <f t="shared" si="126"/>
        <v>0.68902486457693735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-3.4106051316484809E-13</v>
      </c>
      <c r="EK152" s="17">
        <f>EJ152*VLOOKUP('Données projet'!$B$15,Paramètres!$A$1:$I$89,3,0)*VLOOKUP('Données projet'!$B$15,Paramètres!$A$1:$I$89,5,0)</f>
        <v>-3.6711753637064249E-13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399.38728019348088</v>
      </c>
      <c r="EP152" s="59">
        <f t="shared" si="154"/>
        <v>289.54922160039791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0.27144090637964641</v>
      </c>
      <c r="EW152" s="21">
        <f>EXP(-LN(2)/25)*EW151+(1-EXP(-LN(2)/25))/(LN(2)/25)*Calculateur!ER152*Calculateur!ET152*VLOOKUP('Données projet'!$B$15,Paramètres!$A$1:$I$89,3,0)*0.475*44/12</f>
        <v>0.49537708806888137</v>
      </c>
      <c r="EX152" s="21">
        <f>EXP(-LN(2)/2)*EX151+(1-EXP(-LN(2)/2))/(LN(2)/2)*ER152*EU152*VLOOKUP('Données projet'!$B$15,Paramètres!$A$1:$I$89,3,0)*0.475*44/12</f>
        <v>3.1452188516517428E-17</v>
      </c>
      <c r="EY152" s="22">
        <f t="shared" si="129"/>
        <v>0.76681799444852783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-3.0859155231155454E-13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318.40875902853116</v>
      </c>
      <c r="T153" s="59">
        <f t="shared" si="142"/>
        <v>234.87694492493506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0.2236934886167026</v>
      </c>
      <c r="AA153" s="21">
        <f>EXP(-LN(2)/25)*AA152+(1-EXP(-LN(2)/25))/(LN(2)/25)*Calculateur!V153*Calculateur!X153*VLOOKUP('Données projet'!$B$9,Paramètres!$A$1:$I$89,3,0)*0.475*44/12</f>
        <v>0.40501734176236998</v>
      </c>
      <c r="AB153" s="21">
        <f>EXP(-LN(2)/2)*AB152+(1-EXP(-LN(2)/2))/(LN(2)/2)*V153*Y153*VLOOKUP('Données projet'!$B$9,Paramètres!$A$1:$I$89,3,0)*0.475*44/12</f>
        <v>1.8694539643838543E-17</v>
      </c>
      <c r="AC153" s="22">
        <f t="shared" si="111"/>
        <v>0.6287108303790726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243.38048563215585</v>
      </c>
      <c r="AO153" s="59">
        <f t="shared" si="144"/>
        <v>372.1604147006675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0.67879403442309849</v>
      </c>
      <c r="AV153" s="21">
        <f>EXP(-LN(2)/25)*AV152+(1-EXP(-LN(2)/25))/(LN(2)/25)*Calculateur!AQ153*Calculateur!AS153*VLOOKUP('Données projet'!$B$10,Paramètres!$A$1:$I$89,3,0)*0.475*44/12</f>
        <v>0.69504968144401602</v>
      </c>
      <c r="AW153" s="21">
        <f>EXP(-LN(2)/2)*AW152+(1-EXP(-LN(2)/2))/(LN(2)/2)*AQ153*AT153*VLOOKUP('Données projet'!$B$10,Paramètres!$A$1:$I$89,3,0)*0.475*44/12</f>
        <v>2.5426656624952736E-17</v>
      </c>
      <c r="AX153" s="21">
        <f t="shared" si="114"/>
        <v>1.3738437158671144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-5.1159076974727213E-13</v>
      </c>
      <c r="BE153" s="13">
        <f>BD153*VLOOKUP('Données projet'!$B$11,Paramètres!$A$1:$I$89,3,0)*VLOOKUP('Données projet'!$B$11,Paramètres!$A$1:$I$89,5,0)</f>
        <v>-3.4317508834647017E-13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207.93042467236967</v>
      </c>
      <c r="BJ153" s="59">
        <f t="shared" si="146"/>
        <v>250.70954318710835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0.25551195898028534</v>
      </c>
      <c r="BQ153" s="21">
        <f>EXP(-LN(2)/25)*BQ152+(1-EXP(-LN(2)/25))/(LN(2)/25)*Calculateur!BL153*Calculateur!BN153*VLOOKUP('Données projet'!$B$11,Paramètres!$A$1:$I$89,3,0)*0.475*44/12</f>
        <v>0.621045255816288</v>
      </c>
      <c r="BR153" s="21">
        <f>EXP(-LN(2)/2)*BR152+(1-EXP(-LN(2)/2))/(LN(2)/2)*BL153*BO153*VLOOKUP('Données projet'!$B$11,Paramètres!$A$1:$I$89,3,0)*0.475*44/12</f>
        <v>1.7579865818597566E-17</v>
      </c>
      <c r="BS153" s="22">
        <f t="shared" si="117"/>
        <v>0.87655721479657334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1.7053025658242404E-13</v>
      </c>
      <c r="BZ153" s="13">
        <f>BY153*VLOOKUP('Données projet'!$B$12,Paramètres!$A$1:$I$89,3,0)*VLOOKUP('Données projet'!$B$12,Paramètres!$A$1:$I$89,5,0)</f>
        <v>1.3301360013429075E-13</v>
      </c>
      <c r="CA153" s="13">
        <f t="shared" si="147"/>
        <v>1.9329766731057041E-12</v>
      </c>
      <c r="CB153" s="20">
        <f t="shared" si="118"/>
        <v>3.5982663925596575E-12</v>
      </c>
      <c r="CC153" s="59">
        <f t="shared" si="119"/>
        <v>293.3333333333369</v>
      </c>
      <c r="CD153" s="59">
        <f ca="1">AVERAGE(OFFSET($CC$3,0,0,'Données projet'!$E$12+1,1))-AVERAGE(OFFSET($H$3,0,0,'Données projet'!$E$12+1,1))</f>
        <v>266.30229009596883</v>
      </c>
      <c r="CE153" s="59">
        <f t="shared" si="148"/>
        <v>270.19195828386046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0.13429873854758936</v>
      </c>
      <c r="CL153" s="21">
        <f>EXP(-LN(2)/25)*CL152+(1-EXP(-LN(2)/25))/(LN(2)/25)*Calculateur!CG153*Calculateur!CI153*VLOOKUP('Données projet'!$B$12,Paramètres!$A$1:$I$89,3,0)*0.475*44/12</f>
        <v>0.30048235003721097</v>
      </c>
      <c r="CM153" s="21">
        <f>EXP(-LN(2)/2)*CM152+(1-EXP(-LN(2)/2))/(LN(2)/2)*CG153*CJ153*VLOOKUP('Données projet'!$B$12,Paramètres!$A$1:$I$89,3,0)*0.475*44/12</f>
        <v>1.1337441052553864E-17</v>
      </c>
      <c r="CN153" s="22">
        <f t="shared" si="120"/>
        <v>0.43478108858480036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-5.1159076974727213E-13</v>
      </c>
      <c r="CU153" s="17">
        <f>CT153*VLOOKUP('Données projet'!$B$13,Paramètres!$A$1:$I$89,3,0)*VLOOKUP('Données projet'!$B$13,Paramètres!$A$1:$I$89,5,0)</f>
        <v>-4.0702161641092972E-13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260.20517190557814</v>
      </c>
      <c r="CZ153" s="59">
        <f t="shared" si="150"/>
        <v>307.22009971147133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0.30304906762778067</v>
      </c>
      <c r="DG153" s="21">
        <f>EXP(-LN(2)/25)*DG152+(1-EXP(-LN(2)/25))/(LN(2)/25)*Calculateur!DB153*Calculateur!DD153*VLOOKUP('Données projet'!$B$13,Paramètres!$A$1:$I$89,3,0)*0.475*44/12</f>
        <v>0.73658855922396849</v>
      </c>
      <c r="DH153" s="21">
        <f>EXP(-LN(2)/2)*DH152+(1-EXP(-LN(2)/2))/(LN(2)/2)*DB153*DE153*VLOOKUP('Données projet'!$B$13,Paramètres!$A$1:$I$89,3,0)*0.475*44/12</f>
        <v>2.0850538529034324E-17</v>
      </c>
      <c r="DI153" s="22">
        <f t="shared" si="123"/>
        <v>1.0396376268517491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-3.4106051316484809E-13</v>
      </c>
      <c r="DP153" s="17">
        <f>DO153*VLOOKUP('Données projet'!$B$14,Paramètres!$A$1:$I$89,3,0)*VLOOKUP('Données projet'!$B$14,Paramètres!$A$1:$I$89,5,0)</f>
        <v>-3.2987372833304104E-13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347.8889410585312</v>
      </c>
      <c r="DU153" s="59">
        <f t="shared" si="152"/>
        <v>254.78167322479203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0.23912062576268225</v>
      </c>
      <c r="EB153" s="21">
        <f>EXP(-LN(2)/25)*EB152+(1-EXP(-LN(2)/25))/(LN(2)/25)*Calculateur!DW153*Calculateur!DY153*VLOOKUP('Données projet'!$B$14,Paramètres!$A$1:$I$89,3,0)*0.475*44/12</f>
        <v>0.43294957222874025</v>
      </c>
      <c r="EC153" s="21">
        <f>EXP(-LN(2)/2)*EC152+(1-EXP(-LN(2)/2))/(LN(2)/2)*DW153*DZ153*VLOOKUP('Données projet'!$B$14,Paramètres!$A$1:$I$89,3,0)*0.475*44/12</f>
        <v>1.9983818239965248E-17</v>
      </c>
      <c r="ED153" s="22">
        <f t="shared" si="126"/>
        <v>0.67207019799142254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-3.4106051316484809E-13</v>
      </c>
      <c r="EK153" s="17">
        <f>EJ153*VLOOKUP('Données projet'!$B$15,Paramètres!$A$1:$I$89,3,0)*VLOOKUP('Données projet'!$B$15,Paramètres!$A$1:$I$89,5,0)</f>
        <v>-3.6711753637064249E-13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399.38728019348088</v>
      </c>
      <c r="EP153" s="59">
        <f t="shared" si="154"/>
        <v>289.54922160039791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0.26611811576814648</v>
      </c>
      <c r="EW153" s="21">
        <f>EXP(-LN(2)/25)*EW152+(1-EXP(-LN(2)/25))/(LN(2)/25)*Calculateur!ER153*Calculateur!ET153*VLOOKUP('Données projet'!$B$15,Paramètres!$A$1:$I$89,3,0)*0.475*44/12</f>
        <v>0.48183097554488896</v>
      </c>
      <c r="EX153" s="21">
        <f>EXP(-LN(2)/2)*EX152+(1-EXP(-LN(2)/2))/(LN(2)/2)*ER153*EU153*VLOOKUP('Données projet'!$B$15,Paramètres!$A$1:$I$89,3,0)*0.475*44/12</f>
        <v>2.2240055783187132E-17</v>
      </c>
      <c r="EY153" s="22">
        <f t="shared" si="129"/>
        <v>0.74794909131303544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-3.0859155231155454E-13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318.40875902853116</v>
      </c>
      <c r="T154" s="59">
        <f t="shared" si="142"/>
        <v>234.87694492493506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0.21930699574448484</v>
      </c>
      <c r="AA154" s="21">
        <f>EXP(-LN(2)/25)*AA153+(1-EXP(-LN(2)/25))/(LN(2)/25)*Calculateur!V154*Calculateur!X154*VLOOKUP('Données projet'!$B$9,Paramètres!$A$1:$I$89,3,0)*0.475*44/12</f>
        <v>0.39394212125294165</v>
      </c>
      <c r="AB154" s="21">
        <f>EXP(-LN(2)/2)*AB153+(1-EXP(-LN(2)/2))/(LN(2)/2)*V154*Y154*VLOOKUP('Données projet'!$B$9,Paramètres!$A$1:$I$89,3,0)*0.475*44/12</f>
        <v>1.3219035753318979E-17</v>
      </c>
      <c r="AC154" s="22">
        <f t="shared" ref="AC154:AC203" si="163">SUM(Z154:AB154)</f>
        <v>0.61324911699742646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243.38048563215585</v>
      </c>
      <c r="AO154" s="59">
        <f t="shared" si="144"/>
        <v>372.1604147006675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0.66548329743154111</v>
      </c>
      <c r="AV154" s="21">
        <f>EXP(-LN(2)/25)*AV153+(1-EXP(-LN(2)/25))/(LN(2)/25)*Calculateur!AQ154*Calculateur!AS154*VLOOKUP('Données projet'!$B$10,Paramètres!$A$1:$I$89,3,0)*0.475*44/12</f>
        <v>0.67604351135385521</v>
      </c>
      <c r="AW154" s="21">
        <f>EXP(-LN(2)/2)*AW153+(1-EXP(-LN(2)/2))/(LN(2)/2)*AQ154*AT154*VLOOKUP('Données projet'!$B$10,Paramètres!$A$1:$I$89,3,0)*0.475*44/12</f>
        <v>1.7979361322405933E-17</v>
      </c>
      <c r="AX154" s="21">
        <f t="shared" ref="AX154:AX203" si="166">SUM(AU154:AW154)</f>
        <v>1.3415268087853964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-5.1159076974727213E-13</v>
      </c>
      <c r="BE154" s="13">
        <f>BD154*VLOOKUP('Données projet'!$B$11,Paramètres!$A$1:$I$89,3,0)*VLOOKUP('Données projet'!$B$11,Paramètres!$A$1:$I$89,5,0)</f>
        <v>-3.4317508834647017E-13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207.93042467236967</v>
      </c>
      <c r="BJ154" s="59">
        <f t="shared" si="146"/>
        <v>250.70954318710835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0.25050152531158831</v>
      </c>
      <c r="BQ154" s="21">
        <f>EXP(-LN(2)/25)*BQ153+(1-EXP(-LN(2)/25))/(LN(2)/25)*Calculateur!BL154*Calculateur!BN154*VLOOKUP('Données projet'!$B$11,Paramètres!$A$1:$I$89,3,0)*0.475*44/12</f>
        <v>0.604062740636641</v>
      </c>
      <c r="BR154" s="21">
        <f>EXP(-LN(2)/2)*BR153+(1-EXP(-LN(2)/2))/(LN(2)/2)*BL154*BO154*VLOOKUP('Données projet'!$B$11,Paramètres!$A$1:$I$89,3,0)*0.475*44/12</f>
        <v>1.2430842332679935E-17</v>
      </c>
      <c r="BS154" s="22">
        <f t="shared" ref="BS154:BS203" si="169">SUM(BP154:BR154)</f>
        <v>0.85456426594822932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1.7053025658242404E-13</v>
      </c>
      <c r="BZ154" s="13">
        <f>BY154*VLOOKUP('Données projet'!$B$12,Paramètres!$A$1:$I$89,3,0)*VLOOKUP('Données projet'!$B$12,Paramètres!$A$1:$I$89,5,0)</f>
        <v>1.3301360013429075E-13</v>
      </c>
      <c r="CA154" s="13">
        <f t="shared" ref="CA154:CA203" si="170">EXP(-1.0587+0.8836*LN(BZ154)+0.284)</f>
        <v>1.9329766731057041E-12</v>
      </c>
      <c r="CB154" s="20">
        <f t="shared" ref="CB154:CB203" si="171">(BZ154+CA154)*0.475*44/12</f>
        <v>3.5982663925596575E-12</v>
      </c>
      <c r="CC154" s="59">
        <f t="shared" si="119"/>
        <v>293.3333333333369</v>
      </c>
      <c r="CD154" s="59">
        <f ca="1">AVERAGE(OFFSET($CC$3,0,0,'Données projet'!$E$12+1,1))-AVERAGE(OFFSET($H$3,0,0,'Données projet'!$E$12+1,1))</f>
        <v>266.30229009596883</v>
      </c>
      <c r="CE154" s="59">
        <f t="shared" si="148"/>
        <v>270.19195828386046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0.1316652221988133</v>
      </c>
      <c r="CL154" s="21">
        <f>EXP(-LN(2)/25)*CL153+(1-EXP(-LN(2)/25))/(LN(2)/25)*Calculateur!CG154*Calculateur!CI154*VLOOKUP('Données projet'!$B$12,Paramètres!$A$1:$I$89,3,0)*0.475*44/12</f>
        <v>0.2922656443737634</v>
      </c>
      <c r="CM154" s="21">
        <f>EXP(-LN(2)/2)*CM153+(1-EXP(-LN(2)/2))/(LN(2)/2)*CG154*CJ154*VLOOKUP('Données projet'!$B$12,Paramètres!$A$1:$I$89,3,0)*0.475*44/12</f>
        <v>8.0167814495635858E-18</v>
      </c>
      <c r="CN154" s="22">
        <f t="shared" ref="CN154:CN203" si="172">SUM(CK154:CM154)</f>
        <v>0.42393086657257673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-5.1159076974727213E-13</v>
      </c>
      <c r="CU154" s="17">
        <f>CT154*VLOOKUP('Données projet'!$B$13,Paramètres!$A$1:$I$89,3,0)*VLOOKUP('Données projet'!$B$13,Paramètres!$A$1:$I$89,5,0)</f>
        <v>-4.0702161641092972E-13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260.20517190557814</v>
      </c>
      <c r="CZ154" s="59">
        <f t="shared" si="150"/>
        <v>307.22009971147133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0.29710646025327953</v>
      </c>
      <c r="DG154" s="21">
        <f>EXP(-LN(2)/25)*DG153+(1-EXP(-LN(2)/25))/(LN(2)/25)*Calculateur!DB154*Calculateur!DD154*VLOOKUP('Données projet'!$B$13,Paramètres!$A$1:$I$89,3,0)*0.475*44/12</f>
        <v>0.71644650633648022</v>
      </c>
      <c r="DH154" s="21">
        <f>EXP(-LN(2)/2)*DH153+(1-EXP(-LN(2)/2))/(LN(2)/2)*DB154*DE154*VLOOKUP('Données projet'!$B$13,Paramètres!$A$1:$I$89,3,0)*0.475*44/12</f>
        <v>1.4743557185271552E-17</v>
      </c>
      <c r="DI154" s="22">
        <f t="shared" ref="DI154:DI203" si="175">SUM(DF154:DH154)</f>
        <v>1.0135529665897598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-3.4106051316484809E-13</v>
      </c>
      <c r="DP154" s="17">
        <f>DO154*VLOOKUP('Données projet'!$B$14,Paramètres!$A$1:$I$89,3,0)*VLOOKUP('Données projet'!$B$14,Paramètres!$A$1:$I$89,5,0)</f>
        <v>-3.2987372833304104E-13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347.8889410585312</v>
      </c>
      <c r="DU154" s="59">
        <f t="shared" si="152"/>
        <v>254.78167322479203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0.23443161614065636</v>
      </c>
      <c r="EB154" s="21">
        <f>EXP(-LN(2)/25)*EB153+(1-EXP(-LN(2)/25))/(LN(2)/25)*Calculateur!DW154*Calculateur!DY154*VLOOKUP('Données projet'!$B$14,Paramètres!$A$1:$I$89,3,0)*0.475*44/12</f>
        <v>0.42111054340831688</v>
      </c>
      <c r="EC154" s="21">
        <f>EXP(-LN(2)/2)*EC153+(1-EXP(-LN(2)/2))/(LN(2)/2)*DW154*DZ154*VLOOKUP('Données projet'!$B$14,Paramètres!$A$1:$I$89,3,0)*0.475*44/12</f>
        <v>1.4130693391478843E-17</v>
      </c>
      <c r="ED154" s="22">
        <f t="shared" ref="ED154:ED203" si="178">SUM(EA154:EC154)</f>
        <v>0.65554215954897321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-3.4106051316484809E-13</v>
      </c>
      <c r="EK154" s="17">
        <f>EJ154*VLOOKUP('Données projet'!$B$15,Paramètres!$A$1:$I$89,3,0)*VLOOKUP('Données projet'!$B$15,Paramètres!$A$1:$I$89,5,0)</f>
        <v>-3.6711753637064249E-13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399.38728019348088</v>
      </c>
      <c r="EP154" s="59">
        <f t="shared" si="154"/>
        <v>289.54922160039791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0.26089970183395639</v>
      </c>
      <c r="EW154" s="21">
        <f>EXP(-LN(2)/25)*EW153+(1-EXP(-LN(2)/25))/(LN(2)/25)*Calculateur!ER154*Calculateur!ET154*VLOOKUP('Données projet'!$B$15,Paramètres!$A$1:$I$89,3,0)*0.475*44/12</f>
        <v>0.46865528218022423</v>
      </c>
      <c r="EX154" s="21">
        <f>EXP(-LN(2)/2)*EX153+(1-EXP(-LN(2)/2))/(LN(2)/2)*ER154*EU154*VLOOKUP('Données projet'!$B$15,Paramètres!$A$1:$I$89,3,0)*0.475*44/12</f>
        <v>1.5726094258258714E-17</v>
      </c>
      <c r="EY154" s="22">
        <f t="shared" ref="EY154:EY203" si="181">SUM(EV154:EX154)</f>
        <v>0.72955498401418062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-3.0859155231155454E-13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318.40875902853116</v>
      </c>
      <c r="T155" s="59">
        <f t="shared" si="142"/>
        <v>234.87694492493506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0.2150065193219948</v>
      </c>
      <c r="AA155" s="21">
        <f>EXP(-LN(2)/25)*AA154+(1-EXP(-LN(2)/25))/(LN(2)/25)*Calculateur!V155*Calculateur!X155*VLOOKUP('Données projet'!$B$9,Paramètres!$A$1:$I$89,3,0)*0.475*44/12</f>
        <v>0.38316975323076419</v>
      </c>
      <c r="AB155" s="21">
        <f>EXP(-LN(2)/2)*AB154+(1-EXP(-LN(2)/2))/(LN(2)/2)*V155*Y155*VLOOKUP('Données projet'!$B$9,Paramètres!$A$1:$I$89,3,0)*0.475*44/12</f>
        <v>9.3472698219192717E-18</v>
      </c>
      <c r="AC155" s="22">
        <f t="shared" si="163"/>
        <v>0.59817627255275896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243.38048563215585</v>
      </c>
      <c r="AO155" s="59">
        <f t="shared" si="144"/>
        <v>372.1604147006675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0.65243357587364026</v>
      </c>
      <c r="AV155" s="21">
        <f>EXP(-LN(2)/25)*AV154+(1-EXP(-LN(2)/25))/(LN(2)/25)*Calculateur!AQ155*Calculateur!AS155*VLOOKUP('Données projet'!$B$10,Paramètres!$A$1:$I$89,3,0)*0.475*44/12</f>
        <v>0.65755706598430086</v>
      </c>
      <c r="AW155" s="21">
        <f>EXP(-LN(2)/2)*AW154+(1-EXP(-LN(2)/2))/(LN(2)/2)*AQ155*AT155*VLOOKUP('Données projet'!$B$10,Paramètres!$A$1:$I$89,3,0)*0.475*44/12</f>
        <v>1.2713328312476368E-17</v>
      </c>
      <c r="AX155" s="21">
        <f t="shared" si="166"/>
        <v>1.309990641857941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-5.1159076974727213E-13</v>
      </c>
      <c r="BE155" s="13">
        <f>BD155*VLOOKUP('Données projet'!$B$11,Paramètres!$A$1:$I$89,3,0)*VLOOKUP('Données projet'!$B$11,Paramètres!$A$1:$I$89,5,0)</f>
        <v>-3.4317508834647017E-13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207.93042467236967</v>
      </c>
      <c r="BJ155" s="59">
        <f t="shared" si="146"/>
        <v>250.70954318710835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0.24558934319107167</v>
      </c>
      <c r="BQ155" s="21">
        <f>EXP(-LN(2)/25)*BQ154+(1-EXP(-LN(2)/25))/(LN(2)/25)*Calculateur!BL155*Calculateur!BN155*VLOOKUP('Données projet'!$B$11,Paramètres!$A$1:$I$89,3,0)*0.475*44/12</f>
        <v>0.58754461322765317</v>
      </c>
      <c r="BR155" s="21">
        <f>EXP(-LN(2)/2)*BR154+(1-EXP(-LN(2)/2))/(LN(2)/2)*BL155*BO155*VLOOKUP('Données projet'!$B$11,Paramètres!$A$1:$I$89,3,0)*0.475*44/12</f>
        <v>8.7899329092987828E-18</v>
      </c>
      <c r="BS155" s="22">
        <f t="shared" si="169"/>
        <v>0.83313395641872479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1.7053025658242404E-13</v>
      </c>
      <c r="BZ155" s="13">
        <f>BY155*VLOOKUP('Données projet'!$B$12,Paramètres!$A$1:$I$89,3,0)*VLOOKUP('Données projet'!$B$12,Paramètres!$A$1:$I$89,5,0)</f>
        <v>1.3301360013429075E-13</v>
      </c>
      <c r="CA155" s="13">
        <f t="shared" si="170"/>
        <v>1.9329766731057041E-12</v>
      </c>
      <c r="CB155" s="20">
        <f t="shared" si="171"/>
        <v>3.5982663925596575E-12</v>
      </c>
      <c r="CC155" s="59">
        <f t="shared" si="119"/>
        <v>293.3333333333369</v>
      </c>
      <c r="CD155" s="59">
        <f ca="1">AVERAGE(OFFSET($CC$3,0,0,'Données projet'!$E$12+1,1))-AVERAGE(OFFSET($H$3,0,0,'Données projet'!$E$12+1,1))</f>
        <v>266.30229009596883</v>
      </c>
      <c r="CE155" s="59">
        <f t="shared" si="148"/>
        <v>270.19195828386046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0.12908334749935038</v>
      </c>
      <c r="CL155" s="21">
        <f>EXP(-LN(2)/25)*CL154+(1-EXP(-LN(2)/25))/(LN(2)/25)*Calculateur!CG155*Calculateur!CI155*VLOOKUP('Données projet'!$B$12,Paramètres!$A$1:$I$89,3,0)*0.475*44/12</f>
        <v>0.28427362495878056</v>
      </c>
      <c r="CM155" s="21">
        <f>EXP(-LN(2)/2)*CM154+(1-EXP(-LN(2)/2))/(LN(2)/2)*CG155*CJ155*VLOOKUP('Données projet'!$B$12,Paramètres!$A$1:$I$89,3,0)*0.475*44/12</f>
        <v>5.6687205262769318E-18</v>
      </c>
      <c r="CN155" s="22">
        <f t="shared" si="172"/>
        <v>0.41335697245813097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-5.1159076974727213E-13</v>
      </c>
      <c r="CU155" s="17">
        <f>CT155*VLOOKUP('Données projet'!$B$13,Paramètres!$A$1:$I$89,3,0)*VLOOKUP('Données projet'!$B$13,Paramètres!$A$1:$I$89,5,0)</f>
        <v>-4.0702161641092972E-13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260.20517190557814</v>
      </c>
      <c r="CZ155" s="59">
        <f t="shared" si="150"/>
        <v>307.22009971147133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0.29128038378475979</v>
      </c>
      <c r="DG155" s="21">
        <f>EXP(-LN(2)/25)*DG154+(1-EXP(-LN(2)/25))/(LN(2)/25)*Calculateur!DB155*Calculateur!DD155*VLOOKUP('Données projet'!$B$13,Paramètres!$A$1:$I$89,3,0)*0.475*44/12</f>
        <v>0.6968552389444248</v>
      </c>
      <c r="DH155" s="21">
        <f>EXP(-LN(2)/2)*DH154+(1-EXP(-LN(2)/2))/(LN(2)/2)*DB155*DE155*VLOOKUP('Données projet'!$B$13,Paramètres!$A$1:$I$89,3,0)*0.475*44/12</f>
        <v>1.0425269264517162E-17</v>
      </c>
      <c r="DI155" s="22">
        <f t="shared" si="175"/>
        <v>0.98813562272918465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-3.4106051316484809E-13</v>
      </c>
      <c r="DP155" s="17">
        <f>DO155*VLOOKUP('Données projet'!$B$14,Paramètres!$A$1:$I$89,3,0)*VLOOKUP('Données projet'!$B$14,Paramètres!$A$1:$I$89,5,0)</f>
        <v>-3.2987372833304104E-13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347.8889410585312</v>
      </c>
      <c r="DU155" s="59">
        <f t="shared" si="152"/>
        <v>254.78167322479203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0.22983455513730491</v>
      </c>
      <c r="EB155" s="21">
        <f>EXP(-LN(2)/25)*EB154+(1-EXP(-LN(2)/25))/(LN(2)/25)*Calculateur!DW155*Calculateur!DY155*VLOOKUP('Données projet'!$B$14,Paramètres!$A$1:$I$89,3,0)*0.475*44/12</f>
        <v>0.40959525345357545</v>
      </c>
      <c r="EC155" s="21">
        <f>EXP(-LN(2)/2)*EC154+(1-EXP(-LN(2)/2))/(LN(2)/2)*DW155*DZ155*VLOOKUP('Données projet'!$B$14,Paramètres!$A$1:$I$89,3,0)*0.475*44/12</f>
        <v>9.9919091199826239E-18</v>
      </c>
      <c r="ED155" s="22">
        <f t="shared" si="178"/>
        <v>0.63942980859088039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-3.4106051316484809E-13</v>
      </c>
      <c r="EK155" s="17">
        <f>EJ155*VLOOKUP('Données projet'!$B$15,Paramètres!$A$1:$I$89,3,0)*VLOOKUP('Données projet'!$B$15,Paramètres!$A$1:$I$89,5,0)</f>
        <v>-3.6711753637064249E-13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399.38728019348088</v>
      </c>
      <c r="EP155" s="59">
        <f t="shared" si="154"/>
        <v>289.54922160039791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0.25578361781409753</v>
      </c>
      <c r="EW155" s="21">
        <f>EXP(-LN(2)/25)*EW154+(1-EXP(-LN(2)/25))/(LN(2)/25)*Calculateur!ER155*Calculateur!ET155*VLOOKUP('Données projet'!$B$15,Paramètres!$A$1:$I$89,3,0)*0.475*44/12</f>
        <v>0.45583987884349586</v>
      </c>
      <c r="EX155" s="21">
        <f>EXP(-LN(2)/2)*EX154+(1-EXP(-LN(2)/2))/(LN(2)/2)*ER155*EU155*VLOOKUP('Données projet'!$B$15,Paramètres!$A$1:$I$89,3,0)*0.475*44/12</f>
        <v>1.1120027891593566E-17</v>
      </c>
      <c r="EY155" s="22">
        <f t="shared" si="181"/>
        <v>0.71162349665759339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-3.0859155231155454E-13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318.40875902853116</v>
      </c>
      <c r="T156" s="59">
        <f t="shared" si="142"/>
        <v>234.87694492493506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0.21079037261911818</v>
      </c>
      <c r="AA156" s="21">
        <f>EXP(-LN(2)/25)*AA155+(1-EXP(-LN(2)/25))/(LN(2)/25)*Calculateur!V156*Calculateur!X156*VLOOKUP('Données projet'!$B$9,Paramètres!$A$1:$I$89,3,0)*0.475*44/12</f>
        <v>0.37269195617864737</v>
      </c>
      <c r="AB156" s="21">
        <f>EXP(-LN(2)/2)*AB155+(1-EXP(-LN(2)/2))/(LN(2)/2)*V156*Y156*VLOOKUP('Données projet'!$B$9,Paramètres!$A$1:$I$89,3,0)*0.475*44/12</f>
        <v>6.6095178766594896E-18</v>
      </c>
      <c r="AC156" s="22">
        <f t="shared" si="163"/>
        <v>0.58348232879776551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243.38048563215585</v>
      </c>
      <c r="AO156" s="59">
        <f t="shared" si="144"/>
        <v>372.1604147006675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0.63963975139594564</v>
      </c>
      <c r="AV156" s="21">
        <f>EXP(-LN(2)/25)*AV155+(1-EXP(-LN(2)/25))/(LN(2)/25)*Calculateur!AQ156*Calculateur!AS156*VLOOKUP('Données projet'!$B$10,Paramètres!$A$1:$I$89,3,0)*0.475*44/12</f>
        <v>0.63957613343553688</v>
      </c>
      <c r="AW156" s="21">
        <f>EXP(-LN(2)/2)*AW155+(1-EXP(-LN(2)/2))/(LN(2)/2)*AQ156*AT156*VLOOKUP('Données projet'!$B$10,Paramètres!$A$1:$I$89,3,0)*0.475*44/12</f>
        <v>8.9896806612029667E-18</v>
      </c>
      <c r="AX156" s="21">
        <f t="shared" si="166"/>
        <v>1.2792158848314825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-5.1159076974727213E-13</v>
      </c>
      <c r="BE156" s="13">
        <f>BD156*VLOOKUP('Données projet'!$B$11,Paramètres!$A$1:$I$89,3,0)*VLOOKUP('Données projet'!$B$11,Paramètres!$A$1:$I$89,5,0)</f>
        <v>-3.4317508834647017E-13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207.93042467236967</v>
      </c>
      <c r="BJ156" s="59">
        <f t="shared" si="146"/>
        <v>250.70954318710835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0.24077348596580311</v>
      </c>
      <c r="BQ156" s="21">
        <f>EXP(-LN(2)/25)*BQ155+(1-EXP(-LN(2)/25))/(LN(2)/25)*Calculateur!BL156*Calculateur!BN156*VLOOKUP('Données projet'!$B$11,Paramètres!$A$1:$I$89,3,0)*0.475*44/12</f>
        <v>0.57147817488131458</v>
      </c>
      <c r="BR156" s="21">
        <f>EXP(-LN(2)/2)*BR155+(1-EXP(-LN(2)/2))/(LN(2)/2)*BL156*BO156*VLOOKUP('Données projet'!$B$11,Paramètres!$A$1:$I$89,3,0)*0.475*44/12</f>
        <v>6.2154211663399676E-18</v>
      </c>
      <c r="BS156" s="22">
        <f t="shared" si="169"/>
        <v>0.81225166084711775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1.7053025658242404E-13</v>
      </c>
      <c r="BZ156" s="13">
        <f>BY156*VLOOKUP('Données projet'!$B$12,Paramètres!$A$1:$I$89,3,0)*VLOOKUP('Données projet'!$B$12,Paramètres!$A$1:$I$89,5,0)</f>
        <v>1.3301360013429075E-13</v>
      </c>
      <c r="CA156" s="13">
        <f t="shared" si="170"/>
        <v>1.9329766731057041E-12</v>
      </c>
      <c r="CB156" s="20">
        <f t="shared" si="171"/>
        <v>3.5982663925596575E-12</v>
      </c>
      <c r="CC156" s="59">
        <f t="shared" si="119"/>
        <v>293.3333333333369</v>
      </c>
      <c r="CD156" s="59">
        <f ca="1">AVERAGE(OFFSET($CC$3,0,0,'Données projet'!$E$12+1,1))-AVERAGE(OFFSET($H$3,0,0,'Données projet'!$E$12+1,1))</f>
        <v>266.30229009596883</v>
      </c>
      <c r="CE156" s="59">
        <f t="shared" si="148"/>
        <v>270.19195828386046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0.12655210178795584</v>
      </c>
      <c r="CL156" s="21">
        <f>EXP(-LN(2)/25)*CL155+(1-EXP(-LN(2)/25))/(LN(2)/25)*Calculateur!CG156*Calculateur!CI156*VLOOKUP('Données projet'!$B$12,Paramètres!$A$1:$I$89,3,0)*0.475*44/12</f>
        <v>0.27650014773498249</v>
      </c>
      <c r="CM156" s="21">
        <f>EXP(-LN(2)/2)*CM155+(1-EXP(-LN(2)/2))/(LN(2)/2)*CG156*CJ156*VLOOKUP('Données projet'!$B$12,Paramètres!$A$1:$I$89,3,0)*0.475*44/12</f>
        <v>4.0083907247817929E-18</v>
      </c>
      <c r="CN156" s="22">
        <f t="shared" si="172"/>
        <v>0.40305224952293833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-5.1159076974727213E-13</v>
      </c>
      <c r="CU156" s="17">
        <f>CT156*VLOOKUP('Données projet'!$B$13,Paramètres!$A$1:$I$89,3,0)*VLOOKUP('Données projet'!$B$13,Paramètres!$A$1:$I$89,5,0)</f>
        <v>-4.0702161641092972E-13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260.20517190557814</v>
      </c>
      <c r="CZ156" s="59">
        <f t="shared" si="150"/>
        <v>307.22009971147133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0.28556855312223195</v>
      </c>
      <c r="DG156" s="21">
        <f>EXP(-LN(2)/25)*DG155+(1-EXP(-LN(2)/25))/(LN(2)/25)*Calculateur!DB156*Calculateur!DD156*VLOOKUP('Données projet'!$B$13,Paramètres!$A$1:$I$89,3,0)*0.475*44/12</f>
        <v>0.6777996957894652</v>
      </c>
      <c r="DH156" s="21">
        <f>EXP(-LN(2)/2)*DH155+(1-EXP(-LN(2)/2))/(LN(2)/2)*DB156*DE156*VLOOKUP('Données projet'!$B$13,Paramètres!$A$1:$I$89,3,0)*0.475*44/12</f>
        <v>7.3717785926357759E-18</v>
      </c>
      <c r="DI156" s="22">
        <f t="shared" si="175"/>
        <v>0.96336824891169714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-3.4106051316484809E-13</v>
      </c>
      <c r="DP156" s="17">
        <f>DO156*VLOOKUP('Données projet'!$B$14,Paramètres!$A$1:$I$89,3,0)*VLOOKUP('Données projet'!$B$14,Paramètres!$A$1:$I$89,5,0)</f>
        <v>-3.2987372833304104E-13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347.8889410585312</v>
      </c>
      <c r="DU156" s="59">
        <f t="shared" si="152"/>
        <v>254.78167322479203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0.22532763969629885</v>
      </c>
      <c r="EB156" s="21">
        <f>EXP(-LN(2)/25)*EB155+(1-EXP(-LN(2)/25))/(LN(2)/25)*Calculateur!DW156*Calculateur!DY156*VLOOKUP('Données projet'!$B$14,Paramètres!$A$1:$I$89,3,0)*0.475*44/12</f>
        <v>0.39839484970820921</v>
      </c>
      <c r="EC156" s="21">
        <f>EXP(-LN(2)/2)*EC155+(1-EXP(-LN(2)/2))/(LN(2)/2)*DW156*DZ156*VLOOKUP('Données projet'!$B$14,Paramètres!$A$1:$I$89,3,0)*0.475*44/12</f>
        <v>7.0653466957394217E-18</v>
      </c>
      <c r="ED156" s="22">
        <f t="shared" si="178"/>
        <v>0.62372248940450803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-3.4106051316484809E-13</v>
      </c>
      <c r="EK156" s="17">
        <f>EJ156*VLOOKUP('Données projet'!$B$15,Paramètres!$A$1:$I$89,3,0)*VLOOKUP('Données projet'!$B$15,Paramètres!$A$1:$I$89,5,0)</f>
        <v>-3.6711753637064249E-13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399.38728019348088</v>
      </c>
      <c r="EP156" s="59">
        <f t="shared" si="154"/>
        <v>289.54922160039791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0.25076785708136495</v>
      </c>
      <c r="EW156" s="21">
        <f>EXP(-LN(2)/25)*EW155+(1-EXP(-LN(2)/25))/(LN(2)/25)*Calculateur!ER156*Calculateur!ET156*VLOOKUP('Données projet'!$B$15,Paramètres!$A$1:$I$89,3,0)*0.475*44/12</f>
        <v>0.44337491338494306</v>
      </c>
      <c r="EX156" s="21">
        <f>EXP(-LN(2)/2)*EX155+(1-EXP(-LN(2)/2))/(LN(2)/2)*ER156*EU156*VLOOKUP('Données projet'!$B$15,Paramètres!$A$1:$I$89,3,0)*0.475*44/12</f>
        <v>7.8630471291293571E-18</v>
      </c>
      <c r="EY156" s="22">
        <f t="shared" si="181"/>
        <v>0.69414277046630801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-3.0859155231155454E-13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318.40875902853116</v>
      </c>
      <c r="T157" s="59">
        <f t="shared" si="142"/>
        <v>234.87694492493506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0.20665690198148939</v>
      </c>
      <c r="AA157" s="21">
        <f>EXP(-LN(2)/25)*AA156+(1-EXP(-LN(2)/25))/(LN(2)/25)*Calculateur!V157*Calculateur!X157*VLOOKUP('Données projet'!$B$9,Paramètres!$A$1:$I$89,3,0)*0.475*44/12</f>
        <v>0.3625006750379241</v>
      </c>
      <c r="AB157" s="21">
        <f>EXP(-LN(2)/2)*AB156+(1-EXP(-LN(2)/2))/(LN(2)/2)*V157*Y157*VLOOKUP('Données projet'!$B$9,Paramètres!$A$1:$I$89,3,0)*0.475*44/12</f>
        <v>4.6736349109596358E-18</v>
      </c>
      <c r="AC157" s="22">
        <f t="shared" si="163"/>
        <v>0.5691575770194135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243.38048563215585</v>
      </c>
      <c r="AO157" s="59">
        <f t="shared" si="144"/>
        <v>372.1604147006675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0.62709680601279616</v>
      </c>
      <c r="AV157" s="21">
        <f>EXP(-LN(2)/25)*AV156+(1-EXP(-LN(2)/25))/(LN(2)/25)*Calculateur!AQ157*Calculateur!AS157*VLOOKUP('Données projet'!$B$10,Paramètres!$A$1:$I$89,3,0)*0.475*44/12</f>
        <v>0.622086890432895</v>
      </c>
      <c r="AW157" s="21">
        <f>EXP(-LN(2)/2)*AW156+(1-EXP(-LN(2)/2))/(LN(2)/2)*AQ157*AT157*VLOOKUP('Données projet'!$B$10,Paramètres!$A$1:$I$89,3,0)*0.475*44/12</f>
        <v>6.3566641562381841E-18</v>
      </c>
      <c r="AX157" s="21">
        <f t="shared" si="166"/>
        <v>1.2491836964456913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-5.1159076974727213E-13</v>
      </c>
      <c r="BE157" s="13">
        <f>BD157*VLOOKUP('Données projet'!$B$11,Paramètres!$A$1:$I$89,3,0)*VLOOKUP('Données projet'!$B$11,Paramètres!$A$1:$I$89,5,0)</f>
        <v>-3.4317508834647017E-13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207.93042467236967</v>
      </c>
      <c r="BJ157" s="59">
        <f t="shared" si="146"/>
        <v>250.70954318710835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0.2360520647633392</v>
      </c>
      <c r="BQ157" s="21">
        <f>EXP(-LN(2)/25)*BQ156+(1-EXP(-LN(2)/25))/(LN(2)/25)*Calculateur!BL157*Calculateur!BN157*VLOOKUP('Données projet'!$B$11,Paramètres!$A$1:$I$89,3,0)*0.475*44/12</f>
        <v>0.55585107413645396</v>
      </c>
      <c r="BR157" s="21">
        <f>EXP(-LN(2)/2)*BR156+(1-EXP(-LN(2)/2))/(LN(2)/2)*BL157*BO157*VLOOKUP('Données projet'!$B$11,Paramètres!$A$1:$I$89,3,0)*0.475*44/12</f>
        <v>4.3949664546493914E-18</v>
      </c>
      <c r="BS157" s="22">
        <f t="shared" si="169"/>
        <v>0.79190313889979314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1.7053025658242404E-13</v>
      </c>
      <c r="BZ157" s="13">
        <f>BY157*VLOOKUP('Données projet'!$B$12,Paramètres!$A$1:$I$89,3,0)*VLOOKUP('Données projet'!$B$12,Paramètres!$A$1:$I$89,5,0)</f>
        <v>1.3301360013429075E-13</v>
      </c>
      <c r="CA157" s="13">
        <f t="shared" si="170"/>
        <v>1.9329766731057041E-12</v>
      </c>
      <c r="CB157" s="20">
        <f t="shared" si="171"/>
        <v>3.5982663925596575E-12</v>
      </c>
      <c r="CC157" s="59">
        <f t="shared" si="119"/>
        <v>293.3333333333369</v>
      </c>
      <c r="CD157" s="59">
        <f ca="1">AVERAGE(OFFSET($CC$3,0,0,'Données projet'!$E$12+1,1))-AVERAGE(OFFSET($H$3,0,0,'Données projet'!$E$12+1,1))</f>
        <v>266.30229009596883</v>
      </c>
      <c r="CE157" s="59">
        <f t="shared" si="148"/>
        <v>270.19195828386046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0.12407049226105432</v>
      </c>
      <c r="CL157" s="21">
        <f>EXP(-LN(2)/25)*CL156+(1-EXP(-LN(2)/25))/(LN(2)/25)*Calculateur!CG157*Calculateur!CI157*VLOOKUP('Données projet'!$B$12,Paramètres!$A$1:$I$89,3,0)*0.475*44/12</f>
        <v>0.26893923665465858</v>
      </c>
      <c r="CM157" s="21">
        <f>EXP(-LN(2)/2)*CM156+(1-EXP(-LN(2)/2))/(LN(2)/2)*CG157*CJ157*VLOOKUP('Données projet'!$B$12,Paramètres!$A$1:$I$89,3,0)*0.475*44/12</f>
        <v>2.8343602631384659E-18</v>
      </c>
      <c r="CN157" s="22">
        <f t="shared" si="172"/>
        <v>0.3930097289157129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-5.1159076974727213E-13</v>
      </c>
      <c r="CU157" s="17">
        <f>CT157*VLOOKUP('Données projet'!$B$13,Paramètres!$A$1:$I$89,3,0)*VLOOKUP('Données projet'!$B$13,Paramètres!$A$1:$I$89,5,0)</f>
        <v>-4.0702161641092972E-13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260.20517190557814</v>
      </c>
      <c r="CZ157" s="59">
        <f t="shared" si="150"/>
        <v>307.22009971147133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0.27996872797512357</v>
      </c>
      <c r="DG157" s="21">
        <f>EXP(-LN(2)/25)*DG156+(1-EXP(-LN(2)/25))/(LN(2)/25)*Calculateur!DB157*Calculateur!DD157*VLOOKUP('Données projet'!$B$13,Paramètres!$A$1:$I$89,3,0)*0.475*44/12</f>
        <v>0.65926522746416538</v>
      </c>
      <c r="DH157" s="21">
        <f>EXP(-LN(2)/2)*DH156+(1-EXP(-LN(2)/2))/(LN(2)/2)*DB157*DE157*VLOOKUP('Données projet'!$B$13,Paramètres!$A$1:$I$89,3,0)*0.475*44/12</f>
        <v>5.2126346322585809E-18</v>
      </c>
      <c r="DI157" s="22">
        <f t="shared" si="175"/>
        <v>0.939233955439289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-3.4106051316484809E-13</v>
      </c>
      <c r="DP157" s="17">
        <f>DO157*VLOOKUP('Données projet'!$B$14,Paramètres!$A$1:$I$89,3,0)*VLOOKUP('Données projet'!$B$14,Paramètres!$A$1:$I$89,5,0)</f>
        <v>-3.2987372833304104E-13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347.8889410585312</v>
      </c>
      <c r="DU157" s="59">
        <f t="shared" si="152"/>
        <v>254.78167322479203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0.22090910211814394</v>
      </c>
      <c r="EB157" s="21">
        <f>EXP(-LN(2)/25)*EB156+(1-EXP(-LN(2)/25))/(LN(2)/25)*Calculateur!DW157*Calculateur!DY157*VLOOKUP('Données projet'!$B$14,Paramètres!$A$1:$I$89,3,0)*0.475*44/12</f>
        <v>0.38750072159226362</v>
      </c>
      <c r="EC157" s="21">
        <f>EXP(-LN(2)/2)*EC156+(1-EXP(-LN(2)/2))/(LN(2)/2)*DW157*DZ157*VLOOKUP('Données projet'!$B$14,Paramètres!$A$1:$I$89,3,0)*0.475*44/12</f>
        <v>4.9959545599913119E-18</v>
      </c>
      <c r="ED157" s="22">
        <f t="shared" si="178"/>
        <v>0.60840982371040753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-3.4106051316484809E-13</v>
      </c>
      <c r="EK157" s="17">
        <f>EJ157*VLOOKUP('Données projet'!$B$15,Paramètres!$A$1:$I$89,3,0)*VLOOKUP('Données projet'!$B$15,Paramètres!$A$1:$I$89,5,0)</f>
        <v>-3.6711753637064249E-13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399.38728019348088</v>
      </c>
      <c r="EP157" s="59">
        <f t="shared" si="154"/>
        <v>289.54922160039791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0.24585045235728933</v>
      </c>
      <c r="EW157" s="21">
        <f>EXP(-LN(2)/25)*EW156+(1-EXP(-LN(2)/25))/(LN(2)/25)*Calculateur!ER157*Calculateur!ET157*VLOOKUP('Données projet'!$B$15,Paramètres!$A$1:$I$89,3,0)*0.475*44/12</f>
        <v>0.43125080306235847</v>
      </c>
      <c r="EX157" s="21">
        <f>EXP(-LN(2)/2)*EX156+(1-EXP(-LN(2)/2))/(LN(2)/2)*ER157*EU157*VLOOKUP('Données projet'!$B$15,Paramètres!$A$1:$I$89,3,0)*0.475*44/12</f>
        <v>5.560013945796783E-18</v>
      </c>
      <c r="EY157" s="22">
        <f t="shared" si="181"/>
        <v>0.67710125541964783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-3.0859155231155454E-13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318.40875902853116</v>
      </c>
      <c r="T158" s="59">
        <f t="shared" si="142"/>
        <v>234.87694492493506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0.20260448618189636</v>
      </c>
      <c r="AA158" s="21">
        <f>EXP(-LN(2)/25)*AA157+(1-EXP(-LN(2)/25))/(LN(2)/25)*Calculateur!V158*Calculateur!X158*VLOOKUP('Données projet'!$B$9,Paramètres!$A$1:$I$89,3,0)*0.475*44/12</f>
        <v>0.35258807501593009</v>
      </c>
      <c r="AB158" s="21">
        <f>EXP(-LN(2)/2)*AB157+(1-EXP(-LN(2)/2))/(LN(2)/2)*V158*Y158*VLOOKUP('Données projet'!$B$9,Paramètres!$A$1:$I$89,3,0)*0.475*44/12</f>
        <v>3.3047589383297448E-18</v>
      </c>
      <c r="AC158" s="22">
        <f t="shared" si="163"/>
        <v>0.55519256119782645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243.38048563215585</v>
      </c>
      <c r="AO158" s="59">
        <f t="shared" si="144"/>
        <v>372.1604147006675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0.61479982013816903</v>
      </c>
      <c r="AV158" s="21">
        <f>EXP(-LN(2)/25)*AV157+(1-EXP(-LN(2)/25))/(LN(2)/25)*Calculateur!AQ158*Calculateur!AS158*VLOOKUP('Données projet'!$B$10,Paramètres!$A$1:$I$89,3,0)*0.475*44/12</f>
        <v>0.60507589169987974</v>
      </c>
      <c r="AW158" s="21">
        <f>EXP(-LN(2)/2)*AW157+(1-EXP(-LN(2)/2))/(LN(2)/2)*AQ158*AT158*VLOOKUP('Données projet'!$B$10,Paramètres!$A$1:$I$89,3,0)*0.475*44/12</f>
        <v>4.4948403306014833E-18</v>
      </c>
      <c r="AX158" s="21">
        <f t="shared" si="166"/>
        <v>1.2198757118380488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-5.1159076974727213E-13</v>
      </c>
      <c r="BE158" s="13">
        <f>BD158*VLOOKUP('Données projet'!$B$11,Paramètres!$A$1:$I$89,3,0)*VLOOKUP('Données projet'!$B$11,Paramètres!$A$1:$I$89,5,0)</f>
        <v>-3.4317508834647017E-13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207.93042467236967</v>
      </c>
      <c r="BJ158" s="59">
        <f t="shared" si="146"/>
        <v>250.70954318710835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0.23142322775087301</v>
      </c>
      <c r="BQ158" s="21">
        <f>EXP(-LN(2)/25)*BQ157+(1-EXP(-LN(2)/25))/(LN(2)/25)*Calculateur!BL158*Calculateur!BN158*VLOOKUP('Données projet'!$B$11,Paramètres!$A$1:$I$89,3,0)*0.475*44/12</f>
        <v>0.54065129728325501</v>
      </c>
      <c r="BR158" s="21">
        <f>EXP(-LN(2)/2)*BR157+(1-EXP(-LN(2)/2))/(LN(2)/2)*BL158*BO158*VLOOKUP('Données projet'!$B$11,Paramètres!$A$1:$I$89,3,0)*0.475*44/12</f>
        <v>3.1077105831699838E-18</v>
      </c>
      <c r="BS158" s="22">
        <f t="shared" si="169"/>
        <v>0.77207452503412799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1.7053025658242404E-13</v>
      </c>
      <c r="BZ158" s="13">
        <f>BY158*VLOOKUP('Données projet'!$B$12,Paramètres!$A$1:$I$89,3,0)*VLOOKUP('Données projet'!$B$12,Paramètres!$A$1:$I$89,5,0)</f>
        <v>1.3301360013429075E-13</v>
      </c>
      <c r="CA158" s="13">
        <f t="shared" si="170"/>
        <v>1.9329766731057041E-12</v>
      </c>
      <c r="CB158" s="20">
        <f t="shared" si="171"/>
        <v>3.5982663925596575E-12</v>
      </c>
      <c r="CC158" s="59">
        <f t="shared" si="119"/>
        <v>293.3333333333369</v>
      </c>
      <c r="CD158" s="59">
        <f ca="1">AVERAGE(OFFSET($CC$3,0,0,'Données projet'!$E$12+1,1))-AVERAGE(OFFSET($H$3,0,0,'Données projet'!$E$12+1,1))</f>
        <v>266.30229009596883</v>
      </c>
      <c r="CE158" s="59">
        <f t="shared" si="148"/>
        <v>270.19195828386046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0.12163754558334298</v>
      </c>
      <c r="CL158" s="21">
        <f>EXP(-LN(2)/25)*CL157+(1-EXP(-LN(2)/25))/(LN(2)/25)*Calculateur!CG158*Calculateur!CI158*VLOOKUP('Données projet'!$B$12,Paramètres!$A$1:$I$89,3,0)*0.475*44/12</f>
        <v>0.26158507908543716</v>
      </c>
      <c r="CM158" s="21">
        <f>EXP(-LN(2)/2)*CM157+(1-EXP(-LN(2)/2))/(LN(2)/2)*CG158*CJ158*VLOOKUP('Données projet'!$B$12,Paramètres!$A$1:$I$89,3,0)*0.475*44/12</f>
        <v>2.0041953623908964E-18</v>
      </c>
      <c r="CN158" s="22">
        <f t="shared" si="172"/>
        <v>0.38322262466878015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-5.1159076974727213E-13</v>
      </c>
      <c r="CU158" s="17">
        <f>CT158*VLOOKUP('Données projet'!$B$13,Paramètres!$A$1:$I$89,3,0)*VLOOKUP('Données projet'!$B$13,Paramètres!$A$1:$I$89,5,0)</f>
        <v>-4.0702161641092972E-13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260.20517190557814</v>
      </c>
      <c r="CZ158" s="59">
        <f t="shared" si="150"/>
        <v>307.22009971147133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0.27447871198359391</v>
      </c>
      <c r="DG158" s="21">
        <f>EXP(-LN(2)/25)*DG157+(1-EXP(-LN(2)/25))/(LN(2)/25)*Calculateur!DB158*Calculateur!DD158*VLOOKUP('Données projet'!$B$13,Paramètres!$A$1:$I$89,3,0)*0.475*44/12</f>
        <v>0.64123758514990625</v>
      </c>
      <c r="DH158" s="21">
        <f>EXP(-LN(2)/2)*DH157+(1-EXP(-LN(2)/2))/(LN(2)/2)*DB158*DE158*VLOOKUP('Données projet'!$B$13,Paramètres!$A$1:$I$89,3,0)*0.475*44/12</f>
        <v>3.6858892963178879E-18</v>
      </c>
      <c r="DI158" s="22">
        <f t="shared" si="175"/>
        <v>0.91571629713350022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-3.4106051316484809E-13</v>
      </c>
      <c r="DP158" s="17">
        <f>DO158*VLOOKUP('Données projet'!$B$14,Paramètres!$A$1:$I$89,3,0)*VLOOKUP('Données projet'!$B$14,Paramètres!$A$1:$I$89,5,0)</f>
        <v>-3.2987372833304104E-13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347.8889410585312</v>
      </c>
      <c r="DU158" s="59">
        <f t="shared" si="152"/>
        <v>254.78167322479203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0.21657720936685484</v>
      </c>
      <c r="EB158" s="21">
        <f>EXP(-LN(2)/25)*EB157+(1-EXP(-LN(2)/25))/(LN(2)/25)*Calculateur!DW158*Calculateur!DY158*VLOOKUP('Données projet'!$B$14,Paramètres!$A$1:$I$89,3,0)*0.475*44/12</f>
        <v>0.37690449398254589</v>
      </c>
      <c r="EC158" s="21">
        <f>EXP(-LN(2)/2)*EC157+(1-EXP(-LN(2)/2))/(LN(2)/2)*DW158*DZ158*VLOOKUP('Données projet'!$B$14,Paramètres!$A$1:$I$89,3,0)*0.475*44/12</f>
        <v>3.5326733478697109E-18</v>
      </c>
      <c r="ED158" s="22">
        <f t="shared" si="178"/>
        <v>0.59348170334940076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-3.4106051316484809E-13</v>
      </c>
      <c r="EK158" s="17">
        <f>EJ158*VLOOKUP('Données projet'!$B$15,Paramètres!$A$1:$I$89,3,0)*VLOOKUP('Données projet'!$B$15,Paramètres!$A$1:$I$89,5,0)</f>
        <v>-3.6711753637064249E-13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399.38728019348088</v>
      </c>
      <c r="EP158" s="59">
        <f t="shared" si="154"/>
        <v>289.54922160039791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0.24102947494053209</v>
      </c>
      <c r="EW158" s="21">
        <f>EXP(-LN(2)/25)*EW157+(1-EXP(-LN(2)/25))/(LN(2)/25)*Calculateur!ER158*Calculateur!ET158*VLOOKUP('Données projet'!$B$15,Paramètres!$A$1:$I$89,3,0)*0.475*44/12</f>
        <v>0.41945822717412418</v>
      </c>
      <c r="EX158" s="21">
        <f>EXP(-LN(2)/2)*EX157+(1-EXP(-LN(2)/2))/(LN(2)/2)*ER158*EU158*VLOOKUP('Données projet'!$B$15,Paramètres!$A$1:$I$89,3,0)*0.475*44/12</f>
        <v>3.9315235645646786E-18</v>
      </c>
      <c r="EY158" s="22">
        <f t="shared" si="181"/>
        <v>0.66048770211465624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-3.0859155231155454E-13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318.40875902853116</v>
      </c>
      <c r="T159" s="59">
        <f t="shared" si="142"/>
        <v>234.87694492493506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0.19863153578440376</v>
      </c>
      <c r="AA159" s="21">
        <f>EXP(-LN(2)/25)*AA158+(1-EXP(-LN(2)/25))/(LN(2)/25)*Calculateur!V159*Calculateur!X159*VLOOKUP('Données projet'!$B$9,Paramètres!$A$1:$I$89,3,0)*0.475*44/12</f>
        <v>0.34294653556281846</v>
      </c>
      <c r="AB159" s="21">
        <f>EXP(-LN(2)/2)*AB158+(1-EXP(-LN(2)/2))/(LN(2)/2)*V159*Y159*VLOOKUP('Données projet'!$B$9,Paramètres!$A$1:$I$89,3,0)*0.475*44/12</f>
        <v>2.3368174554798179E-18</v>
      </c>
      <c r="AC159" s="22">
        <f t="shared" si="163"/>
        <v>0.54157807134722225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243.38048563215585</v>
      </c>
      <c r="AO159" s="59">
        <f t="shared" si="144"/>
        <v>372.1604147006675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0.60274397065612251</v>
      </c>
      <c r="AV159" s="21">
        <f>EXP(-LN(2)/25)*AV158+(1-EXP(-LN(2)/25))/(LN(2)/25)*Calculateur!AQ159*Calculateur!AS159*VLOOKUP('Données projet'!$B$10,Paramètres!$A$1:$I$89,3,0)*0.475*44/12</f>
        <v>0.58853005962178828</v>
      </c>
      <c r="AW159" s="21">
        <f>EXP(-LN(2)/2)*AW158+(1-EXP(-LN(2)/2))/(LN(2)/2)*AQ159*AT159*VLOOKUP('Données projet'!$B$10,Paramètres!$A$1:$I$89,3,0)*0.475*44/12</f>
        <v>3.178332078119092E-18</v>
      </c>
      <c r="AX159" s="21">
        <f t="shared" si="166"/>
        <v>1.1912740302779108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-5.1159076974727213E-13</v>
      </c>
      <c r="BE159" s="13">
        <f>BD159*VLOOKUP('Données projet'!$B$11,Paramètres!$A$1:$I$89,3,0)*VLOOKUP('Données projet'!$B$11,Paramètres!$A$1:$I$89,5,0)</f>
        <v>-3.4317508834647017E-13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207.93042467236967</v>
      </c>
      <c r="BJ159" s="59">
        <f t="shared" si="146"/>
        <v>250.70954318710835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0.22688515940890949</v>
      </c>
      <c r="BQ159" s="21">
        <f>EXP(-LN(2)/25)*BQ158+(1-EXP(-LN(2)/25))/(LN(2)/25)*Calculateur!BL159*Calculateur!BN159*VLOOKUP('Données projet'!$B$11,Paramètres!$A$1:$I$89,3,0)*0.475*44/12</f>
        <v>0.52586715912742832</v>
      </c>
      <c r="BR159" s="21">
        <f>EXP(-LN(2)/2)*BR158+(1-EXP(-LN(2)/2))/(LN(2)/2)*BL159*BO159*VLOOKUP('Données projet'!$B$11,Paramètres!$A$1:$I$89,3,0)*0.475*44/12</f>
        <v>2.1974832273246957E-18</v>
      </c>
      <c r="BS159" s="22">
        <f t="shared" si="169"/>
        <v>0.75275231853633784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1.7053025658242404E-13</v>
      </c>
      <c r="BZ159" s="13">
        <f>BY159*VLOOKUP('Données projet'!$B$12,Paramètres!$A$1:$I$89,3,0)*VLOOKUP('Données projet'!$B$12,Paramètres!$A$1:$I$89,5,0)</f>
        <v>1.3301360013429075E-13</v>
      </c>
      <c r="CA159" s="13">
        <f t="shared" si="170"/>
        <v>1.9329766731057041E-12</v>
      </c>
      <c r="CB159" s="20">
        <f t="shared" si="171"/>
        <v>3.5982663925596575E-12</v>
      </c>
      <c r="CC159" s="59">
        <f t="shared" si="119"/>
        <v>293.3333333333369</v>
      </c>
      <c r="CD159" s="59">
        <f ca="1">AVERAGE(OFFSET($CC$3,0,0,'Données projet'!$E$12+1,1))-AVERAGE(OFFSET($H$3,0,0,'Données projet'!$E$12+1,1))</f>
        <v>266.30229009596883</v>
      </c>
      <c r="CE159" s="59">
        <f t="shared" si="148"/>
        <v>270.19195828386046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0.11925230750603062</v>
      </c>
      <c r="CL159" s="21">
        <f>EXP(-LN(2)/25)*CL158+(1-EXP(-LN(2)/25))/(LN(2)/25)*Calculateur!CG159*Calculateur!CI159*VLOOKUP('Données projet'!$B$12,Paramètres!$A$1:$I$89,3,0)*0.475*44/12</f>
        <v>0.25443202134168441</v>
      </c>
      <c r="CM159" s="21">
        <f>EXP(-LN(2)/2)*CM158+(1-EXP(-LN(2)/2))/(LN(2)/2)*CG159*CJ159*VLOOKUP('Données projet'!$B$12,Paramètres!$A$1:$I$89,3,0)*0.475*44/12</f>
        <v>1.417180131569233E-18</v>
      </c>
      <c r="CN159" s="22">
        <f t="shared" si="172"/>
        <v>0.37368432884771502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-5.1159076974727213E-13</v>
      </c>
      <c r="CU159" s="17">
        <f>CT159*VLOOKUP('Données projet'!$B$13,Paramètres!$A$1:$I$89,3,0)*VLOOKUP('Données projet'!$B$13,Paramètres!$A$1:$I$89,5,0)</f>
        <v>-4.0702161641092972E-13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260.20517190557814</v>
      </c>
      <c r="CZ159" s="59">
        <f t="shared" si="150"/>
        <v>307.22009971147133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0.26909635185707903</v>
      </c>
      <c r="DG159" s="21">
        <f>EXP(-LN(2)/25)*DG158+(1-EXP(-LN(2)/25))/(LN(2)/25)*Calculateur!DB159*Calculateur!DD159*VLOOKUP('Données projet'!$B$13,Paramètres!$A$1:$I$89,3,0)*0.475*44/12</f>
        <v>0.62370290966276298</v>
      </c>
      <c r="DH159" s="21">
        <f>EXP(-LN(2)/2)*DH158+(1-EXP(-LN(2)/2))/(LN(2)/2)*DB159*DE159*VLOOKUP('Données projet'!$B$13,Paramètres!$A$1:$I$89,3,0)*0.475*44/12</f>
        <v>2.6063173161292904E-18</v>
      </c>
      <c r="DI159" s="22">
        <f t="shared" si="175"/>
        <v>0.89279926151984201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-3.4106051316484809E-13</v>
      </c>
      <c r="DP159" s="17">
        <f>DO159*VLOOKUP('Données projet'!$B$14,Paramètres!$A$1:$I$89,3,0)*VLOOKUP('Données projet'!$B$14,Paramètres!$A$1:$I$89,5,0)</f>
        <v>-3.2987372833304104E-13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347.8889410585312</v>
      </c>
      <c r="DU159" s="59">
        <f t="shared" si="152"/>
        <v>254.78167322479203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0.21233026239022484</v>
      </c>
      <c r="EB159" s="21">
        <f>EXP(-LN(2)/25)*EB158+(1-EXP(-LN(2)/25))/(LN(2)/25)*Calculateur!DW159*Calculateur!DY159*VLOOKUP('Données projet'!$B$14,Paramètres!$A$1:$I$89,3,0)*0.475*44/12</f>
        <v>0.36659802077404724</v>
      </c>
      <c r="EC159" s="21">
        <f>EXP(-LN(2)/2)*EC158+(1-EXP(-LN(2)/2))/(LN(2)/2)*DW159*DZ159*VLOOKUP('Données projet'!$B$14,Paramètres!$A$1:$I$89,3,0)*0.475*44/12</f>
        <v>2.497977279995656E-18</v>
      </c>
      <c r="ED159" s="22">
        <f t="shared" si="178"/>
        <v>0.57892828316427214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-3.4106051316484809E-13</v>
      </c>
      <c r="EK159" s="17">
        <f>EJ159*VLOOKUP('Données projet'!$B$15,Paramètres!$A$1:$I$89,3,0)*VLOOKUP('Données projet'!$B$15,Paramètres!$A$1:$I$89,5,0)</f>
        <v>-3.6711753637064249E-13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399.38728019348088</v>
      </c>
      <c r="EP159" s="59">
        <f t="shared" si="154"/>
        <v>289.54922160039791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0.23630303395041161</v>
      </c>
      <c r="EW159" s="21">
        <f>EXP(-LN(2)/25)*EW158+(1-EXP(-LN(2)/25))/(LN(2)/25)*Calculateur!ER159*Calculateur!ET159*VLOOKUP('Données projet'!$B$15,Paramètres!$A$1:$I$89,3,0)*0.475*44/12</f>
        <v>0.40798811989369826</v>
      </c>
      <c r="EX159" s="21">
        <f>EXP(-LN(2)/2)*EX158+(1-EXP(-LN(2)/2))/(LN(2)/2)*ER159*EU159*VLOOKUP('Données projet'!$B$15,Paramètres!$A$1:$I$89,3,0)*0.475*44/12</f>
        <v>2.7800069728983915E-18</v>
      </c>
      <c r="EY159" s="22">
        <f t="shared" si="181"/>
        <v>0.64429115384410984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-3.0859155231155454E-13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318.40875902853116</v>
      </c>
      <c r="T160" s="59">
        <f t="shared" si="142"/>
        <v>234.87694492493506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0.19473649252094555</v>
      </c>
      <c r="AA160" s="21">
        <f>EXP(-LN(2)/25)*AA159+(1-EXP(-LN(2)/25))/(LN(2)/25)*Calculateur!V160*Calculateur!X160*VLOOKUP('Données projet'!$B$9,Paramètres!$A$1:$I$89,3,0)*0.475*44/12</f>
        <v>0.33356864451307872</v>
      </c>
      <c r="AB160" s="21">
        <f>EXP(-LN(2)/2)*AB159+(1-EXP(-LN(2)/2))/(LN(2)/2)*V160*Y160*VLOOKUP('Données projet'!$B$9,Paramètres!$A$1:$I$89,3,0)*0.475*44/12</f>
        <v>1.6523794691648724E-18</v>
      </c>
      <c r="AC160" s="22">
        <f t="shared" si="163"/>
        <v>0.52830513703402426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243.38048563215585</v>
      </c>
      <c r="AO160" s="59">
        <f t="shared" si="144"/>
        <v>372.1604147006675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0.59092452902907688</v>
      </c>
      <c r="AV160" s="21">
        <f>EXP(-LN(2)/25)*AV159+(1-EXP(-LN(2)/25))/(LN(2)/25)*Calculateur!AQ160*Calculateur!AS160*VLOOKUP('Données projet'!$B$10,Paramètres!$A$1:$I$89,3,0)*0.475*44/12</f>
        <v>0.57243667419197974</v>
      </c>
      <c r="AW160" s="21">
        <f>EXP(-LN(2)/2)*AW159+(1-EXP(-LN(2)/2))/(LN(2)/2)*AQ160*AT160*VLOOKUP('Données projet'!$B$10,Paramètres!$A$1:$I$89,3,0)*0.475*44/12</f>
        <v>2.2474201653007417E-18</v>
      </c>
      <c r="AX160" s="21">
        <f t="shared" si="166"/>
        <v>1.1633612032210565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-5.1159076974727213E-13</v>
      </c>
      <c r="BE160" s="13">
        <f>BD160*VLOOKUP('Données projet'!$B$11,Paramètres!$A$1:$I$89,3,0)*VLOOKUP('Données projet'!$B$11,Paramètres!$A$1:$I$89,5,0)</f>
        <v>-3.4317508834647017E-13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207.93042467236967</v>
      </c>
      <c r="BJ160" s="59">
        <f t="shared" si="146"/>
        <v>250.70954318710835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0.22243607981918351</v>
      </c>
      <c r="BQ160" s="21">
        <f>EXP(-LN(2)/25)*BQ159+(1-EXP(-LN(2)/25))/(LN(2)/25)*Calculateur!BL160*Calculateur!BN160*VLOOKUP('Données projet'!$B$11,Paramètres!$A$1:$I$89,3,0)*0.475*44/12</f>
        <v>0.51148729400693682</v>
      </c>
      <c r="BR160" s="21">
        <f>EXP(-LN(2)/2)*BR159+(1-EXP(-LN(2)/2))/(LN(2)/2)*BL160*BO160*VLOOKUP('Données projet'!$B$11,Paramètres!$A$1:$I$89,3,0)*0.475*44/12</f>
        <v>1.5538552915849919E-18</v>
      </c>
      <c r="BS160" s="22">
        <f t="shared" si="169"/>
        <v>0.73392337382612038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1.7053025658242404E-13</v>
      </c>
      <c r="BZ160" s="13">
        <f>BY160*VLOOKUP('Données projet'!$B$12,Paramètres!$A$1:$I$89,3,0)*VLOOKUP('Données projet'!$B$12,Paramètres!$A$1:$I$89,5,0)</f>
        <v>1.3301360013429075E-13</v>
      </c>
      <c r="CA160" s="13">
        <f t="shared" si="170"/>
        <v>1.9329766731057041E-12</v>
      </c>
      <c r="CB160" s="20">
        <f t="shared" si="171"/>
        <v>3.5982663925596575E-12</v>
      </c>
      <c r="CC160" s="59">
        <f t="shared" si="119"/>
        <v>293.3333333333369</v>
      </c>
      <c r="CD160" s="59">
        <f ca="1">AVERAGE(OFFSET($CC$3,0,0,'Données projet'!$E$12+1,1))-AVERAGE(OFFSET($H$3,0,0,'Données projet'!$E$12+1,1))</f>
        <v>266.30229009596883</v>
      </c>
      <c r="CE160" s="59">
        <f t="shared" si="148"/>
        <v>270.19195828386046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0.11691384249256279</v>
      </c>
      <c r="CL160" s="21">
        <f>EXP(-LN(2)/25)*CL159+(1-EXP(-LN(2)/25))/(LN(2)/25)*Calculateur!CG160*Calculateur!CI160*VLOOKUP('Données projet'!$B$12,Paramètres!$A$1:$I$89,3,0)*0.475*44/12</f>
        <v>0.24747456433809756</v>
      </c>
      <c r="CM160" s="21">
        <f>EXP(-LN(2)/2)*CM159+(1-EXP(-LN(2)/2))/(LN(2)/2)*CG160*CJ160*VLOOKUP('Données projet'!$B$12,Paramètres!$A$1:$I$89,3,0)*0.475*44/12</f>
        <v>1.0020976811954482E-18</v>
      </c>
      <c r="CN160" s="22">
        <f t="shared" si="172"/>
        <v>0.36438840683066032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-5.1159076974727213E-13</v>
      </c>
      <c r="CU160" s="17">
        <f>CT160*VLOOKUP('Données projet'!$B$13,Paramètres!$A$1:$I$89,3,0)*VLOOKUP('Données projet'!$B$13,Paramètres!$A$1:$I$89,5,0)</f>
        <v>-4.0702161641092972E-13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260.20517190557814</v>
      </c>
      <c r="CZ160" s="59">
        <f t="shared" si="150"/>
        <v>307.22009971147133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0.26381953652972961</v>
      </c>
      <c r="DG160" s="21">
        <f>EXP(-LN(2)/25)*DG159+(1-EXP(-LN(2)/25))/(LN(2)/25)*Calculateur!DB160*Calculateur!DD160*VLOOKUP('Données projet'!$B$13,Paramètres!$A$1:$I$89,3,0)*0.475*44/12</f>
        <v>0.60664772079892415</v>
      </c>
      <c r="DH160" s="21">
        <f>EXP(-LN(2)/2)*DH159+(1-EXP(-LN(2)/2))/(LN(2)/2)*DB160*DE160*VLOOKUP('Données projet'!$B$13,Paramètres!$A$1:$I$89,3,0)*0.475*44/12</f>
        <v>1.842944648158944E-18</v>
      </c>
      <c r="DI160" s="22">
        <f t="shared" si="175"/>
        <v>0.87046725732865382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-3.4106051316484809E-13</v>
      </c>
      <c r="DP160" s="17">
        <f>DO160*VLOOKUP('Données projet'!$B$14,Paramètres!$A$1:$I$89,3,0)*VLOOKUP('Données projet'!$B$14,Paramètres!$A$1:$I$89,5,0)</f>
        <v>-3.2987372833304104E-13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347.8889410585312</v>
      </c>
      <c r="DU160" s="59">
        <f t="shared" si="152"/>
        <v>254.78167322479203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0.20816659545342467</v>
      </c>
      <c r="EB160" s="21">
        <f>EXP(-LN(2)/25)*EB159+(1-EXP(-LN(2)/25))/(LN(2)/25)*Calculateur!DW160*Calculateur!DY160*VLOOKUP('Données projet'!$B$14,Paramètres!$A$1:$I$89,3,0)*0.475*44/12</f>
        <v>0.35657337861742888</v>
      </c>
      <c r="EC160" s="21">
        <f>EXP(-LN(2)/2)*EC159+(1-EXP(-LN(2)/2))/(LN(2)/2)*DW160*DZ160*VLOOKUP('Données projet'!$B$14,Paramètres!$A$1:$I$89,3,0)*0.475*44/12</f>
        <v>1.7663366739348554E-18</v>
      </c>
      <c r="ED160" s="22">
        <f t="shared" si="178"/>
        <v>0.56473997407085352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-3.4106051316484809E-13</v>
      </c>
      <c r="EK160" s="17">
        <f>EJ160*VLOOKUP('Données projet'!$B$15,Paramètres!$A$1:$I$89,3,0)*VLOOKUP('Données projet'!$B$15,Paramètres!$A$1:$I$89,5,0)</f>
        <v>-3.6711753637064249E-13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399.38728019348088</v>
      </c>
      <c r="EP160" s="59">
        <f t="shared" si="154"/>
        <v>289.54922160039791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0.23166927558526304</v>
      </c>
      <c r="EW160" s="21">
        <f>EXP(-LN(2)/25)*EW159+(1-EXP(-LN(2)/25))/(LN(2)/25)*Calculateur!ER160*Calculateur!ET160*VLOOKUP('Données projet'!$B$15,Paramètres!$A$1:$I$89,3,0)*0.475*44/12</f>
        <v>0.39683166330004233</v>
      </c>
      <c r="EX160" s="21">
        <f>EXP(-LN(2)/2)*EX159+(1-EXP(-LN(2)/2))/(LN(2)/2)*ER160*EU160*VLOOKUP('Données projet'!$B$15,Paramètres!$A$1:$I$89,3,0)*0.475*44/12</f>
        <v>1.9657617822823393E-18</v>
      </c>
      <c r="EY160" s="22">
        <f t="shared" si="181"/>
        <v>0.62850093888530534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-3.0859155231155454E-13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318.40875902853116</v>
      </c>
      <c r="T161" s="59">
        <f t="shared" si="142"/>
        <v>234.87694492493506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0.19091782868014193</v>
      </c>
      <c r="AA161" s="21">
        <f>EXP(-LN(2)/25)*AA160+(1-EXP(-LN(2)/25))/(LN(2)/25)*Calculateur!V161*Calculateur!X161*VLOOKUP('Données projet'!$B$9,Paramètres!$A$1:$I$89,3,0)*0.475*44/12</f>
        <v>0.32444719238725594</v>
      </c>
      <c r="AB161" s="21">
        <f>EXP(-LN(2)/2)*AB160+(1-EXP(-LN(2)/2))/(LN(2)/2)*V161*Y161*VLOOKUP('Données projet'!$B$9,Paramètres!$A$1:$I$89,3,0)*0.475*44/12</f>
        <v>1.168408727739909E-18</v>
      </c>
      <c r="AC161" s="22">
        <f t="shared" si="163"/>
        <v>0.5153650210673979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243.38048563215585</v>
      </c>
      <c r="AO161" s="59">
        <f t="shared" si="144"/>
        <v>372.1604147006675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0.57933685944319002</v>
      </c>
      <c r="AV161" s="21">
        <f>EXP(-LN(2)/25)*AV160+(1-EXP(-LN(2)/25))/(LN(2)/25)*Calculateur!AQ161*Calculateur!AS161*VLOOKUP('Données projet'!$B$10,Paramètres!$A$1:$I$89,3,0)*0.475*44/12</f>
        <v>0.55678336323306366</v>
      </c>
      <c r="AW161" s="21">
        <f>EXP(-LN(2)/2)*AW160+(1-EXP(-LN(2)/2))/(LN(2)/2)*AQ161*AT161*VLOOKUP('Données projet'!$B$10,Paramètres!$A$1:$I$89,3,0)*0.475*44/12</f>
        <v>1.589166039059546E-18</v>
      </c>
      <c r="AX161" s="21">
        <f t="shared" si="166"/>
        <v>1.1361202226762537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-5.1159076974727213E-13</v>
      </c>
      <c r="BE161" s="13">
        <f>BD161*VLOOKUP('Données projet'!$B$11,Paramètres!$A$1:$I$89,3,0)*VLOOKUP('Données projet'!$B$11,Paramètres!$A$1:$I$89,5,0)</f>
        <v>-3.4317508834647017E-13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207.93042467236967</v>
      </c>
      <c r="BJ161" s="59">
        <f t="shared" si="146"/>
        <v>250.70954318710835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0.21807424396654146</v>
      </c>
      <c r="BQ161" s="21">
        <f>EXP(-LN(2)/25)*BQ160+(1-EXP(-LN(2)/25))/(LN(2)/25)*Calculateur!BL161*Calculateur!BN161*VLOOKUP('Données projet'!$B$11,Paramètres!$A$1:$I$89,3,0)*0.475*44/12</f>
        <v>0.49750064705436936</v>
      </c>
      <c r="BR161" s="21">
        <f>EXP(-LN(2)/2)*BR160+(1-EXP(-LN(2)/2))/(LN(2)/2)*BL161*BO161*VLOOKUP('Données projet'!$B$11,Paramètres!$A$1:$I$89,3,0)*0.475*44/12</f>
        <v>1.0987416136623479E-18</v>
      </c>
      <c r="BS161" s="22">
        <f t="shared" si="169"/>
        <v>0.71557489102091076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1.7053025658242404E-13</v>
      </c>
      <c r="BZ161" s="13">
        <f>BY161*VLOOKUP('Données projet'!$B$12,Paramètres!$A$1:$I$89,3,0)*VLOOKUP('Données projet'!$B$12,Paramètres!$A$1:$I$89,5,0)</f>
        <v>1.3301360013429075E-13</v>
      </c>
      <c r="CA161" s="13">
        <f t="shared" si="170"/>
        <v>1.9329766731057041E-12</v>
      </c>
      <c r="CB161" s="20">
        <f t="shared" si="171"/>
        <v>3.5982663925596575E-12</v>
      </c>
      <c r="CC161" s="59">
        <f t="shared" si="119"/>
        <v>293.3333333333369</v>
      </c>
      <c r="CD161" s="59">
        <f ca="1">AVERAGE(OFFSET($CC$3,0,0,'Données projet'!$E$12+1,1))-AVERAGE(OFFSET($H$3,0,0,'Données projet'!$E$12+1,1))</f>
        <v>266.30229009596883</v>
      </c>
      <c r="CE161" s="59">
        <f t="shared" si="148"/>
        <v>270.19195828386046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0.11462123335168624</v>
      </c>
      <c r="CL161" s="21">
        <f>EXP(-LN(2)/25)*CL160+(1-EXP(-LN(2)/25))/(LN(2)/25)*Calculateur!CG161*Calculateur!CI161*VLOOKUP('Données projet'!$B$12,Paramètres!$A$1:$I$89,3,0)*0.475*44/12</f>
        <v>0.24070735936215054</v>
      </c>
      <c r="CM161" s="21">
        <f>EXP(-LN(2)/2)*CM160+(1-EXP(-LN(2)/2))/(LN(2)/2)*CG161*CJ161*VLOOKUP('Données projet'!$B$12,Paramètres!$A$1:$I$89,3,0)*0.475*44/12</f>
        <v>7.0859006578461648E-19</v>
      </c>
      <c r="CN161" s="22">
        <f t="shared" si="172"/>
        <v>0.35532859271383677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-5.1159076974727213E-13</v>
      </c>
      <c r="CU161" s="17">
        <f>CT161*VLOOKUP('Données projet'!$B$13,Paramètres!$A$1:$I$89,3,0)*VLOOKUP('Données projet'!$B$13,Paramètres!$A$1:$I$89,5,0)</f>
        <v>-4.0702161641092972E-13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260.20517190557814</v>
      </c>
      <c r="CZ161" s="59">
        <f t="shared" si="150"/>
        <v>307.22009971147133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0.25864619633240998</v>
      </c>
      <c r="DG161" s="21">
        <f>EXP(-LN(2)/25)*DG160+(1-EXP(-LN(2)/25))/(LN(2)/25)*Calculateur!DB161*Calculateur!DD161*VLOOKUP('Données projet'!$B$13,Paramètres!$A$1:$I$89,3,0)*0.475*44/12</f>
        <v>0.59005890697146046</v>
      </c>
      <c r="DH161" s="21">
        <f>EXP(-LN(2)/2)*DH160+(1-EXP(-LN(2)/2))/(LN(2)/2)*DB161*DE161*VLOOKUP('Données projet'!$B$13,Paramètres!$A$1:$I$89,3,0)*0.475*44/12</f>
        <v>1.3031586580646452E-18</v>
      </c>
      <c r="DI161" s="22">
        <f t="shared" si="175"/>
        <v>0.84870510330387039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-3.4106051316484809E-13</v>
      </c>
      <c r="DP161" s="17">
        <f>DO161*VLOOKUP('Données projet'!$B$14,Paramètres!$A$1:$I$89,3,0)*VLOOKUP('Données projet'!$B$14,Paramètres!$A$1:$I$89,5,0)</f>
        <v>-3.2987372833304104E-13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347.8889410585312</v>
      </c>
      <c r="DU161" s="59">
        <f t="shared" si="152"/>
        <v>254.78167322479203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0.20408457548566908</v>
      </c>
      <c r="EB161" s="21">
        <f>EXP(-LN(2)/25)*EB160+(1-EXP(-LN(2)/25))/(LN(2)/25)*Calculateur!DW161*Calculateur!DY161*VLOOKUP('Données projet'!$B$14,Paramètres!$A$1:$I$89,3,0)*0.475*44/12</f>
        <v>0.34682286082775626</v>
      </c>
      <c r="EC161" s="21">
        <f>EXP(-LN(2)/2)*EC160+(1-EXP(-LN(2)/2))/(LN(2)/2)*DW161*DZ161*VLOOKUP('Données projet'!$B$14,Paramètres!$A$1:$I$89,3,0)*0.475*44/12</f>
        <v>1.248988639997828E-18</v>
      </c>
      <c r="ED161" s="22">
        <f t="shared" si="178"/>
        <v>0.55090743631342531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-3.4106051316484809E-13</v>
      </c>
      <c r="EK161" s="17">
        <f>EJ161*VLOOKUP('Données projet'!$B$15,Paramètres!$A$1:$I$89,3,0)*VLOOKUP('Données projet'!$B$15,Paramètres!$A$1:$I$89,5,0)</f>
        <v>-3.6711753637064249E-13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399.38728019348088</v>
      </c>
      <c r="EP161" s="59">
        <f t="shared" si="154"/>
        <v>289.54922160039791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0.2271263823953415</v>
      </c>
      <c r="EW161" s="21">
        <f>EXP(-LN(2)/25)*EW160+(1-EXP(-LN(2)/25))/(LN(2)/25)*Calculateur!ER161*Calculateur!ET161*VLOOKUP('Données projet'!$B$15,Paramètres!$A$1:$I$89,3,0)*0.475*44/12</f>
        <v>0.38598028059863249</v>
      </c>
      <c r="EX161" s="21">
        <f>EXP(-LN(2)/2)*EX160+(1-EXP(-LN(2)/2))/(LN(2)/2)*ER161*EU161*VLOOKUP('Données projet'!$B$15,Paramètres!$A$1:$I$89,3,0)*0.475*44/12</f>
        <v>1.3900034864491958E-18</v>
      </c>
      <c r="EY161" s="22">
        <f t="shared" si="181"/>
        <v>0.61310666299397398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-3.0859155231155454E-13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318.40875902853116</v>
      </c>
      <c r="T162" s="59">
        <f t="shared" si="142"/>
        <v>234.87694492493506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0.18717404650810152</v>
      </c>
      <c r="AA162" s="21">
        <f>EXP(-LN(2)/25)*AA161+(1-EXP(-LN(2)/25))/(LN(2)/25)*Calculateur!V162*Calculateur!X162*VLOOKUP('Données projet'!$B$9,Paramètres!$A$1:$I$89,3,0)*0.475*44/12</f>
        <v>0.31557516684949011</v>
      </c>
      <c r="AB162" s="21">
        <f>EXP(-LN(2)/2)*AB161+(1-EXP(-LN(2)/2))/(LN(2)/2)*V162*Y162*VLOOKUP('Données projet'!$B$9,Paramètres!$A$1:$I$89,3,0)*0.475*44/12</f>
        <v>8.261897345824362E-19</v>
      </c>
      <c r="AC162" s="22">
        <f t="shared" si="163"/>
        <v>0.5027492133575916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243.38048563215585</v>
      </c>
      <c r="AO162" s="59">
        <f t="shared" si="144"/>
        <v>372.1604147006675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0.56797641699010182</v>
      </c>
      <c r="AV162" s="21">
        <f>EXP(-LN(2)/25)*AV161+(1-EXP(-LN(2)/25))/(LN(2)/25)*Calculateur!AQ162*Calculateur!AS162*VLOOKUP('Données projet'!$B$10,Paramètres!$A$1:$I$89,3,0)*0.475*44/12</f>
        <v>0.54155809288549095</v>
      </c>
      <c r="AW162" s="21">
        <f>EXP(-LN(2)/2)*AW161+(1-EXP(-LN(2)/2))/(LN(2)/2)*AQ162*AT162*VLOOKUP('Données projet'!$B$10,Paramètres!$A$1:$I$89,3,0)*0.475*44/12</f>
        <v>1.1237100826503708E-18</v>
      </c>
      <c r="AX162" s="21">
        <f t="shared" si="166"/>
        <v>1.1095345098755929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-5.1159076974727213E-13</v>
      </c>
      <c r="BE162" s="13">
        <f>BD162*VLOOKUP('Données projet'!$B$11,Paramètres!$A$1:$I$89,3,0)*VLOOKUP('Données projet'!$B$11,Paramètres!$A$1:$I$89,5,0)</f>
        <v>-3.4317508834647017E-13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207.93042467236967</v>
      </c>
      <c r="BJ162" s="59">
        <f t="shared" si="146"/>
        <v>250.70954318710835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0.21379794105451255</v>
      </c>
      <c r="BQ162" s="21">
        <f>EXP(-LN(2)/25)*BQ161+(1-EXP(-LN(2)/25))/(LN(2)/25)*Calculateur!BL162*Calculateur!BN162*VLOOKUP('Données projet'!$B$11,Paramètres!$A$1:$I$89,3,0)*0.475*44/12</f>
        <v>0.48389646569824568</v>
      </c>
      <c r="BR162" s="21">
        <f>EXP(-LN(2)/2)*BR161+(1-EXP(-LN(2)/2))/(LN(2)/2)*BL162*BO162*VLOOKUP('Données projet'!$B$11,Paramètres!$A$1:$I$89,3,0)*0.475*44/12</f>
        <v>7.7692764579249595E-19</v>
      </c>
      <c r="BS162" s="22">
        <f t="shared" si="169"/>
        <v>0.69769440675275818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1.7053025658242404E-13</v>
      </c>
      <c r="BZ162" s="13">
        <f>BY162*VLOOKUP('Données projet'!$B$12,Paramètres!$A$1:$I$89,3,0)*VLOOKUP('Données projet'!$B$12,Paramètres!$A$1:$I$89,5,0)</f>
        <v>1.3301360013429075E-13</v>
      </c>
      <c r="CA162" s="13">
        <f t="shared" si="170"/>
        <v>1.9329766731057041E-12</v>
      </c>
      <c r="CB162" s="20">
        <f t="shared" si="171"/>
        <v>3.5982663925596575E-12</v>
      </c>
      <c r="CC162" s="59">
        <f t="shared" si="119"/>
        <v>293.3333333333369</v>
      </c>
      <c r="CD162" s="59">
        <f ca="1">AVERAGE(OFFSET($CC$3,0,0,'Données projet'!$E$12+1,1))-AVERAGE(OFFSET($H$3,0,0,'Données projet'!$E$12+1,1))</f>
        <v>266.30229009596883</v>
      </c>
      <c r="CE162" s="59">
        <f t="shared" si="148"/>
        <v>270.19195828386046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0.11237358087770878</v>
      </c>
      <c r="CL162" s="21">
        <f>EXP(-LN(2)/25)*CL161+(1-EXP(-LN(2)/25))/(LN(2)/25)*Calculateur!CG162*Calculateur!CI162*VLOOKUP('Données projet'!$B$12,Paramètres!$A$1:$I$89,3,0)*0.475*44/12</f>
        <v>0.23412520396214265</v>
      </c>
      <c r="CM162" s="21">
        <f>EXP(-LN(2)/2)*CM161+(1-EXP(-LN(2)/2))/(LN(2)/2)*CG162*CJ162*VLOOKUP('Données projet'!$B$12,Paramètres!$A$1:$I$89,3,0)*0.475*44/12</f>
        <v>5.0104884059772411E-19</v>
      </c>
      <c r="CN162" s="22">
        <f t="shared" si="172"/>
        <v>0.34649878483985141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-5.1159076974727213E-13</v>
      </c>
      <c r="CU162" s="17">
        <f>CT162*VLOOKUP('Données projet'!$B$13,Paramètres!$A$1:$I$89,3,0)*VLOOKUP('Données projet'!$B$13,Paramètres!$A$1:$I$89,5,0)</f>
        <v>-4.0702161641092972E-13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260.20517190557814</v>
      </c>
      <c r="CZ162" s="59">
        <f t="shared" si="150"/>
        <v>307.22009971147133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0.2535743021809338</v>
      </c>
      <c r="DG162" s="21">
        <f>EXP(-LN(2)/25)*DG161+(1-EXP(-LN(2)/25))/(LN(2)/25)*Calculateur!DB162*Calculateur!DD162*VLOOKUP('Données projet'!$B$13,Paramètres!$A$1:$I$89,3,0)*0.475*44/12</f>
        <v>0.57392371513047657</v>
      </c>
      <c r="DH162" s="21">
        <f>EXP(-LN(2)/2)*DH161+(1-EXP(-LN(2)/2))/(LN(2)/2)*DB162*DE162*VLOOKUP('Données projet'!$B$13,Paramètres!$A$1:$I$89,3,0)*0.475*44/12</f>
        <v>9.2147232407947199E-19</v>
      </c>
      <c r="DI162" s="22">
        <f t="shared" si="175"/>
        <v>0.82749801731141037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-3.4106051316484809E-13</v>
      </c>
      <c r="DP162" s="17">
        <f>DO162*VLOOKUP('Données projet'!$B$14,Paramètres!$A$1:$I$89,3,0)*VLOOKUP('Données projet'!$B$14,Paramètres!$A$1:$I$89,5,0)</f>
        <v>-3.2987372833304104E-13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347.8889410585312</v>
      </c>
      <c r="DU162" s="59">
        <f t="shared" si="152"/>
        <v>254.78167322479203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0.20008260143969483</v>
      </c>
      <c r="EB162" s="21">
        <f>EXP(-LN(2)/25)*EB161+(1-EXP(-LN(2)/25))/(LN(2)/25)*Calculateur!DW162*Calculateur!DY162*VLOOKUP('Données projet'!$B$14,Paramètres!$A$1:$I$89,3,0)*0.475*44/12</f>
        <v>0.33733897145979969</v>
      </c>
      <c r="EC162" s="21">
        <f>EXP(-LN(2)/2)*EC161+(1-EXP(-LN(2)/2))/(LN(2)/2)*DW162*DZ162*VLOOKUP('Données projet'!$B$14,Paramètres!$A$1:$I$89,3,0)*0.475*44/12</f>
        <v>8.8316833696742771E-19</v>
      </c>
      <c r="ED162" s="22">
        <f t="shared" si="178"/>
        <v>0.53742157289949455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-3.4106051316484809E-13</v>
      </c>
      <c r="EK162" s="17">
        <f>EJ162*VLOOKUP('Données projet'!$B$15,Paramètres!$A$1:$I$89,3,0)*VLOOKUP('Données projet'!$B$15,Paramètres!$A$1:$I$89,5,0)</f>
        <v>-3.6711753637064249E-13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399.38728019348088</v>
      </c>
      <c r="EP162" s="59">
        <f t="shared" si="154"/>
        <v>289.54922160039791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0.22267257256998307</v>
      </c>
      <c r="EW162" s="21">
        <f>EXP(-LN(2)/25)*EW161+(1-EXP(-LN(2)/25))/(LN(2)/25)*Calculateur!ER162*Calculateur!ET162*VLOOKUP('Données projet'!$B$15,Paramètres!$A$1:$I$89,3,0)*0.475*44/12</f>
        <v>0.37542562952784209</v>
      </c>
      <c r="EX162" s="21">
        <f>EXP(-LN(2)/2)*EX161+(1-EXP(-LN(2)/2))/(LN(2)/2)*ER162*EU162*VLOOKUP('Données projet'!$B$15,Paramètres!$A$1:$I$89,3,0)*0.475*44/12</f>
        <v>9.8288089114116964E-19</v>
      </c>
      <c r="EY162" s="22">
        <f t="shared" si="181"/>
        <v>0.59809820209782516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-3.0859155231155454E-13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318.40875902853116</v>
      </c>
      <c r="T163" s="59">
        <f t="shared" si="142"/>
        <v>234.87694492493506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0.18350367762097317</v>
      </c>
      <c r="AA163" s="21">
        <f>EXP(-LN(2)/25)*AA162+(1-EXP(-LN(2)/25))/(LN(2)/25)*Calculateur!V163*Calculateur!X163*VLOOKUP('Données projet'!$B$9,Paramètres!$A$1:$I$89,3,0)*0.475*44/12</f>
        <v>0.30694574731661406</v>
      </c>
      <c r="AB163" s="21">
        <f>EXP(-LN(2)/2)*AB162+(1-EXP(-LN(2)/2))/(LN(2)/2)*V163*Y163*VLOOKUP('Données projet'!$B$9,Paramètres!$A$1:$I$89,3,0)*0.475*44/12</f>
        <v>5.8420436386995448E-19</v>
      </c>
      <c r="AC163" s="22">
        <f t="shared" si="163"/>
        <v>0.49044942493758725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243.38048563215585</v>
      </c>
      <c r="AO163" s="59">
        <f t="shared" si="144"/>
        <v>372.1604147006675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0.55683874588433302</v>
      </c>
      <c r="AV163" s="21">
        <f>EXP(-LN(2)/25)*AV162+(1-EXP(-LN(2)/25))/(LN(2)/25)*Calculateur!AQ163*Calculateur!AS163*VLOOKUP('Données projet'!$B$10,Paramètres!$A$1:$I$89,3,0)*0.475*44/12</f>
        <v>0.52674915835623481</v>
      </c>
      <c r="AW163" s="21">
        <f>EXP(-LN(2)/2)*AW162+(1-EXP(-LN(2)/2))/(LN(2)/2)*AQ163*AT163*VLOOKUP('Données projet'!$B$10,Paramètres!$A$1:$I$89,3,0)*0.475*44/12</f>
        <v>7.9458301952977301E-19</v>
      </c>
      <c r="AX163" s="21">
        <f t="shared" si="166"/>
        <v>1.0835879042405678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-5.1159076974727213E-13</v>
      </c>
      <c r="BE163" s="13">
        <f>BD163*VLOOKUP('Données projet'!$B$11,Paramètres!$A$1:$I$89,3,0)*VLOOKUP('Données projet'!$B$11,Paramètres!$A$1:$I$89,5,0)</f>
        <v>-3.4317508834647017E-13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207.93042467236967</v>
      </c>
      <c r="BJ163" s="59">
        <f t="shared" si="146"/>
        <v>250.70954318710835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0.2096054938343013</v>
      </c>
      <c r="BQ163" s="21">
        <f>EXP(-LN(2)/25)*BQ162+(1-EXP(-LN(2)/25))/(LN(2)/25)*Calculateur!BL163*Calculateur!BN163*VLOOKUP('Données projet'!$B$11,Paramètres!$A$1:$I$89,3,0)*0.475*44/12</f>
        <v>0.470664291396718</v>
      </c>
      <c r="BR163" s="21">
        <f>EXP(-LN(2)/2)*BR162+(1-EXP(-LN(2)/2))/(LN(2)/2)*BL163*BO163*VLOOKUP('Données projet'!$B$11,Paramètres!$A$1:$I$89,3,0)*0.475*44/12</f>
        <v>5.4937080683117393E-19</v>
      </c>
      <c r="BS163" s="22">
        <f t="shared" si="169"/>
        <v>0.68026978523101933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1.7053025658242404E-13</v>
      </c>
      <c r="BZ163" s="13">
        <f>BY163*VLOOKUP('Données projet'!$B$12,Paramètres!$A$1:$I$89,3,0)*VLOOKUP('Données projet'!$B$12,Paramètres!$A$1:$I$89,5,0)</f>
        <v>1.3301360013429075E-13</v>
      </c>
      <c r="CA163" s="13">
        <f t="shared" si="170"/>
        <v>1.9329766731057041E-12</v>
      </c>
      <c r="CB163" s="20">
        <f t="shared" si="171"/>
        <v>3.5982663925596575E-12</v>
      </c>
      <c r="CC163" s="59">
        <f t="shared" si="119"/>
        <v>293.3333333333369</v>
      </c>
      <c r="CD163" s="59">
        <f ca="1">AVERAGE(OFFSET($CC$3,0,0,'Données projet'!$E$12+1,1))-AVERAGE(OFFSET($H$3,0,0,'Données projet'!$E$12+1,1))</f>
        <v>266.30229009596883</v>
      </c>
      <c r="CE163" s="59">
        <f t="shared" si="148"/>
        <v>270.19195828386046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0.11017000349781338</v>
      </c>
      <c r="CL163" s="21">
        <f>EXP(-LN(2)/25)*CL162+(1-EXP(-LN(2)/25))/(LN(2)/25)*Calculateur!CG163*Calculateur!CI163*VLOOKUP('Données projet'!$B$12,Paramètres!$A$1:$I$89,3,0)*0.475*44/12</f>
        <v>0.22772303794768847</v>
      </c>
      <c r="CM163" s="21">
        <f>EXP(-LN(2)/2)*CM162+(1-EXP(-LN(2)/2))/(LN(2)/2)*CG163*CJ163*VLOOKUP('Données projet'!$B$12,Paramètres!$A$1:$I$89,3,0)*0.475*44/12</f>
        <v>3.5429503289230824E-19</v>
      </c>
      <c r="CN163" s="22">
        <f t="shared" si="172"/>
        <v>0.33789304144550186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-5.1159076974727213E-13</v>
      </c>
      <c r="CU163" s="17">
        <f>CT163*VLOOKUP('Données projet'!$B$13,Paramètres!$A$1:$I$89,3,0)*VLOOKUP('Données projet'!$B$13,Paramètres!$A$1:$I$89,5,0)</f>
        <v>-4.0702161641092972E-13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260.20517190557814</v>
      </c>
      <c r="CZ163" s="59">
        <f t="shared" si="150"/>
        <v>307.22009971147133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0.24860186478021812</v>
      </c>
      <c r="DG163" s="21">
        <f>EXP(-LN(2)/25)*DG162+(1-EXP(-LN(2)/25))/(LN(2)/25)*Calculateur!DB163*Calculateur!DD163*VLOOKUP('Données projet'!$B$13,Paramètres!$A$1:$I$89,3,0)*0.475*44/12</f>
        <v>0.55822974095889721</v>
      </c>
      <c r="DH163" s="21">
        <f>EXP(-LN(2)/2)*DH162+(1-EXP(-LN(2)/2))/(LN(2)/2)*DB163*DE163*VLOOKUP('Données projet'!$B$13,Paramètres!$A$1:$I$89,3,0)*0.475*44/12</f>
        <v>6.5157932903232261E-19</v>
      </c>
      <c r="DI163" s="22">
        <f t="shared" si="175"/>
        <v>0.80683160573911539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-3.4106051316484809E-13</v>
      </c>
      <c r="DP163" s="17">
        <f>DO163*VLOOKUP('Données projet'!$B$14,Paramètres!$A$1:$I$89,3,0)*VLOOKUP('Données projet'!$B$14,Paramètres!$A$1:$I$89,5,0)</f>
        <v>-3.2987372833304104E-13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347.8889410585312</v>
      </c>
      <c r="DU163" s="59">
        <f t="shared" si="152"/>
        <v>254.78167322479203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0.19615910366379902</v>
      </c>
      <c r="EB163" s="21">
        <f>EXP(-LN(2)/25)*EB162+(1-EXP(-LN(2)/25))/(LN(2)/25)*Calculateur!DW163*Calculateur!DY163*VLOOKUP('Données projet'!$B$14,Paramètres!$A$1:$I$89,3,0)*0.475*44/12</f>
        <v>0.32811441954534593</v>
      </c>
      <c r="EC163" s="21">
        <f>EXP(-LN(2)/2)*EC162+(1-EXP(-LN(2)/2))/(LN(2)/2)*DW163*DZ163*VLOOKUP('Données projet'!$B$14,Paramètres!$A$1:$I$89,3,0)*0.475*44/12</f>
        <v>6.2449431999891399E-19</v>
      </c>
      <c r="ED163" s="22">
        <f t="shared" si="178"/>
        <v>0.52427352320914489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-3.4106051316484809E-13</v>
      </c>
      <c r="EK163" s="17">
        <f>EJ163*VLOOKUP('Données projet'!$B$15,Paramètres!$A$1:$I$89,3,0)*VLOOKUP('Données projet'!$B$15,Paramètres!$A$1:$I$89,5,0)</f>
        <v>-3.6711753637064249E-13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399.38728019348088</v>
      </c>
      <c r="EP163" s="59">
        <f t="shared" si="154"/>
        <v>289.54922160039791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0.21830609923874417</v>
      </c>
      <c r="EW163" s="21">
        <f>EXP(-LN(2)/25)*EW162+(1-EXP(-LN(2)/25))/(LN(2)/25)*Calculateur!ER163*Calculateur!ET163*VLOOKUP('Données projet'!$B$15,Paramètres!$A$1:$I$89,3,0)*0.475*44/12</f>
        <v>0.36515959594562741</v>
      </c>
      <c r="EX163" s="21">
        <f>EXP(-LN(2)/2)*EX162+(1-EXP(-LN(2)/2))/(LN(2)/2)*ER163*EU163*VLOOKUP('Données projet'!$B$15,Paramètres!$A$1:$I$89,3,0)*0.475*44/12</f>
        <v>6.9500174322459788E-19</v>
      </c>
      <c r="EY163" s="22">
        <f t="shared" si="181"/>
        <v>0.58346569518437152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-3.0859155231155454E-13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318.40875902853116</v>
      </c>
      <c r="T164" s="59">
        <f t="shared" si="142"/>
        <v>234.87694492493506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0.17990528242901743</v>
      </c>
      <c r="AA164" s="21">
        <f>EXP(-LN(2)/25)*AA163+(1-EXP(-LN(2)/25))/(LN(2)/25)*Calculateur!V164*Calculateur!X164*VLOOKUP('Données projet'!$B$9,Paramètres!$A$1:$I$89,3,0)*0.475*44/12</f>
        <v>0.2985522997146659</v>
      </c>
      <c r="AB164" s="21">
        <f>EXP(-LN(2)/2)*AB163+(1-EXP(-LN(2)/2))/(LN(2)/2)*V164*Y164*VLOOKUP('Données projet'!$B$9,Paramètres!$A$1:$I$89,3,0)*0.475*44/12</f>
        <v>4.130948672912181E-19</v>
      </c>
      <c r="AC164" s="22">
        <f t="shared" si="163"/>
        <v>0.47845758214368334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243.38048563215585</v>
      </c>
      <c r="AO164" s="59">
        <f t="shared" si="144"/>
        <v>372.1604147006675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0.54591947771563976</v>
      </c>
      <c r="AV164" s="21">
        <f>EXP(-LN(2)/25)*AV163+(1-EXP(-LN(2)/25))/(LN(2)/25)*Calculateur!AQ164*Calculateur!AS164*VLOOKUP('Données projet'!$B$10,Paramètres!$A$1:$I$89,3,0)*0.475*44/12</f>
        <v>0.51234517492044929</v>
      </c>
      <c r="AW164" s="21">
        <f>EXP(-LN(2)/2)*AW163+(1-EXP(-LN(2)/2))/(LN(2)/2)*AQ164*AT164*VLOOKUP('Données projet'!$B$10,Paramètres!$A$1:$I$89,3,0)*0.475*44/12</f>
        <v>5.6185504132518542E-19</v>
      </c>
      <c r="AX164" s="21">
        <f t="shared" si="166"/>
        <v>1.058264652636089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-5.1159076974727213E-13</v>
      </c>
      <c r="BE164" s="13">
        <f>BD164*VLOOKUP('Données projet'!$B$11,Paramètres!$A$1:$I$89,3,0)*VLOOKUP('Données projet'!$B$11,Paramètres!$A$1:$I$89,5,0)</f>
        <v>-3.4317508834647017E-13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207.93042467236967</v>
      </c>
      <c r="BJ164" s="59">
        <f t="shared" si="146"/>
        <v>250.70954318710835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0.20549525794693807</v>
      </c>
      <c r="BQ164" s="21">
        <f>EXP(-LN(2)/25)*BQ163+(1-EXP(-LN(2)/25))/(LN(2)/25)*Calculateur!BL164*Calculateur!BN164*VLOOKUP('Données projet'!$B$11,Paramètres!$A$1:$I$89,3,0)*0.475*44/12</f>
        <v>0.4577939515973154</v>
      </c>
      <c r="BR164" s="21">
        <f>EXP(-LN(2)/2)*BR163+(1-EXP(-LN(2)/2))/(LN(2)/2)*BL164*BO164*VLOOKUP('Données projet'!$B$11,Paramètres!$A$1:$I$89,3,0)*0.475*44/12</f>
        <v>3.8846382289624797E-19</v>
      </c>
      <c r="BS164" s="22">
        <f t="shared" si="169"/>
        <v>0.66328920954425352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1.7053025658242404E-13</v>
      </c>
      <c r="BZ164" s="13">
        <f>BY164*VLOOKUP('Données projet'!$B$12,Paramètres!$A$1:$I$89,3,0)*VLOOKUP('Données projet'!$B$12,Paramètres!$A$1:$I$89,5,0)</f>
        <v>1.3301360013429075E-13</v>
      </c>
      <c r="CA164" s="13">
        <f t="shared" si="170"/>
        <v>1.9329766731057041E-12</v>
      </c>
      <c r="CB164" s="20">
        <f t="shared" si="171"/>
        <v>3.5982663925596575E-12</v>
      </c>
      <c r="CC164" s="59">
        <f t="shared" si="119"/>
        <v>293.3333333333369</v>
      </c>
      <c r="CD164" s="59">
        <f ca="1">AVERAGE(OFFSET($CC$3,0,0,'Données projet'!$E$12+1,1))-AVERAGE(OFFSET($H$3,0,0,'Données projet'!$E$12+1,1))</f>
        <v>266.30229009596883</v>
      </c>
      <c r="CE164" s="59">
        <f t="shared" si="148"/>
        <v>270.19195828386046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0.10800963692628823</v>
      </c>
      <c r="CL164" s="21">
        <f>EXP(-LN(2)/25)*CL163+(1-EXP(-LN(2)/25))/(LN(2)/25)*Calculateur!CG164*Calculateur!CI164*VLOOKUP('Données projet'!$B$12,Paramètres!$A$1:$I$89,3,0)*0.475*44/12</f>
        <v>0.22149593949957483</v>
      </c>
      <c r="CM164" s="21">
        <f>EXP(-LN(2)/2)*CM163+(1-EXP(-LN(2)/2))/(LN(2)/2)*CG164*CJ164*VLOOKUP('Données projet'!$B$12,Paramètres!$A$1:$I$89,3,0)*0.475*44/12</f>
        <v>2.5052442029886205E-19</v>
      </c>
      <c r="CN164" s="22">
        <f t="shared" si="172"/>
        <v>0.32950557642586309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-5.1159076974727213E-13</v>
      </c>
      <c r="CU164" s="17">
        <f>CT164*VLOOKUP('Données projet'!$B$13,Paramètres!$A$1:$I$89,3,0)*VLOOKUP('Données projet'!$B$13,Paramètres!$A$1:$I$89,5,0)</f>
        <v>-4.0702161641092972E-13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260.20517190557814</v>
      </c>
      <c r="CZ164" s="59">
        <f t="shared" si="150"/>
        <v>307.22009971147133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0.24372693384404312</v>
      </c>
      <c r="DG164" s="21">
        <f>EXP(-LN(2)/25)*DG163+(1-EXP(-LN(2)/25))/(LN(2)/25)*Calculateur!DB164*Calculateur!DD164*VLOOKUP('Données projet'!$B$13,Paramètres!$A$1:$I$89,3,0)*0.475*44/12</f>
        <v>0.54296491933634994</v>
      </c>
      <c r="DH164" s="21">
        <f>EXP(-LN(2)/2)*DH163+(1-EXP(-LN(2)/2))/(LN(2)/2)*DB164*DE164*VLOOKUP('Données projet'!$B$13,Paramètres!$A$1:$I$89,3,0)*0.475*44/12</f>
        <v>4.6073616203973599E-19</v>
      </c>
      <c r="DI164" s="22">
        <f t="shared" si="175"/>
        <v>0.78669185318039303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-3.4106051316484809E-13</v>
      </c>
      <c r="DP164" s="17">
        <f>DO164*VLOOKUP('Données projet'!$B$14,Paramètres!$A$1:$I$89,3,0)*VLOOKUP('Données projet'!$B$14,Paramètres!$A$1:$I$89,5,0)</f>
        <v>-3.2987372833304104E-13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347.8889410585312</v>
      </c>
      <c r="DU164" s="59">
        <f t="shared" si="152"/>
        <v>254.78167322479203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0.19231254328619116</v>
      </c>
      <c r="EB164" s="21">
        <f>EXP(-LN(2)/25)*EB163+(1-EXP(-LN(2)/25))/(LN(2)/25)*Calculateur!DW164*Calculateur!DY164*VLOOKUP('Données projet'!$B$14,Paramètres!$A$1:$I$89,3,0)*0.475*44/12</f>
        <v>0.31914211348809102</v>
      </c>
      <c r="EC164" s="21">
        <f>EXP(-LN(2)/2)*EC163+(1-EXP(-LN(2)/2))/(LN(2)/2)*DW164*DZ164*VLOOKUP('Données projet'!$B$14,Paramètres!$A$1:$I$89,3,0)*0.475*44/12</f>
        <v>4.4158416848371386E-19</v>
      </c>
      <c r="ED164" s="22">
        <f t="shared" si="178"/>
        <v>0.51145465677428215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-3.4106051316484809E-13</v>
      </c>
      <c r="EK164" s="17">
        <f>EJ164*VLOOKUP('Données projet'!$B$15,Paramètres!$A$1:$I$89,3,0)*VLOOKUP('Données projet'!$B$15,Paramètres!$A$1:$I$89,5,0)</f>
        <v>-3.6711753637064249E-13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399.38728019348088</v>
      </c>
      <c r="EP164" s="59">
        <f t="shared" si="154"/>
        <v>289.54922160039791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0.2140252497862451</v>
      </c>
      <c r="EW164" s="21">
        <f>EXP(-LN(2)/25)*EW163+(1-EXP(-LN(2)/25))/(LN(2)/25)*Calculateur!ER164*Calculateur!ET164*VLOOKUP('Données projet'!$B$15,Paramètres!$A$1:$I$89,3,0)*0.475*44/12</f>
        <v>0.35517428759158565</v>
      </c>
      <c r="EX164" s="21">
        <f>EXP(-LN(2)/2)*EX163+(1-EXP(-LN(2)/2))/(LN(2)/2)*ER164*EU164*VLOOKUP('Données projet'!$B$15,Paramètres!$A$1:$I$89,3,0)*0.475*44/12</f>
        <v>4.9144044557058482E-19</v>
      </c>
      <c r="EY164" s="22">
        <f t="shared" si="181"/>
        <v>0.56919953737783069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-3.0859155231155454E-13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318.40875902853116</v>
      </c>
      <c r="T165" s="59">
        <f t="shared" si="142"/>
        <v>234.87694492493506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0.1763774495719716</v>
      </c>
      <c r="AA165" s="21">
        <f>EXP(-LN(2)/25)*AA164+(1-EXP(-LN(2)/25))/(LN(2)/25)*Calculateur!V165*Calculateur!X165*VLOOKUP('Données projet'!$B$9,Paramètres!$A$1:$I$89,3,0)*0.475*44/12</f>
        <v>0.29038837137878526</v>
      </c>
      <c r="AB165" s="21">
        <f>EXP(-LN(2)/2)*AB164+(1-EXP(-LN(2)/2))/(LN(2)/2)*V165*Y165*VLOOKUP('Données projet'!$B$9,Paramètres!$A$1:$I$89,3,0)*0.475*44/12</f>
        <v>2.9210218193497724E-19</v>
      </c>
      <c r="AC165" s="22">
        <f t="shared" si="163"/>
        <v>0.46676582095075686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243.38048563215585</v>
      </c>
      <c r="AO165" s="59">
        <f t="shared" si="144"/>
        <v>372.1604147006675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0.53521432973563865</v>
      </c>
      <c r="AV165" s="21">
        <f>EXP(-LN(2)/25)*AV164+(1-EXP(-LN(2)/25))/(LN(2)/25)*Calculateur!AQ165*Calculateur!AS165*VLOOKUP('Données projet'!$B$10,Paramètres!$A$1:$I$89,3,0)*0.475*44/12</f>
        <v>0.49833506916918785</v>
      </c>
      <c r="AW165" s="21">
        <f>EXP(-LN(2)/2)*AW164+(1-EXP(-LN(2)/2))/(LN(2)/2)*AQ165*AT165*VLOOKUP('Données projet'!$B$10,Paramètres!$A$1:$I$89,3,0)*0.475*44/12</f>
        <v>3.9729150976488651E-19</v>
      </c>
      <c r="AX165" s="21">
        <f t="shared" si="166"/>
        <v>1.0335493989048266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-5.1159076974727213E-13</v>
      </c>
      <c r="BE165" s="13">
        <f>BD165*VLOOKUP('Données projet'!$B$11,Paramètres!$A$1:$I$89,3,0)*VLOOKUP('Données projet'!$B$11,Paramètres!$A$1:$I$89,5,0)</f>
        <v>-3.4317508834647017E-13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207.93042467236967</v>
      </c>
      <c r="BJ165" s="59">
        <f t="shared" si="146"/>
        <v>250.70954318710835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0.2014656212783297</v>
      </c>
      <c r="BQ165" s="21">
        <f>EXP(-LN(2)/25)*BQ164+(1-EXP(-LN(2)/25))/(LN(2)/25)*Calculateur!BL165*Calculateur!BN165*VLOOKUP('Données projet'!$B$11,Paramètres!$A$1:$I$89,3,0)*0.475*44/12</f>
        <v>0.44527555191654922</v>
      </c>
      <c r="BR165" s="21">
        <f>EXP(-LN(2)/2)*BR164+(1-EXP(-LN(2)/2))/(LN(2)/2)*BL165*BO165*VLOOKUP('Données projet'!$B$11,Paramètres!$A$1:$I$89,3,0)*0.475*44/12</f>
        <v>2.7468540341558696E-19</v>
      </c>
      <c r="BS165" s="22">
        <f t="shared" si="169"/>
        <v>0.64674117319487889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1.7053025658242404E-13</v>
      </c>
      <c r="BZ165" s="13">
        <f>BY165*VLOOKUP('Données projet'!$B$12,Paramètres!$A$1:$I$89,3,0)*VLOOKUP('Données projet'!$B$12,Paramètres!$A$1:$I$89,5,0)</f>
        <v>1.3301360013429075E-13</v>
      </c>
      <c r="CA165" s="13">
        <f t="shared" si="170"/>
        <v>1.9329766731057041E-12</v>
      </c>
      <c r="CB165" s="20">
        <f t="shared" si="171"/>
        <v>3.5982663925596575E-12</v>
      </c>
      <c r="CC165" s="59">
        <f t="shared" si="119"/>
        <v>293.3333333333369</v>
      </c>
      <c r="CD165" s="59">
        <f ca="1">AVERAGE(OFFSET($CC$3,0,0,'Données projet'!$E$12+1,1))-AVERAGE(OFFSET($H$3,0,0,'Données projet'!$E$12+1,1))</f>
        <v>266.30229009596883</v>
      </c>
      <c r="CE165" s="59">
        <f t="shared" si="148"/>
        <v>270.19195828386046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0.10589163382553719</v>
      </c>
      <c r="CL165" s="21">
        <f>EXP(-LN(2)/25)*CL164+(1-EXP(-LN(2)/25))/(LN(2)/25)*Calculateur!CG165*Calculateur!CI165*VLOOKUP('Données projet'!$B$12,Paramètres!$A$1:$I$89,3,0)*0.475*44/12</f>
        <v>0.21543912138599372</v>
      </c>
      <c r="CM165" s="21">
        <f>EXP(-LN(2)/2)*CM164+(1-EXP(-LN(2)/2))/(LN(2)/2)*CG165*CJ165*VLOOKUP('Données projet'!$B$12,Paramètres!$A$1:$I$89,3,0)*0.475*44/12</f>
        <v>1.7714751644615412E-19</v>
      </c>
      <c r="CN165" s="22">
        <f t="shared" si="172"/>
        <v>0.32133075521153093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-5.1159076974727213E-13</v>
      </c>
      <c r="CU165" s="17">
        <f>CT165*VLOOKUP('Données projet'!$B$13,Paramètres!$A$1:$I$89,3,0)*VLOOKUP('Données projet'!$B$13,Paramètres!$A$1:$I$89,5,0)</f>
        <v>-4.0702161641092972E-13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260.20517190557814</v>
      </c>
      <c r="CZ165" s="59">
        <f t="shared" si="150"/>
        <v>307.22009971147133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0.23894759733011225</v>
      </c>
      <c r="DG165" s="21">
        <f>EXP(-LN(2)/25)*DG164+(1-EXP(-LN(2)/25))/(LN(2)/25)*Calculateur!DB165*Calculateur!DD165*VLOOKUP('Données projet'!$B$13,Paramètres!$A$1:$I$89,3,0)*0.475*44/12</f>
        <v>0.52811751506381333</v>
      </c>
      <c r="DH165" s="21">
        <f>EXP(-LN(2)/2)*DH164+(1-EXP(-LN(2)/2))/(LN(2)/2)*DB165*DE165*VLOOKUP('Données projet'!$B$13,Paramètres!$A$1:$I$89,3,0)*0.475*44/12</f>
        <v>3.2578966451616131E-19</v>
      </c>
      <c r="DI165" s="22">
        <f t="shared" si="175"/>
        <v>0.76706511239392561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-3.4106051316484809E-13</v>
      </c>
      <c r="DP165" s="17">
        <f>DO165*VLOOKUP('Données projet'!$B$14,Paramètres!$A$1:$I$89,3,0)*VLOOKUP('Données projet'!$B$14,Paramètres!$A$1:$I$89,5,0)</f>
        <v>-3.2987372833304104E-13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347.8889410585312</v>
      </c>
      <c r="DU165" s="59">
        <f t="shared" si="152"/>
        <v>254.78167322479203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0.18854141161141802</v>
      </c>
      <c r="EB165" s="21">
        <f>EXP(-LN(2)/25)*EB164+(1-EXP(-LN(2)/25))/(LN(2)/25)*Calculateur!DW165*Calculateur!DY165*VLOOKUP('Données projet'!$B$14,Paramètres!$A$1:$I$89,3,0)*0.475*44/12</f>
        <v>0.31041515561180483</v>
      </c>
      <c r="EC165" s="21">
        <f>EXP(-LN(2)/2)*EC164+(1-EXP(-LN(2)/2))/(LN(2)/2)*DW165*DZ165*VLOOKUP('Données projet'!$B$14,Paramètres!$A$1:$I$89,3,0)*0.475*44/12</f>
        <v>3.12247159999457E-19</v>
      </c>
      <c r="ED165" s="22">
        <f t="shared" si="178"/>
        <v>0.49895656722322285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-3.4106051316484809E-13</v>
      </c>
      <c r="EK165" s="17">
        <f>EJ165*VLOOKUP('Données projet'!$B$15,Paramètres!$A$1:$I$89,3,0)*VLOOKUP('Données projet'!$B$15,Paramètres!$A$1:$I$89,5,0)</f>
        <v>-3.6711753637064249E-13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399.38728019348088</v>
      </c>
      <c r="EP165" s="59">
        <f t="shared" si="154"/>
        <v>289.54922160039791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0.20982834518044921</v>
      </c>
      <c r="EW165" s="21">
        <f>EXP(-LN(2)/25)*EW164+(1-EXP(-LN(2)/25))/(LN(2)/25)*Calculateur!ER165*Calculateur!ET165*VLOOKUP('Données projet'!$B$15,Paramètres!$A$1:$I$89,3,0)*0.475*44/12</f>
        <v>0.3454620280195897</v>
      </c>
      <c r="EX165" s="21">
        <f>EXP(-LN(2)/2)*EX164+(1-EXP(-LN(2)/2))/(LN(2)/2)*ER165*EU165*VLOOKUP('Données projet'!$B$15,Paramètres!$A$1:$I$89,3,0)*0.475*44/12</f>
        <v>3.4750087161229894E-19</v>
      </c>
      <c r="EY165" s="22">
        <f t="shared" si="181"/>
        <v>0.55529037320003893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-3.0859155231155454E-13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318.40875902853116</v>
      </c>
      <c r="T166" s="59">
        <f t="shared" si="142"/>
        <v>234.87694492493506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0.17291879536548688</v>
      </c>
      <c r="AA166" s="21">
        <f>EXP(-LN(2)/25)*AA165+(1-EXP(-LN(2)/25))/(LN(2)/25)*Calculateur!V166*Calculateur!X166*VLOOKUP('Données projet'!$B$9,Paramètres!$A$1:$I$89,3,0)*0.475*44/12</f>
        <v>0.28244768609257159</v>
      </c>
      <c r="AB166" s="21">
        <f>EXP(-LN(2)/2)*AB165+(1-EXP(-LN(2)/2))/(LN(2)/2)*V166*Y166*VLOOKUP('Données projet'!$B$9,Paramètres!$A$1:$I$89,3,0)*0.475*44/12</f>
        <v>2.0654743364560905E-19</v>
      </c>
      <c r="AC166" s="22">
        <f t="shared" si="163"/>
        <v>0.45536648145805847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243.38048563215585</v>
      </c>
      <c r="AO166" s="59">
        <f t="shared" si="144"/>
        <v>372.1604147006675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0.52471910317802983</v>
      </c>
      <c r="AV166" s="21">
        <f>EXP(-LN(2)/25)*AV165+(1-EXP(-LN(2)/25))/(LN(2)/25)*Calculateur!AQ166*Calculateur!AS166*VLOOKUP('Données projet'!$B$10,Paramètres!$A$1:$I$89,3,0)*0.475*44/12</f>
        <v>0.48470807049645409</v>
      </c>
      <c r="AW166" s="21">
        <f>EXP(-LN(2)/2)*AW165+(1-EXP(-LN(2)/2))/(LN(2)/2)*AQ166*AT166*VLOOKUP('Données projet'!$B$10,Paramètres!$A$1:$I$89,3,0)*0.475*44/12</f>
        <v>2.8092752066259271E-19</v>
      </c>
      <c r="AX166" s="21">
        <f t="shared" si="166"/>
        <v>1.009427173674484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-5.1159076974727213E-13</v>
      </c>
      <c r="BE166" s="13">
        <f>BD166*VLOOKUP('Données projet'!$B$11,Paramètres!$A$1:$I$89,3,0)*VLOOKUP('Données projet'!$B$11,Paramètres!$A$1:$I$89,5,0)</f>
        <v>-3.4317508834647017E-13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207.93042467236967</v>
      </c>
      <c r="BJ166" s="59">
        <f t="shared" si="146"/>
        <v>250.70954318710835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0.19751500332695707</v>
      </c>
      <c r="BQ166" s="21">
        <f>EXP(-LN(2)/25)*BQ165+(1-EXP(-LN(2)/25))/(LN(2)/25)*Calculateur!BL166*Calculateur!BN166*VLOOKUP('Données projet'!$B$11,Paramètres!$A$1:$I$89,3,0)*0.475*44/12</f>
        <v>0.43309946853336762</v>
      </c>
      <c r="BR166" s="21">
        <f>EXP(-LN(2)/2)*BR165+(1-EXP(-LN(2)/2))/(LN(2)/2)*BL166*BO166*VLOOKUP('Données projet'!$B$11,Paramètres!$A$1:$I$89,3,0)*0.475*44/12</f>
        <v>1.9423191144812399E-19</v>
      </c>
      <c r="BS166" s="22">
        <f t="shared" si="169"/>
        <v>0.63061447186032471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1.7053025658242404E-13</v>
      </c>
      <c r="BZ166" s="13">
        <f>BY166*VLOOKUP('Données projet'!$B$12,Paramètres!$A$1:$I$89,3,0)*VLOOKUP('Données projet'!$B$12,Paramètres!$A$1:$I$89,5,0)</f>
        <v>1.3301360013429075E-13</v>
      </c>
      <c r="CA166" s="13">
        <f t="shared" si="170"/>
        <v>1.9329766731057041E-12</v>
      </c>
      <c r="CB166" s="20">
        <f t="shared" si="171"/>
        <v>3.5982663925596575E-12</v>
      </c>
      <c r="CC166" s="59">
        <f t="shared" si="119"/>
        <v>293.3333333333369</v>
      </c>
      <c r="CD166" s="59">
        <f ca="1">AVERAGE(OFFSET($CC$3,0,0,'Données projet'!$E$12+1,1))-AVERAGE(OFFSET($H$3,0,0,'Données projet'!$E$12+1,1))</f>
        <v>266.30229009596883</v>
      </c>
      <c r="CE166" s="59">
        <f t="shared" si="148"/>
        <v>270.19195828386046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0.10381516347373755</v>
      </c>
      <c r="CL166" s="21">
        <f>EXP(-LN(2)/25)*CL165+(1-EXP(-LN(2)/25))/(LN(2)/25)*Calculateur!CG166*Calculateur!CI166*VLOOKUP('Données projet'!$B$12,Paramètres!$A$1:$I$89,3,0)*0.475*44/12</f>
        <v>0.20954792728224272</v>
      </c>
      <c r="CM166" s="21">
        <f>EXP(-LN(2)/2)*CM165+(1-EXP(-LN(2)/2))/(LN(2)/2)*CG166*CJ166*VLOOKUP('Données projet'!$B$12,Paramètres!$A$1:$I$89,3,0)*0.475*44/12</f>
        <v>1.2526221014943103E-19</v>
      </c>
      <c r="CN166" s="22">
        <f t="shared" si="172"/>
        <v>0.31336309075598029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-5.1159076974727213E-13</v>
      </c>
      <c r="CU166" s="17">
        <f>CT166*VLOOKUP('Données projet'!$B$13,Paramètres!$A$1:$I$89,3,0)*VLOOKUP('Données projet'!$B$13,Paramètres!$A$1:$I$89,5,0)</f>
        <v>-4.0702161641092972E-13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260.20517190557814</v>
      </c>
      <c r="CZ166" s="59">
        <f t="shared" si="150"/>
        <v>307.22009971147133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0.23426198069011214</v>
      </c>
      <c r="DG166" s="21">
        <f>EXP(-LN(2)/25)*DG165+(1-EXP(-LN(2)/25))/(LN(2)/25)*Calculateur!DB166*Calculateur!DD166*VLOOKUP('Données projet'!$B$13,Paramètres!$A$1:$I$89,3,0)*0.475*44/12</f>
        <v>0.51367611384190026</v>
      </c>
      <c r="DH166" s="21">
        <f>EXP(-LN(2)/2)*DH165+(1-EXP(-LN(2)/2))/(LN(2)/2)*DB166*DE166*VLOOKUP('Données projet'!$B$13,Paramètres!$A$1:$I$89,3,0)*0.475*44/12</f>
        <v>2.30368081019868E-19</v>
      </c>
      <c r="DI166" s="22">
        <f t="shared" si="175"/>
        <v>0.74793809453201243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-3.4106051316484809E-13</v>
      </c>
      <c r="DP166" s="17">
        <f>DO166*VLOOKUP('Données projet'!$B$14,Paramètres!$A$1:$I$89,3,0)*VLOOKUP('Données projet'!$B$14,Paramètres!$A$1:$I$89,5,0)</f>
        <v>-3.2987372833304104E-13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347.8889410585312</v>
      </c>
      <c r="DU166" s="59">
        <f t="shared" si="152"/>
        <v>254.78167322479203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0.184844229528624</v>
      </c>
      <c r="EB166" s="21">
        <f>EXP(-LN(2)/25)*EB165+(1-EXP(-LN(2)/25))/(LN(2)/25)*Calculateur!DW166*Calculateur!DY166*VLOOKUP('Données projet'!$B$14,Paramètres!$A$1:$I$89,3,0)*0.475*44/12</f>
        <v>0.30192683685757643</v>
      </c>
      <c r="EC166" s="21">
        <f>EXP(-LN(2)/2)*EC165+(1-EXP(-LN(2)/2))/(LN(2)/2)*DW166*DZ166*VLOOKUP('Données projet'!$B$14,Paramètres!$A$1:$I$89,3,0)*0.475*44/12</f>
        <v>2.2079208424185693E-19</v>
      </c>
      <c r="ED166" s="22">
        <f t="shared" si="178"/>
        <v>0.48677106638620043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-3.4106051316484809E-13</v>
      </c>
      <c r="EK166" s="17">
        <f>EJ166*VLOOKUP('Données projet'!$B$15,Paramètres!$A$1:$I$89,3,0)*VLOOKUP('Données projet'!$B$15,Paramètres!$A$1:$I$89,5,0)</f>
        <v>-3.6711753637064249E-13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399.38728019348088</v>
      </c>
      <c r="EP166" s="59">
        <f t="shared" si="154"/>
        <v>289.54922160039791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0.20571373931411394</v>
      </c>
      <c r="EW166" s="21">
        <f>EXP(-LN(2)/25)*EW165+(1-EXP(-LN(2)/25))/(LN(2)/25)*Calculateur!ER166*Calculateur!ET166*VLOOKUP('Données projet'!$B$15,Paramètres!$A$1:$I$89,3,0)*0.475*44/12</f>
        <v>0.33601535069633554</v>
      </c>
      <c r="EX166" s="21">
        <f>EXP(-LN(2)/2)*EX165+(1-EXP(-LN(2)/2))/(LN(2)/2)*ER166*EU166*VLOOKUP('Données projet'!$B$15,Paramètres!$A$1:$I$89,3,0)*0.475*44/12</f>
        <v>2.4572022278529241E-19</v>
      </c>
      <c r="EY166" s="22">
        <f t="shared" si="181"/>
        <v>0.54172909001044944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-3.0859155231155454E-13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318.40875902853116</v>
      </c>
      <c r="T167" s="59">
        <f t="shared" si="142"/>
        <v>234.87694492493506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0.16952796325842054</v>
      </c>
      <c r="AA167" s="21">
        <f>EXP(-LN(2)/25)*AA166+(1-EXP(-LN(2)/25))/(LN(2)/25)*Calculateur!V167*Calculateur!X167*VLOOKUP('Données projet'!$B$9,Paramètres!$A$1:$I$89,3,0)*0.475*44/12</f>
        <v>0.27472413926309197</v>
      </c>
      <c r="AB167" s="21">
        <f>EXP(-LN(2)/2)*AB166+(1-EXP(-LN(2)/2))/(LN(2)/2)*V167*Y167*VLOOKUP('Données projet'!$B$9,Paramètres!$A$1:$I$89,3,0)*0.475*44/12</f>
        <v>1.4605109096748862E-19</v>
      </c>
      <c r="AC167" s="22">
        <f t="shared" si="163"/>
        <v>0.44425210252151248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243.38048563215585</v>
      </c>
      <c r="AO167" s="59">
        <f t="shared" si="144"/>
        <v>372.1604147006675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0.51442968161175961</v>
      </c>
      <c r="AV167" s="21">
        <f>EXP(-LN(2)/25)*AV166+(1-EXP(-LN(2)/25))/(LN(2)/25)*Calculateur!AQ167*Calculateur!AS167*VLOOKUP('Données projet'!$B$10,Paramètres!$A$1:$I$89,3,0)*0.475*44/12</f>
        <v>0.47145370281903892</v>
      </c>
      <c r="AW167" s="21">
        <f>EXP(-LN(2)/2)*AW166+(1-EXP(-LN(2)/2))/(LN(2)/2)*AQ167*AT167*VLOOKUP('Données projet'!$B$10,Paramètres!$A$1:$I$89,3,0)*0.475*44/12</f>
        <v>1.9864575488244325E-19</v>
      </c>
      <c r="AX167" s="21">
        <f t="shared" si="166"/>
        <v>0.98588338443079859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-5.1159076974727213E-13</v>
      </c>
      <c r="BE167" s="13">
        <f>BD167*VLOOKUP('Données projet'!$B$11,Paramètres!$A$1:$I$89,3,0)*VLOOKUP('Données projet'!$B$11,Paramètres!$A$1:$I$89,5,0)</f>
        <v>-3.4317508834647017E-13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207.93042467236967</v>
      </c>
      <c r="BJ167" s="59">
        <f t="shared" si="146"/>
        <v>250.70954318710835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0.19364185458397182</v>
      </c>
      <c r="BQ167" s="21">
        <f>EXP(-LN(2)/25)*BQ166+(1-EXP(-LN(2)/25))/(LN(2)/25)*Calculateur!BL167*Calculateur!BN167*VLOOKUP('Données projet'!$B$11,Paramètres!$A$1:$I$89,3,0)*0.475*44/12</f>
        <v>0.42125634079061147</v>
      </c>
      <c r="BR167" s="21">
        <f>EXP(-LN(2)/2)*BR166+(1-EXP(-LN(2)/2))/(LN(2)/2)*BL167*BO167*VLOOKUP('Données projet'!$B$11,Paramètres!$A$1:$I$89,3,0)*0.475*44/12</f>
        <v>1.3734270170779348E-19</v>
      </c>
      <c r="BS167" s="22">
        <f t="shared" si="169"/>
        <v>0.61489819537458335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1.7053025658242404E-13</v>
      </c>
      <c r="BZ167" s="13">
        <f>BY167*VLOOKUP('Données projet'!$B$12,Paramètres!$A$1:$I$89,3,0)*VLOOKUP('Données projet'!$B$12,Paramètres!$A$1:$I$89,5,0)</f>
        <v>1.3301360013429075E-13</v>
      </c>
      <c r="CA167" s="13">
        <f t="shared" si="170"/>
        <v>1.9329766731057041E-12</v>
      </c>
      <c r="CB167" s="20">
        <f t="shared" si="171"/>
        <v>3.5982663925596575E-12</v>
      </c>
      <c r="CC167" s="59">
        <f t="shared" si="119"/>
        <v>293.3333333333369</v>
      </c>
      <c r="CD167" s="59">
        <f ca="1">AVERAGE(OFFSET($CC$3,0,0,'Données projet'!$E$12+1,1))-AVERAGE(OFFSET($H$3,0,0,'Données projet'!$E$12+1,1))</f>
        <v>266.30229009596883</v>
      </c>
      <c r="CE167" s="59">
        <f t="shared" si="148"/>
        <v>270.19195828386046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0.10177941143901485</v>
      </c>
      <c r="CL167" s="21">
        <f>EXP(-LN(2)/25)*CL166+(1-EXP(-LN(2)/25))/(LN(2)/25)*Calculateur!CG167*Calculateur!CI167*VLOOKUP('Données projet'!$B$12,Paramètres!$A$1:$I$89,3,0)*0.475*44/12</f>
        <v>0.20381782819106323</v>
      </c>
      <c r="CM167" s="21">
        <f>EXP(-LN(2)/2)*CM166+(1-EXP(-LN(2)/2))/(LN(2)/2)*CG167*CJ167*VLOOKUP('Données projet'!$B$12,Paramètres!$A$1:$I$89,3,0)*0.475*44/12</f>
        <v>8.857375822307706E-20</v>
      </c>
      <c r="CN167" s="22">
        <f t="shared" si="172"/>
        <v>0.30559723963007807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-5.1159076974727213E-13</v>
      </c>
      <c r="CU167" s="17">
        <f>CT167*VLOOKUP('Données projet'!$B$13,Paramètres!$A$1:$I$89,3,0)*VLOOKUP('Données projet'!$B$13,Paramètres!$A$1:$I$89,5,0)</f>
        <v>-4.0702161641092972E-13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260.20517190557814</v>
      </c>
      <c r="CZ167" s="59">
        <f t="shared" si="150"/>
        <v>307.22009971147133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0.22966824613447848</v>
      </c>
      <c r="DG167" s="21">
        <f>EXP(-LN(2)/25)*DG166+(1-EXP(-LN(2)/25))/(LN(2)/25)*Calculateur!DB167*Calculateur!DD167*VLOOKUP('Données projet'!$B$13,Paramètres!$A$1:$I$89,3,0)*0.475*44/12</f>
        <v>0.49962961349584067</v>
      </c>
      <c r="DH167" s="21">
        <f>EXP(-LN(2)/2)*DH166+(1-EXP(-LN(2)/2))/(LN(2)/2)*DB167*DE167*VLOOKUP('Données projet'!$B$13,Paramètres!$A$1:$I$89,3,0)*0.475*44/12</f>
        <v>1.6289483225808065E-19</v>
      </c>
      <c r="DI167" s="22">
        <f t="shared" si="175"/>
        <v>0.72929785963031912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-3.4106051316484809E-13</v>
      </c>
      <c r="DP167" s="17">
        <f>DO167*VLOOKUP('Données projet'!$B$14,Paramètres!$A$1:$I$89,3,0)*VLOOKUP('Données projet'!$B$14,Paramètres!$A$1:$I$89,5,0)</f>
        <v>-3.2987372833304104E-13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347.8889410585312</v>
      </c>
      <c r="DU167" s="59">
        <f t="shared" si="152"/>
        <v>254.78167322479203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0.18121954693141518</v>
      </c>
      <c r="EB167" s="21">
        <f>EXP(-LN(2)/25)*EB166+(1-EXP(-LN(2)/25))/(LN(2)/25)*Calculateur!DW167*Calculateur!DY167*VLOOKUP('Données projet'!$B$14,Paramètres!$A$1:$I$89,3,0)*0.475*44/12</f>
        <v>0.29367063162606372</v>
      </c>
      <c r="EC167" s="21">
        <f>EXP(-LN(2)/2)*EC166+(1-EXP(-LN(2)/2))/(LN(2)/2)*DW167*DZ167*VLOOKUP('Données projet'!$B$14,Paramètres!$A$1:$I$89,3,0)*0.475*44/12</f>
        <v>1.561235799997285E-19</v>
      </c>
      <c r="ED167" s="22">
        <f t="shared" si="178"/>
        <v>0.47489017855747889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-3.4106051316484809E-13</v>
      </c>
      <c r="EK167" s="17">
        <f>EJ167*VLOOKUP('Données projet'!$B$15,Paramètres!$A$1:$I$89,3,0)*VLOOKUP('Données projet'!$B$15,Paramètres!$A$1:$I$89,5,0)</f>
        <v>-3.6711753637064249E-13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399.38728019348088</v>
      </c>
      <c r="EP167" s="59">
        <f t="shared" si="154"/>
        <v>289.54922160039791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0.20167981835915572</v>
      </c>
      <c r="EW167" s="21">
        <f>EXP(-LN(2)/25)*EW166+(1-EXP(-LN(2)/25))/(LN(2)/25)*Calculateur!ER167*Calculateur!ET167*VLOOKUP('Données projet'!$B$15,Paramètres!$A$1:$I$89,3,0)*0.475*44/12</f>
        <v>0.32682699326126491</v>
      </c>
      <c r="EX167" s="21">
        <f>EXP(-LN(2)/2)*EX166+(1-EXP(-LN(2)/2))/(LN(2)/2)*ER167*EU167*VLOOKUP('Données projet'!$B$15,Paramètres!$A$1:$I$89,3,0)*0.475*44/12</f>
        <v>1.7375043580614947E-19</v>
      </c>
      <c r="EY167" s="22">
        <f t="shared" si="181"/>
        <v>0.52850681162042057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-3.0859155231155454E-13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318.40875902853116</v>
      </c>
      <c r="T168" s="59">
        <f t="shared" si="142"/>
        <v>234.87694492493506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0.1662036233007704</v>
      </c>
      <c r="AA168" s="21">
        <f>EXP(-LN(2)/25)*AA167+(1-EXP(-LN(2)/25))/(LN(2)/25)*Calculateur!V168*Calculateur!X168*VLOOKUP('Données projet'!$B$9,Paramètres!$A$1:$I$89,3,0)*0.475*44/12</f>
        <v>0.26721179322782812</v>
      </c>
      <c r="AB168" s="21">
        <f>EXP(-LN(2)/2)*AB167+(1-EXP(-LN(2)/2))/(LN(2)/2)*V168*Y168*VLOOKUP('Données projet'!$B$9,Paramètres!$A$1:$I$89,3,0)*0.475*44/12</f>
        <v>1.0327371682280452E-19</v>
      </c>
      <c r="AC168" s="22">
        <f t="shared" si="163"/>
        <v>0.4334154165285985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243.38048563215585</v>
      </c>
      <c r="AO168" s="59">
        <f t="shared" si="144"/>
        <v>372.1604147006675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0.50434202932647643</v>
      </c>
      <c r="AV168" s="21">
        <f>EXP(-LN(2)/25)*AV167+(1-EXP(-LN(2)/25))/(LN(2)/25)*Calculateur!AQ168*Calculateur!AS168*VLOOKUP('Données projet'!$B$10,Paramètres!$A$1:$I$89,3,0)*0.475*44/12</f>
        <v>0.45856177652277957</v>
      </c>
      <c r="AW168" s="21">
        <f>EXP(-LN(2)/2)*AW167+(1-EXP(-LN(2)/2))/(LN(2)/2)*AQ168*AT168*VLOOKUP('Données projet'!$B$10,Paramètres!$A$1:$I$89,3,0)*0.475*44/12</f>
        <v>1.4046376033129635E-19</v>
      </c>
      <c r="AX168" s="21">
        <f t="shared" si="166"/>
        <v>0.96290380584925606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-5.1159076974727213E-13</v>
      </c>
      <c r="BE168" s="13">
        <f>BD168*VLOOKUP('Données projet'!$B$11,Paramètres!$A$1:$I$89,3,0)*VLOOKUP('Données projet'!$B$11,Paramètres!$A$1:$I$89,5,0)</f>
        <v>-3.4317508834647017E-13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207.93042467236967</v>
      </c>
      <c r="BJ168" s="59">
        <f t="shared" si="146"/>
        <v>250.70954318710835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0.18984465592544905</v>
      </c>
      <c r="BQ168" s="21">
        <f>EXP(-LN(2)/25)*BQ167+(1-EXP(-LN(2)/25))/(LN(2)/25)*Calculateur!BL168*Calculateur!BN168*VLOOKUP('Données projet'!$B$11,Paramètres!$A$1:$I$89,3,0)*0.475*44/12</f>
        <v>0.40973706399878401</v>
      </c>
      <c r="BR168" s="21">
        <f>EXP(-LN(2)/2)*BR167+(1-EXP(-LN(2)/2))/(LN(2)/2)*BL168*BO168*VLOOKUP('Données projet'!$B$11,Paramètres!$A$1:$I$89,3,0)*0.475*44/12</f>
        <v>9.7115955724061993E-20</v>
      </c>
      <c r="BS168" s="22">
        <f t="shared" si="169"/>
        <v>0.59958171992423304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1.7053025658242404E-13</v>
      </c>
      <c r="BZ168" s="13">
        <f>BY168*VLOOKUP('Données projet'!$B$12,Paramètres!$A$1:$I$89,3,0)*VLOOKUP('Données projet'!$B$12,Paramètres!$A$1:$I$89,5,0)</f>
        <v>1.3301360013429075E-13</v>
      </c>
      <c r="CA168" s="13">
        <f t="shared" si="170"/>
        <v>1.9329766731057041E-12</v>
      </c>
      <c r="CB168" s="20">
        <f t="shared" si="171"/>
        <v>3.5982663925596575E-12</v>
      </c>
      <c r="CC168" s="59">
        <f t="shared" si="119"/>
        <v>293.3333333333369</v>
      </c>
      <c r="CD168" s="59">
        <f ca="1">AVERAGE(OFFSET($CC$3,0,0,'Données projet'!$E$12+1,1))-AVERAGE(OFFSET($H$3,0,0,'Données projet'!$E$12+1,1))</f>
        <v>266.30229009596883</v>
      </c>
      <c r="CE168" s="59">
        <f t="shared" si="148"/>
        <v>270.19195828386046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9.978357926000693E-2</v>
      </c>
      <c r="CL168" s="21">
        <f>EXP(-LN(2)/25)*CL167+(1-EXP(-LN(2)/25))/(LN(2)/25)*Calculateur!CG168*Calculateur!CI168*VLOOKUP('Données projet'!$B$12,Paramètres!$A$1:$I$89,3,0)*0.475*44/12</f>
        <v>0.19824441896086484</v>
      </c>
      <c r="CM168" s="21">
        <f>EXP(-LN(2)/2)*CM167+(1-EXP(-LN(2)/2))/(LN(2)/2)*CG168*CJ168*VLOOKUP('Données projet'!$B$12,Paramètres!$A$1:$I$89,3,0)*0.475*44/12</f>
        <v>6.2631105074715514E-20</v>
      </c>
      <c r="CN168" s="22">
        <f t="shared" si="172"/>
        <v>0.29802799822087178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-5.1159076974727213E-13</v>
      </c>
      <c r="CU168" s="17">
        <f>CT168*VLOOKUP('Données projet'!$B$13,Paramètres!$A$1:$I$89,3,0)*VLOOKUP('Données projet'!$B$13,Paramètres!$A$1:$I$89,5,0)</f>
        <v>-4.0702161641092972E-13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260.20517190557814</v>
      </c>
      <c r="CZ168" s="59">
        <f t="shared" si="150"/>
        <v>307.22009971147133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0.22516459191157936</v>
      </c>
      <c r="DG168" s="21">
        <f>EXP(-LN(2)/25)*DG167+(1-EXP(-LN(2)/25))/(LN(2)/25)*Calculateur!DB168*Calculateur!DD168*VLOOKUP('Données projet'!$B$13,Paramètres!$A$1:$I$89,3,0)*0.475*44/12</f>
        <v>0.48596721544041743</v>
      </c>
      <c r="DH168" s="21">
        <f>EXP(-LN(2)/2)*DH167+(1-EXP(-LN(2)/2))/(LN(2)/2)*DB168*DE168*VLOOKUP('Données projet'!$B$13,Paramètres!$A$1:$I$89,3,0)*0.475*44/12</f>
        <v>1.15184040509934E-19</v>
      </c>
      <c r="DI168" s="22">
        <f t="shared" si="175"/>
        <v>0.71113180735199677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-3.4106051316484809E-13</v>
      </c>
      <c r="DP168" s="17">
        <f>DO168*VLOOKUP('Données projet'!$B$14,Paramètres!$A$1:$I$89,3,0)*VLOOKUP('Données projet'!$B$14,Paramètres!$A$1:$I$89,5,0)</f>
        <v>-3.2987372833304104E-13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347.8889410585312</v>
      </c>
      <c r="DU168" s="59">
        <f t="shared" si="152"/>
        <v>254.78167322479203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0.17766594214909953</v>
      </c>
      <c r="EB168" s="21">
        <f>EXP(-LN(2)/25)*EB167+(1-EXP(-LN(2)/25))/(LN(2)/25)*Calculateur!DW168*Calculateur!DY168*VLOOKUP('Données projet'!$B$14,Paramètres!$A$1:$I$89,3,0)*0.475*44/12</f>
        <v>0.28564019276078167</v>
      </c>
      <c r="EC168" s="21">
        <f>EXP(-LN(2)/2)*EC167+(1-EXP(-LN(2)/2))/(LN(2)/2)*DW168*DZ168*VLOOKUP('Données projet'!$B$14,Paramètres!$A$1:$I$89,3,0)*0.475*44/12</f>
        <v>1.1039604212092846E-19</v>
      </c>
      <c r="ED168" s="22">
        <f t="shared" si="178"/>
        <v>0.46330613490988121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-3.4106051316484809E-13</v>
      </c>
      <c r="EK168" s="17">
        <f>EJ168*VLOOKUP('Données projet'!$B$15,Paramètres!$A$1:$I$89,3,0)*VLOOKUP('Données projet'!$B$15,Paramètres!$A$1:$I$89,5,0)</f>
        <v>-3.6711753637064249E-13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399.38728019348088</v>
      </c>
      <c r="EP168" s="59">
        <f t="shared" si="154"/>
        <v>289.54922160039791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0.19772500013367539</v>
      </c>
      <c r="EW168" s="21">
        <f>EXP(-LN(2)/25)*EW167+(1-EXP(-LN(2)/25))/(LN(2)/25)*Calculateur!ER168*Calculateur!ET168*VLOOKUP('Données projet'!$B$15,Paramètres!$A$1:$I$89,3,0)*0.475*44/12</f>
        <v>0.31788989194345102</v>
      </c>
      <c r="EX168" s="21">
        <f>EXP(-LN(2)/2)*EX167+(1-EXP(-LN(2)/2))/(LN(2)/2)*ER168*EU168*VLOOKUP('Données projet'!$B$15,Paramètres!$A$1:$I$89,3,0)*0.475*44/12</f>
        <v>1.228601113926462E-19</v>
      </c>
      <c r="EY168" s="22">
        <f t="shared" si="181"/>
        <v>0.51561489207712641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-3.0859155231155454E-13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318.40875902853116</v>
      </c>
      <c r="T169" s="59">
        <f t="shared" si="142"/>
        <v>234.87694492493506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0.16294447162204265</v>
      </c>
      <c r="AA169" s="21">
        <f>EXP(-LN(2)/25)*AA168+(1-EXP(-LN(2)/25))/(LN(2)/25)*Calculateur!V169*Calculateur!X169*VLOOKUP('Données projet'!$B$9,Paramètres!$A$1:$I$89,3,0)*0.475*44/12</f>
        <v>0.25990487268995566</v>
      </c>
      <c r="AB169" s="21">
        <f>EXP(-LN(2)/2)*AB168+(1-EXP(-LN(2)/2))/(LN(2)/2)*V169*Y169*VLOOKUP('Données projet'!$B$9,Paramètres!$A$1:$I$89,3,0)*0.475*44/12</f>
        <v>7.302554548374431E-20</v>
      </c>
      <c r="AC169" s="22">
        <f t="shared" si="163"/>
        <v>0.42284934431199828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243.38048563215585</v>
      </c>
      <c r="AO169" s="59">
        <f t="shared" si="144"/>
        <v>372.1604147006675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0.49445218974964733</v>
      </c>
      <c r="AV169" s="21">
        <f>EXP(-LN(2)/25)*AV168+(1-EXP(-LN(2)/25))/(LN(2)/25)*Calculateur!AQ169*Calculateur!AS169*VLOOKUP('Données projet'!$B$10,Paramètres!$A$1:$I$89,3,0)*0.475*44/12</f>
        <v>0.44602238062904842</v>
      </c>
      <c r="AW169" s="21">
        <f>EXP(-LN(2)/2)*AW168+(1-EXP(-LN(2)/2))/(LN(2)/2)*AQ169*AT169*VLOOKUP('Données projet'!$B$10,Paramètres!$A$1:$I$89,3,0)*0.475*44/12</f>
        <v>9.9322877441221627E-20</v>
      </c>
      <c r="AX169" s="21">
        <f t="shared" si="166"/>
        <v>0.94047457037869575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-5.1159076974727213E-13</v>
      </c>
      <c r="BE169" s="13">
        <f>BD169*VLOOKUP('Données projet'!$B$11,Paramètres!$A$1:$I$89,3,0)*VLOOKUP('Données projet'!$B$11,Paramètres!$A$1:$I$89,5,0)</f>
        <v>-3.4317508834647017E-13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207.93042467236967</v>
      </c>
      <c r="BJ169" s="59">
        <f t="shared" si="146"/>
        <v>250.70954318710835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0.18612191801655742</v>
      </c>
      <c r="BQ169" s="21">
        <f>EXP(-LN(2)/25)*BQ168+(1-EXP(-LN(2)/25))/(LN(2)/25)*Calculateur!BL169*Calculateur!BN169*VLOOKUP('Données projet'!$B$11,Paramètres!$A$1:$I$89,3,0)*0.475*44/12</f>
        <v>0.39853278243660151</v>
      </c>
      <c r="BR169" s="21">
        <f>EXP(-LN(2)/2)*BR168+(1-EXP(-LN(2)/2))/(LN(2)/2)*BL169*BO169*VLOOKUP('Données projet'!$B$11,Paramètres!$A$1:$I$89,3,0)*0.475*44/12</f>
        <v>6.8671350853896741E-20</v>
      </c>
      <c r="BS169" s="22">
        <f t="shared" si="169"/>
        <v>0.58465470045315893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1.7053025658242404E-13</v>
      </c>
      <c r="BZ169" s="13">
        <f>BY169*VLOOKUP('Données projet'!$B$12,Paramètres!$A$1:$I$89,3,0)*VLOOKUP('Données projet'!$B$12,Paramètres!$A$1:$I$89,5,0)</f>
        <v>1.3301360013429075E-13</v>
      </c>
      <c r="CA169" s="13">
        <f t="shared" si="170"/>
        <v>1.9329766731057041E-12</v>
      </c>
      <c r="CB169" s="20">
        <f t="shared" si="171"/>
        <v>3.5982663925596575E-12</v>
      </c>
      <c r="CC169" s="59">
        <f t="shared" si="119"/>
        <v>293.3333333333369</v>
      </c>
      <c r="CD169" s="59">
        <f ca="1">AVERAGE(OFFSET($CC$3,0,0,'Données projet'!$E$12+1,1))-AVERAGE(OFFSET($H$3,0,0,'Données projet'!$E$12+1,1))</f>
        <v>266.30229009596883</v>
      </c>
      <c r="CE169" s="59">
        <f t="shared" si="148"/>
        <v>270.19195828386046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9.7826884132691916E-2</v>
      </c>
      <c r="CL169" s="21">
        <f>EXP(-LN(2)/25)*CL168+(1-EXP(-LN(2)/25))/(LN(2)/25)*Calculateur!CG169*Calculateur!CI169*VLOOKUP('Données projet'!$B$12,Paramètres!$A$1:$I$89,3,0)*0.475*44/12</f>
        <v>0.19282341489915908</v>
      </c>
      <c r="CM169" s="21">
        <f>EXP(-LN(2)/2)*CM168+(1-EXP(-LN(2)/2))/(LN(2)/2)*CG169*CJ169*VLOOKUP('Données projet'!$B$12,Paramètres!$A$1:$I$89,3,0)*0.475*44/12</f>
        <v>4.428687911153853E-20</v>
      </c>
      <c r="CN169" s="22">
        <f t="shared" si="172"/>
        <v>0.29065029903185102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-5.1159076974727213E-13</v>
      </c>
      <c r="CU169" s="17">
        <f>CT169*VLOOKUP('Données projet'!$B$13,Paramètres!$A$1:$I$89,3,0)*VLOOKUP('Données projet'!$B$13,Paramètres!$A$1:$I$89,5,0)</f>
        <v>-4.0702161641092972E-13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260.20517190557814</v>
      </c>
      <c r="CZ169" s="59">
        <f t="shared" si="150"/>
        <v>307.22009971147133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0.22074925160103348</v>
      </c>
      <c r="DG169" s="21">
        <f>EXP(-LN(2)/25)*DG168+(1-EXP(-LN(2)/25))/(LN(2)/25)*Calculateur!DB169*Calculateur!DD169*VLOOKUP('Données projet'!$B$13,Paramètres!$A$1:$I$89,3,0)*0.475*44/12</f>
        <v>0.47267841637829405</v>
      </c>
      <c r="DH169" s="21">
        <f>EXP(-LN(2)/2)*DH168+(1-EXP(-LN(2)/2))/(LN(2)/2)*DB169*DE169*VLOOKUP('Données projet'!$B$13,Paramètres!$A$1:$I$89,3,0)*0.475*44/12</f>
        <v>8.1447416129040326E-20</v>
      </c>
      <c r="DI169" s="22">
        <f t="shared" si="175"/>
        <v>0.69342766797932753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-3.4106051316484809E-13</v>
      </c>
      <c r="DP169" s="17">
        <f>DO169*VLOOKUP('Données projet'!$B$14,Paramètres!$A$1:$I$89,3,0)*VLOOKUP('Données projet'!$B$14,Paramètres!$A$1:$I$89,5,0)</f>
        <v>-3.2987372833304104E-13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347.8889410585312</v>
      </c>
      <c r="DU169" s="59">
        <f t="shared" si="152"/>
        <v>254.78167322479203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0.1741820213890802</v>
      </c>
      <c r="EB169" s="21">
        <f>EXP(-LN(2)/25)*EB168+(1-EXP(-LN(2)/25))/(LN(2)/25)*Calculateur!DW169*Calculateur!DY169*VLOOKUP('Données projet'!$B$14,Paramètres!$A$1:$I$89,3,0)*0.475*44/12</f>
        <v>0.27782934666857323</v>
      </c>
      <c r="EC169" s="21">
        <f>EXP(-LN(2)/2)*EC168+(1-EXP(-LN(2)/2))/(LN(2)/2)*DW169*DZ169*VLOOKUP('Données projet'!$B$14,Paramètres!$A$1:$I$89,3,0)*0.475*44/12</f>
        <v>7.8061789999864249E-20</v>
      </c>
      <c r="ED169" s="22">
        <f t="shared" si="178"/>
        <v>0.45201136805765341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-3.4106051316484809E-13</v>
      </c>
      <c r="EK169" s="17">
        <f>EJ169*VLOOKUP('Données projet'!$B$15,Paramètres!$A$1:$I$89,3,0)*VLOOKUP('Données projet'!$B$15,Paramètres!$A$1:$I$89,5,0)</f>
        <v>-3.6711753637064249E-13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399.38728019348088</v>
      </c>
      <c r="EP169" s="59">
        <f t="shared" si="154"/>
        <v>289.54922160039791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0.19384773348139581</v>
      </c>
      <c r="EW169" s="21">
        <f>EXP(-LN(2)/25)*EW168+(1-EXP(-LN(2)/25))/(LN(2)/25)*Calculateur!ER169*Calculateur!ET169*VLOOKUP('Données projet'!$B$15,Paramètres!$A$1:$I$89,3,0)*0.475*44/12</f>
        <v>0.30919717613115449</v>
      </c>
      <c r="EX169" s="21">
        <f>EXP(-LN(2)/2)*EX168+(1-EXP(-LN(2)/2))/(LN(2)/2)*ER169*EU169*VLOOKUP('Données projet'!$B$15,Paramètres!$A$1:$I$89,3,0)*0.475*44/12</f>
        <v>8.6875217903074735E-20</v>
      </c>
      <c r="EY169" s="22">
        <f t="shared" si="181"/>
        <v>0.50304490961255033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-3.0859155231155454E-13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318.40875902853116</v>
      </c>
      <c r="T170" s="59">
        <f t="shared" si="142"/>
        <v>234.87694492493506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0.1597492299198485</v>
      </c>
      <c r="AA170" s="21">
        <f>EXP(-LN(2)/25)*AA169+(1-EXP(-LN(2)/25))/(LN(2)/25)*Calculateur!V170*Calculateur!X170*VLOOKUP('Données projet'!$B$9,Paramètres!$A$1:$I$89,3,0)*0.475*44/12</f>
        <v>0.25279776027844558</v>
      </c>
      <c r="AB170" s="21">
        <f>EXP(-LN(2)/2)*AB169+(1-EXP(-LN(2)/2))/(LN(2)/2)*V170*Y170*VLOOKUP('Données projet'!$B$9,Paramètres!$A$1:$I$89,3,0)*0.475*44/12</f>
        <v>5.1636858411402262E-20</v>
      </c>
      <c r="AC170" s="22">
        <f t="shared" si="163"/>
        <v>0.41254699019829411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243.38048563215585</v>
      </c>
      <c r="AO170" s="59">
        <f t="shared" si="144"/>
        <v>372.1604147006675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0.48475628389471337</v>
      </c>
      <c r="AV170" s="21">
        <f>EXP(-LN(2)/25)*AV169+(1-EXP(-LN(2)/25))/(LN(2)/25)*Calculateur!AQ170*Calculateur!AS170*VLOOKUP('Données projet'!$B$10,Paramètres!$A$1:$I$89,3,0)*0.475*44/12</f>
        <v>0.43382587517544952</v>
      </c>
      <c r="AW170" s="21">
        <f>EXP(-LN(2)/2)*AW169+(1-EXP(-LN(2)/2))/(LN(2)/2)*AQ170*AT170*VLOOKUP('Données projet'!$B$10,Paramètres!$A$1:$I$89,3,0)*0.475*44/12</f>
        <v>7.0231880165648177E-20</v>
      </c>
      <c r="AX170" s="21">
        <f t="shared" si="166"/>
        <v>0.91858215907016283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-5.1159076974727213E-13</v>
      </c>
      <c r="BE170" s="13">
        <f>BD170*VLOOKUP('Données projet'!$B$11,Paramètres!$A$1:$I$89,3,0)*VLOOKUP('Données projet'!$B$11,Paramètres!$A$1:$I$89,5,0)</f>
        <v>-3.4317508834647017E-13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207.93042467236967</v>
      </c>
      <c r="BJ170" s="59">
        <f t="shared" si="146"/>
        <v>250.70954318710835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0.18247218072741322</v>
      </c>
      <c r="BQ170" s="21">
        <f>EXP(-LN(2)/25)*BQ169+(1-EXP(-LN(2)/25))/(LN(2)/25)*Calculateur!BL170*Calculateur!BN170*VLOOKUP('Données projet'!$B$11,Paramètres!$A$1:$I$89,3,0)*0.475*44/12</f>
        <v>0.38763488254294448</v>
      </c>
      <c r="BR170" s="21">
        <f>EXP(-LN(2)/2)*BR169+(1-EXP(-LN(2)/2))/(LN(2)/2)*BL170*BO170*VLOOKUP('Données projet'!$B$11,Paramètres!$A$1:$I$89,3,0)*0.475*44/12</f>
        <v>4.8557977862030997E-20</v>
      </c>
      <c r="BS170" s="22">
        <f t="shared" si="169"/>
        <v>0.57010706327035776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1.7053025658242404E-13</v>
      </c>
      <c r="BZ170" s="13">
        <f>BY170*VLOOKUP('Données projet'!$B$12,Paramètres!$A$1:$I$89,3,0)*VLOOKUP('Données projet'!$B$12,Paramètres!$A$1:$I$89,5,0)</f>
        <v>1.3301360013429075E-13</v>
      </c>
      <c r="CA170" s="13">
        <f t="shared" si="170"/>
        <v>1.9329766731057041E-12</v>
      </c>
      <c r="CB170" s="20">
        <f t="shared" si="171"/>
        <v>3.5982663925596575E-12</v>
      </c>
      <c r="CC170" s="59">
        <f t="shared" si="119"/>
        <v>293.3333333333369</v>
      </c>
      <c r="CD170" s="59">
        <f ca="1">AVERAGE(OFFSET($CC$3,0,0,'Données projet'!$E$12+1,1))-AVERAGE(OFFSET($H$3,0,0,'Données projet'!$E$12+1,1))</f>
        <v>266.30229009596883</v>
      </c>
      <c r="CE170" s="59">
        <f t="shared" si="148"/>
        <v>270.19195828386046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9.5908558603357369E-2</v>
      </c>
      <c r="CL170" s="21">
        <f>EXP(-LN(2)/25)*CL169+(1-EXP(-LN(2)/25))/(LN(2)/25)*Calculateur!CG170*Calculateur!CI170*VLOOKUP('Données projet'!$B$12,Paramètres!$A$1:$I$89,3,0)*0.475*44/12</f>
        <v>0.1875506484785989</v>
      </c>
      <c r="CM170" s="21">
        <f>EXP(-LN(2)/2)*CM169+(1-EXP(-LN(2)/2))/(LN(2)/2)*CG170*CJ170*VLOOKUP('Données projet'!$B$12,Paramètres!$A$1:$I$89,3,0)*0.475*44/12</f>
        <v>3.1315552537357757E-20</v>
      </c>
      <c r="CN170" s="22">
        <f t="shared" si="172"/>
        <v>0.28345920708195627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-5.1159076974727213E-13</v>
      </c>
      <c r="CU170" s="17">
        <f>CT170*VLOOKUP('Données projet'!$B$13,Paramètres!$A$1:$I$89,3,0)*VLOOKUP('Données projet'!$B$13,Paramètres!$A$1:$I$89,5,0)</f>
        <v>-4.0702161641092972E-13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260.20517190557814</v>
      </c>
      <c r="CZ170" s="59">
        <f t="shared" si="150"/>
        <v>307.22009971147133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0.21642049342088573</v>
      </c>
      <c r="DG170" s="21">
        <f>EXP(-LN(2)/25)*DG169+(1-EXP(-LN(2)/25))/(LN(2)/25)*Calculateur!DB170*Calculateur!DD170*VLOOKUP('Données projet'!$B$13,Paramètres!$A$1:$I$89,3,0)*0.475*44/12</f>
        <v>0.45975300022535198</v>
      </c>
      <c r="DH170" s="21">
        <f>EXP(-LN(2)/2)*DH169+(1-EXP(-LN(2)/2))/(LN(2)/2)*DB170*DE170*VLOOKUP('Données projet'!$B$13,Paramètres!$A$1:$I$89,3,0)*0.475*44/12</f>
        <v>5.7592020254966999E-20</v>
      </c>
      <c r="DI170" s="22">
        <f t="shared" si="175"/>
        <v>0.67617349364623769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-3.4106051316484809E-13</v>
      </c>
      <c r="DP170" s="17">
        <f>DO170*VLOOKUP('Données projet'!$B$14,Paramètres!$A$1:$I$89,3,0)*VLOOKUP('Données projet'!$B$14,Paramètres!$A$1:$I$89,5,0)</f>
        <v>-3.2987372833304104E-13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347.8889410585312</v>
      </c>
      <c r="DU170" s="59">
        <f t="shared" si="152"/>
        <v>254.78167322479203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0.17076641819018301</v>
      </c>
      <c r="EB170" s="21">
        <f>EXP(-LN(2)/25)*EB169+(1-EXP(-LN(2)/25))/(LN(2)/25)*Calculateur!DW170*Calculateur!DY170*VLOOKUP('Données projet'!$B$14,Paramètres!$A$1:$I$89,3,0)*0.475*44/12</f>
        <v>0.27023208857351072</v>
      </c>
      <c r="EC170" s="21">
        <f>EXP(-LN(2)/2)*EC169+(1-EXP(-LN(2)/2))/(LN(2)/2)*DW170*DZ170*VLOOKUP('Données projet'!$B$14,Paramètres!$A$1:$I$89,3,0)*0.475*44/12</f>
        <v>5.5198021060464232E-20</v>
      </c>
      <c r="ED170" s="22">
        <f t="shared" si="178"/>
        <v>0.44099850676369373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-3.4106051316484809E-13</v>
      </c>
      <c r="EK170" s="17">
        <f>EJ170*VLOOKUP('Données projet'!$B$15,Paramètres!$A$1:$I$89,3,0)*VLOOKUP('Données projet'!$B$15,Paramètres!$A$1:$I$89,5,0)</f>
        <v>-3.6711753637064249E-13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399.38728019348088</v>
      </c>
      <c r="EP170" s="59">
        <f t="shared" si="154"/>
        <v>289.54922160039791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0.19004649766326828</v>
      </c>
      <c r="EW170" s="21">
        <f>EXP(-LN(2)/25)*EW169+(1-EXP(-LN(2)/25))/(LN(2)/25)*Calculateur!ER170*Calculateur!ET170*VLOOKUP('Données projet'!$B$15,Paramètres!$A$1:$I$89,3,0)*0.475*44/12</f>
        <v>0.30074216308987528</v>
      </c>
      <c r="EX170" s="21">
        <f>EXP(-LN(2)/2)*EX169+(1-EXP(-LN(2)/2))/(LN(2)/2)*ER170*EU170*VLOOKUP('Données projet'!$B$15,Paramètres!$A$1:$I$89,3,0)*0.475*44/12</f>
        <v>6.1430055696323102E-20</v>
      </c>
      <c r="EY170" s="22">
        <f t="shared" si="181"/>
        <v>0.49078866075314354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-3.0859155231155454E-13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318.40875902853116</v>
      </c>
      <c r="T171" s="59">
        <f t="shared" si="142"/>
        <v>234.87694492493506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0.15661664495852937</v>
      </c>
      <c r="AA171" s="21">
        <f>EXP(-LN(2)/25)*AA170+(1-EXP(-LN(2)/25))/(LN(2)/25)*Calculateur!V171*Calculateur!X171*VLOOKUP('Données projet'!$B$9,Paramètres!$A$1:$I$89,3,0)*0.475*44/12</f>
        <v>0.24588499222957505</v>
      </c>
      <c r="AB171" s="21">
        <f>EXP(-LN(2)/2)*AB170+(1-EXP(-LN(2)/2))/(LN(2)/2)*V171*Y171*VLOOKUP('Données projet'!$B$9,Paramètres!$A$1:$I$89,3,0)*0.475*44/12</f>
        <v>3.6512772741872155E-20</v>
      </c>
      <c r="AC171" s="22">
        <f t="shared" si="163"/>
        <v>0.40250163718810439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243.38048563215585</v>
      </c>
      <c r="AO171" s="59">
        <f t="shared" si="144"/>
        <v>372.1604147006675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0.47525050883967601</v>
      </c>
      <c r="AV171" s="21">
        <f>EXP(-LN(2)/25)*AV170+(1-EXP(-LN(2)/25))/(LN(2)/25)*Calculateur!AQ171*Calculateur!AS171*VLOOKUP('Données projet'!$B$10,Paramètres!$A$1:$I$89,3,0)*0.475*44/12</f>
        <v>0.42196288380486557</v>
      </c>
      <c r="AW171" s="21">
        <f>EXP(-LN(2)/2)*AW170+(1-EXP(-LN(2)/2))/(LN(2)/2)*AQ171*AT171*VLOOKUP('Données projet'!$B$10,Paramètres!$A$1:$I$89,3,0)*0.475*44/12</f>
        <v>4.9661438720610813E-20</v>
      </c>
      <c r="AX171" s="21">
        <f t="shared" si="166"/>
        <v>0.89721339264454159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-5.1159076974727213E-13</v>
      </c>
      <c r="BE171" s="13">
        <f>BD171*VLOOKUP('Données projet'!$B$11,Paramètres!$A$1:$I$89,3,0)*VLOOKUP('Données projet'!$B$11,Paramètres!$A$1:$I$89,5,0)</f>
        <v>-3.4317508834647017E-13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207.93042467236967</v>
      </c>
      <c r="BJ171" s="59">
        <f t="shared" si="146"/>
        <v>250.70954318710835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0.17889401256038923</v>
      </c>
      <c r="BQ171" s="21">
        <f>EXP(-LN(2)/25)*BQ170+(1-EXP(-LN(2)/25))/(LN(2)/25)*Calculateur!BL171*Calculateur!BN171*VLOOKUP('Données projet'!$B$11,Paramètres!$A$1:$I$89,3,0)*0.475*44/12</f>
        <v>0.37703498629497512</v>
      </c>
      <c r="BR171" s="21">
        <f>EXP(-LN(2)/2)*BR170+(1-EXP(-LN(2)/2))/(LN(2)/2)*BL171*BO171*VLOOKUP('Données projet'!$B$11,Paramètres!$A$1:$I$89,3,0)*0.475*44/12</f>
        <v>3.433567542694837E-20</v>
      </c>
      <c r="BS171" s="22">
        <f t="shared" si="169"/>
        <v>0.5559289988553644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1.7053025658242404E-13</v>
      </c>
      <c r="BZ171" s="13">
        <f>BY171*VLOOKUP('Données projet'!$B$12,Paramètres!$A$1:$I$89,3,0)*VLOOKUP('Données projet'!$B$12,Paramètres!$A$1:$I$89,5,0)</f>
        <v>1.3301360013429075E-13</v>
      </c>
      <c r="CA171" s="13">
        <f t="shared" si="170"/>
        <v>1.9329766731057041E-12</v>
      </c>
      <c r="CB171" s="20">
        <f t="shared" si="171"/>
        <v>3.5982663925596575E-12</v>
      </c>
      <c r="CC171" s="59">
        <f t="shared" si="119"/>
        <v>293.3333333333369</v>
      </c>
      <c r="CD171" s="59">
        <f ca="1">AVERAGE(OFFSET($CC$3,0,0,'Données projet'!$E$12+1,1))-AVERAGE(OFFSET($H$3,0,0,'Données projet'!$E$12+1,1))</f>
        <v>266.30229009596883</v>
      </c>
      <c r="CE171" s="59">
        <f t="shared" si="148"/>
        <v>270.19195828386046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9.4027850267590043E-2</v>
      </c>
      <c r="CL171" s="21">
        <f>EXP(-LN(2)/25)*CL170+(1-EXP(-LN(2)/25))/(LN(2)/25)*Calculateur!CG171*Calculateur!CI171*VLOOKUP('Données projet'!$B$12,Paramètres!$A$1:$I$89,3,0)*0.475*44/12</f>
        <v>0.18242206613309167</v>
      </c>
      <c r="CM171" s="21">
        <f>EXP(-LN(2)/2)*CM170+(1-EXP(-LN(2)/2))/(LN(2)/2)*CG171*CJ171*VLOOKUP('Données projet'!$B$12,Paramètres!$A$1:$I$89,3,0)*0.475*44/12</f>
        <v>2.2143439555769265E-20</v>
      </c>
      <c r="CN171" s="22">
        <f t="shared" si="172"/>
        <v>0.27644991640068173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-5.1159076974727213E-13</v>
      </c>
      <c r="CU171" s="17">
        <f>CT171*VLOOKUP('Données projet'!$B$13,Paramètres!$A$1:$I$89,3,0)*VLOOKUP('Données projet'!$B$13,Paramètres!$A$1:$I$89,5,0)</f>
        <v>-4.0702161641092972E-13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260.20517190557814</v>
      </c>
      <c r="CZ171" s="59">
        <f t="shared" si="150"/>
        <v>307.22009971147133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0.21217661954836889</v>
      </c>
      <c r="DG171" s="21">
        <f>EXP(-LN(2)/25)*DG170+(1-EXP(-LN(2)/25))/(LN(2)/25)*Calculateur!DB171*Calculateur!DD171*VLOOKUP('Données projet'!$B$13,Paramètres!$A$1:$I$89,3,0)*0.475*44/12</f>
        <v>0.4471810302568302</v>
      </c>
      <c r="DH171" s="21">
        <f>EXP(-LN(2)/2)*DH170+(1-EXP(-LN(2)/2))/(LN(2)/2)*DB171*DE171*VLOOKUP('Données projet'!$B$13,Paramètres!$A$1:$I$89,3,0)*0.475*44/12</f>
        <v>4.0723708064520163E-20</v>
      </c>
      <c r="DI171" s="22">
        <f t="shared" si="175"/>
        <v>0.65935764980519906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-3.4106051316484809E-13</v>
      </c>
      <c r="DP171" s="17">
        <f>DO171*VLOOKUP('Données projet'!$B$14,Paramètres!$A$1:$I$89,3,0)*VLOOKUP('Données projet'!$B$14,Paramètres!$A$1:$I$89,5,0)</f>
        <v>-3.2987372833304104E-13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347.8889410585312</v>
      </c>
      <c r="DU171" s="59">
        <f t="shared" si="152"/>
        <v>254.78167322479203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0.16741779288670394</v>
      </c>
      <c r="EB171" s="21">
        <f>EXP(-LN(2)/25)*EB170+(1-EXP(-LN(2)/25))/(LN(2)/25)*Calculateur!DW171*Calculateur!DY171*VLOOKUP('Données projet'!$B$14,Paramètres!$A$1:$I$89,3,0)*0.475*44/12</f>
        <v>0.26284257790058013</v>
      </c>
      <c r="EC171" s="21">
        <f>EXP(-LN(2)/2)*EC170+(1-EXP(-LN(2)/2))/(LN(2)/2)*DW171*DZ171*VLOOKUP('Données projet'!$B$14,Paramètres!$A$1:$I$89,3,0)*0.475*44/12</f>
        <v>3.9030894999932124E-20</v>
      </c>
      <c r="ED171" s="22">
        <f t="shared" si="178"/>
        <v>0.43026037078728407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-3.4106051316484809E-13</v>
      </c>
      <c r="EK171" s="17">
        <f>EJ171*VLOOKUP('Données projet'!$B$15,Paramètres!$A$1:$I$89,3,0)*VLOOKUP('Données projet'!$B$15,Paramètres!$A$1:$I$89,5,0)</f>
        <v>-3.6711753637064249E-13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399.38728019348088</v>
      </c>
      <c r="EP171" s="59">
        <f t="shared" si="154"/>
        <v>289.54922160039791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0.18631980176100932</v>
      </c>
      <c r="EW171" s="21">
        <f>EXP(-LN(2)/25)*EW170+(1-EXP(-LN(2)/25))/(LN(2)/25)*Calculateur!ER171*Calculateur!ET171*VLOOKUP('Données projet'!$B$15,Paramètres!$A$1:$I$89,3,0)*0.475*44/12</f>
        <v>0.29251835282483962</v>
      </c>
      <c r="EX171" s="21">
        <f>EXP(-LN(2)/2)*EX170+(1-EXP(-LN(2)/2))/(LN(2)/2)*ER171*EU171*VLOOKUP('Données projet'!$B$15,Paramètres!$A$1:$I$89,3,0)*0.475*44/12</f>
        <v>4.3437608951537368E-20</v>
      </c>
      <c r="EY171" s="22">
        <f t="shared" si="181"/>
        <v>0.47883815458584894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-3.0859155231155454E-13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318.40875902853116</v>
      </c>
      <c r="T172" s="59">
        <f t="shared" si="142"/>
        <v>234.87694492493506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0.15354548807761356</v>
      </c>
      <c r="AA172" s="21">
        <f>EXP(-LN(2)/25)*AA171+(1-EXP(-LN(2)/25))/(LN(2)/25)*Calculateur!V172*Calculateur!X172*VLOOKUP('Données projet'!$B$9,Paramètres!$A$1:$I$89,3,0)*0.475*44/12</f>
        <v>0.23916125418652756</v>
      </c>
      <c r="AB172" s="21">
        <f>EXP(-LN(2)/2)*AB171+(1-EXP(-LN(2)/2))/(LN(2)/2)*V172*Y172*VLOOKUP('Données projet'!$B$9,Paramètres!$A$1:$I$89,3,0)*0.475*44/12</f>
        <v>2.5818429205701131E-20</v>
      </c>
      <c r="AC172" s="22">
        <f t="shared" si="163"/>
        <v>0.39270674226414115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243.38048563215585</v>
      </c>
      <c r="AO172" s="59">
        <f t="shared" si="144"/>
        <v>372.1604147006675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0.46593113623551768</v>
      </c>
      <c r="AV172" s="21">
        <f>EXP(-LN(2)/25)*AV171+(1-EXP(-LN(2)/25))/(LN(2)/25)*Calculateur!AQ172*Calculateur!AS172*VLOOKUP('Données projet'!$B$10,Paramètres!$A$1:$I$89,3,0)*0.475*44/12</f>
        <v>0.4104242865571579</v>
      </c>
      <c r="AW172" s="21">
        <f>EXP(-LN(2)/2)*AW171+(1-EXP(-LN(2)/2))/(LN(2)/2)*AQ172*AT172*VLOOKUP('Données projet'!$B$10,Paramètres!$A$1:$I$89,3,0)*0.475*44/12</f>
        <v>3.5115940082824089E-20</v>
      </c>
      <c r="AX172" s="21">
        <f t="shared" si="166"/>
        <v>0.87635542279267553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-5.1159076974727213E-13</v>
      </c>
      <c r="BE172" s="13">
        <f>BD172*VLOOKUP('Données projet'!$B$11,Paramètres!$A$1:$I$89,3,0)*VLOOKUP('Données projet'!$B$11,Paramètres!$A$1:$I$89,5,0)</f>
        <v>-3.4317508834647017E-13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207.93042467236967</v>
      </c>
      <c r="BJ172" s="59">
        <f t="shared" si="146"/>
        <v>250.70954318710835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0.17538601008865348</v>
      </c>
      <c r="BQ172" s="21">
        <f>EXP(-LN(2)/25)*BQ171+(1-EXP(-LN(2)/25))/(LN(2)/25)*Calculateur!BL172*Calculateur!BN172*VLOOKUP('Données projet'!$B$11,Paramètres!$A$1:$I$89,3,0)*0.475*44/12</f>
        <v>0.36672494476733081</v>
      </c>
      <c r="BR172" s="21">
        <f>EXP(-LN(2)/2)*BR171+(1-EXP(-LN(2)/2))/(LN(2)/2)*BL172*BO172*VLOOKUP('Données projet'!$B$11,Paramètres!$A$1:$I$89,3,0)*0.475*44/12</f>
        <v>2.4278988931015498E-20</v>
      </c>
      <c r="BS172" s="22">
        <f t="shared" si="169"/>
        <v>0.54211095485598426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1.7053025658242404E-13</v>
      </c>
      <c r="BZ172" s="13">
        <f>BY172*VLOOKUP('Données projet'!$B$12,Paramètres!$A$1:$I$89,3,0)*VLOOKUP('Données projet'!$B$12,Paramètres!$A$1:$I$89,5,0)</f>
        <v>1.3301360013429075E-13</v>
      </c>
      <c r="CA172" s="13">
        <f t="shared" si="170"/>
        <v>1.9329766731057041E-12</v>
      </c>
      <c r="CB172" s="20">
        <f t="shared" si="171"/>
        <v>3.5982663925596575E-12</v>
      </c>
      <c r="CC172" s="59">
        <f t="shared" si="119"/>
        <v>293.3333333333369</v>
      </c>
      <c r="CD172" s="59">
        <f ca="1">AVERAGE(OFFSET($CC$3,0,0,'Données projet'!$E$12+1,1))-AVERAGE(OFFSET($H$3,0,0,'Données projet'!$E$12+1,1))</f>
        <v>266.30229009596883</v>
      </c>
      <c r="CE172" s="59">
        <f t="shared" si="148"/>
        <v>270.19195828386046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9.2184021475168298E-2</v>
      </c>
      <c r="CL172" s="21">
        <f>EXP(-LN(2)/25)*CL171+(1-EXP(-LN(2)/25))/(LN(2)/25)*Calculateur!CG172*Calculateur!CI172*VLOOKUP('Données projet'!$B$12,Paramètres!$A$1:$I$89,3,0)*0.475*44/12</f>
        <v>0.17743372514152275</v>
      </c>
      <c r="CM172" s="21">
        <f>EXP(-LN(2)/2)*CM171+(1-EXP(-LN(2)/2))/(LN(2)/2)*CG172*CJ172*VLOOKUP('Données projet'!$B$12,Paramètres!$A$1:$I$89,3,0)*0.475*44/12</f>
        <v>1.5657776268678878E-20</v>
      </c>
      <c r="CN172" s="22">
        <f t="shared" si="172"/>
        <v>0.26961774661669102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-5.1159076974727213E-13</v>
      </c>
      <c r="CU172" s="17">
        <f>CT172*VLOOKUP('Données projet'!$B$13,Paramètres!$A$1:$I$89,3,0)*VLOOKUP('Données projet'!$B$13,Paramètres!$A$1:$I$89,5,0)</f>
        <v>-4.0702161641092972E-13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260.20517190557814</v>
      </c>
      <c r="CZ172" s="59">
        <f t="shared" si="150"/>
        <v>307.22009971147133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0.20801596545398462</v>
      </c>
      <c r="DG172" s="21">
        <f>EXP(-LN(2)/25)*DG171+(1-EXP(-LN(2)/25))/(LN(2)/25)*Calculateur!DB172*Calculateur!DD172*VLOOKUP('Données projet'!$B$13,Paramètres!$A$1:$I$89,3,0)*0.475*44/12</f>
        <v>0.43495284146822882</v>
      </c>
      <c r="DH172" s="21">
        <f>EXP(-LN(2)/2)*DH171+(1-EXP(-LN(2)/2))/(LN(2)/2)*DB172*DE172*VLOOKUP('Données projet'!$B$13,Paramètres!$A$1:$I$89,3,0)*0.475*44/12</f>
        <v>2.87960101274835E-20</v>
      </c>
      <c r="DI172" s="22">
        <f t="shared" si="175"/>
        <v>0.64296880692221348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-3.4106051316484809E-13</v>
      </c>
      <c r="DP172" s="17">
        <f>DO172*VLOOKUP('Données projet'!$B$14,Paramètres!$A$1:$I$89,3,0)*VLOOKUP('Données projet'!$B$14,Paramètres!$A$1:$I$89,5,0)</f>
        <v>-3.2987372833304104E-13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347.8889410585312</v>
      </c>
      <c r="DU172" s="59">
        <f t="shared" si="152"/>
        <v>254.78167322479203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0.16413483208296634</v>
      </c>
      <c r="EB172" s="21">
        <f>EXP(-LN(2)/25)*EB171+(1-EXP(-LN(2)/25))/(LN(2)/25)*Calculateur!DW172*Calculateur!DY172*VLOOKUP('Données projet'!$B$14,Paramètres!$A$1:$I$89,3,0)*0.475*44/12</f>
        <v>0.25565513378559834</v>
      </c>
      <c r="EC172" s="21">
        <f>EXP(-LN(2)/2)*EC171+(1-EXP(-LN(2)/2))/(LN(2)/2)*DW172*DZ172*VLOOKUP('Données projet'!$B$14,Paramètres!$A$1:$I$89,3,0)*0.475*44/12</f>
        <v>2.7599010530232116E-20</v>
      </c>
      <c r="ED172" s="22">
        <f t="shared" si="178"/>
        <v>0.41978996586856465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-3.4106051316484809E-13</v>
      </c>
      <c r="EK172" s="17">
        <f>EJ172*VLOOKUP('Données projet'!$B$15,Paramètres!$A$1:$I$89,3,0)*VLOOKUP('Données projet'!$B$15,Paramètres!$A$1:$I$89,5,0)</f>
        <v>-3.6711753637064249E-13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399.38728019348088</v>
      </c>
      <c r="EP172" s="59">
        <f t="shared" si="154"/>
        <v>289.54922160039791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0.18266618409233359</v>
      </c>
      <c r="EW172" s="21">
        <f>EXP(-LN(2)/25)*EW171+(1-EXP(-LN(2)/25))/(LN(2)/25)*Calculateur!ER172*Calculateur!ET172*VLOOKUP('Données projet'!$B$15,Paramètres!$A$1:$I$89,3,0)*0.475*44/12</f>
        <v>0.28451942308397277</v>
      </c>
      <c r="EX172" s="21">
        <f>EXP(-LN(2)/2)*EX171+(1-EXP(-LN(2)/2))/(LN(2)/2)*ER172*EU172*VLOOKUP('Données projet'!$B$15,Paramètres!$A$1:$I$89,3,0)*0.475*44/12</f>
        <v>3.0715027848161551E-20</v>
      </c>
      <c r="EY172" s="22">
        <f t="shared" si="181"/>
        <v>0.46718560717630636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-3.0859155231155454E-13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318.40875902853116</v>
      </c>
      <c r="T173" s="59">
        <f t="shared" si="142"/>
        <v>234.87694492493506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0.15053455470991178</v>
      </c>
      <c r="AA173" s="21">
        <f>EXP(-LN(2)/25)*AA172+(1-EXP(-LN(2)/25))/(LN(2)/25)*Calculateur!V173*Calculateur!X173*VLOOKUP('Données projet'!$B$9,Paramètres!$A$1:$I$89,3,0)*0.475*44/12</f>
        <v>0.23262137711385322</v>
      </c>
      <c r="AB173" s="21">
        <f>EXP(-LN(2)/2)*AB172+(1-EXP(-LN(2)/2))/(LN(2)/2)*V173*Y173*VLOOKUP('Données projet'!$B$9,Paramètres!$A$1:$I$89,3,0)*0.475*44/12</f>
        <v>1.8256386370936077E-20</v>
      </c>
      <c r="AC173" s="22">
        <f t="shared" si="163"/>
        <v>0.38315593182376501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243.38048563215585</v>
      </c>
      <c r="AO173" s="59">
        <f t="shared" si="144"/>
        <v>372.1604147006675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0.45679451084387085</v>
      </c>
      <c r="AV173" s="21">
        <f>EXP(-LN(2)/25)*AV172+(1-EXP(-LN(2)/25))/(LN(2)/25)*Calculateur!AQ173*Calculateur!AS173*VLOOKUP('Données projet'!$B$10,Paramètres!$A$1:$I$89,3,0)*0.475*44/12</f>
        <v>0.39920121285797722</v>
      </c>
      <c r="AW173" s="21">
        <f>EXP(-LN(2)/2)*AW172+(1-EXP(-LN(2)/2))/(LN(2)/2)*AQ173*AT173*VLOOKUP('Données projet'!$B$10,Paramètres!$A$1:$I$89,3,0)*0.475*44/12</f>
        <v>2.4830719360305407E-20</v>
      </c>
      <c r="AX173" s="21">
        <f t="shared" si="166"/>
        <v>0.85599572370184807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-5.1159076974727213E-13</v>
      </c>
      <c r="BE173" s="13">
        <f>BD173*VLOOKUP('Données projet'!$B$11,Paramètres!$A$1:$I$89,3,0)*VLOOKUP('Données projet'!$B$11,Paramètres!$A$1:$I$89,5,0)</f>
        <v>-3.4317508834647017E-13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207.93042467236967</v>
      </c>
      <c r="BJ173" s="59">
        <f t="shared" si="146"/>
        <v>250.70954318710835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0.17194679740571825</v>
      </c>
      <c r="BQ173" s="21">
        <f>EXP(-LN(2)/25)*BQ172+(1-EXP(-LN(2)/25))/(LN(2)/25)*Calculateur!BL173*Calculateur!BN173*VLOOKUP('Données projet'!$B$11,Paramètres!$A$1:$I$89,3,0)*0.475*44/12</f>
        <v>0.35669683186744144</v>
      </c>
      <c r="BR173" s="21">
        <f>EXP(-LN(2)/2)*BR172+(1-EXP(-LN(2)/2))/(LN(2)/2)*BL173*BO173*VLOOKUP('Données projet'!$B$11,Paramètres!$A$1:$I$89,3,0)*0.475*44/12</f>
        <v>1.7167837713474185E-20</v>
      </c>
      <c r="BS173" s="22">
        <f t="shared" si="169"/>
        <v>0.52864362927315967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1.7053025658242404E-13</v>
      </c>
      <c r="BZ173" s="13">
        <f>BY173*VLOOKUP('Données projet'!$B$12,Paramètres!$A$1:$I$89,3,0)*VLOOKUP('Données projet'!$B$12,Paramètres!$A$1:$I$89,5,0)</f>
        <v>1.3301360013429075E-13</v>
      </c>
      <c r="CA173" s="13">
        <f t="shared" si="170"/>
        <v>1.9329766731057041E-12</v>
      </c>
      <c r="CB173" s="20">
        <f t="shared" si="171"/>
        <v>3.5982663925596575E-12</v>
      </c>
      <c r="CC173" s="59">
        <f t="shared" si="119"/>
        <v>293.3333333333369</v>
      </c>
      <c r="CD173" s="59">
        <f ca="1">AVERAGE(OFFSET($CC$3,0,0,'Données projet'!$E$12+1,1))-AVERAGE(OFFSET($H$3,0,0,'Données projet'!$E$12+1,1))</f>
        <v>266.30229009596883</v>
      </c>
      <c r="CE173" s="59">
        <f t="shared" si="148"/>
        <v>270.19195828386046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9.0376349040741419E-2</v>
      </c>
      <c r="CL173" s="21">
        <f>EXP(-LN(2)/25)*CL172+(1-EXP(-LN(2)/25))/(LN(2)/25)*Calculateur!CG173*Calculateur!CI173*VLOOKUP('Données projet'!$B$12,Paramètres!$A$1:$I$89,3,0)*0.475*44/12</f>
        <v>0.17258179059669373</v>
      </c>
      <c r="CM173" s="21">
        <f>EXP(-LN(2)/2)*CM172+(1-EXP(-LN(2)/2))/(LN(2)/2)*CG173*CJ173*VLOOKUP('Données projet'!$B$12,Paramètres!$A$1:$I$89,3,0)*0.475*44/12</f>
        <v>1.1071719777884633E-20</v>
      </c>
      <c r="CN173" s="22">
        <f t="shared" si="172"/>
        <v>0.26295813963743514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-5.1159076974727213E-13</v>
      </c>
      <c r="CU173" s="17">
        <f>CT173*VLOOKUP('Données projet'!$B$13,Paramètres!$A$1:$I$89,3,0)*VLOOKUP('Données projet'!$B$13,Paramètres!$A$1:$I$89,5,0)</f>
        <v>-4.0702161641092972E-13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260.20517190557814</v>
      </c>
      <c r="CZ173" s="59">
        <f t="shared" si="150"/>
        <v>307.22009971147133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0.20393689924864283</v>
      </c>
      <c r="DG173" s="21">
        <f>EXP(-LN(2)/25)*DG172+(1-EXP(-LN(2)/25))/(LN(2)/25)*Calculateur!DB173*Calculateur!DD173*VLOOKUP('Données projet'!$B$13,Paramètres!$A$1:$I$89,3,0)*0.475*44/12</f>
        <v>0.42305903314510429</v>
      </c>
      <c r="DH173" s="21">
        <f>EXP(-LN(2)/2)*DH172+(1-EXP(-LN(2)/2))/(LN(2)/2)*DB173*DE173*VLOOKUP('Données projet'!$B$13,Paramètres!$A$1:$I$89,3,0)*0.475*44/12</f>
        <v>2.0361854032260082E-20</v>
      </c>
      <c r="DI173" s="22">
        <f t="shared" si="175"/>
        <v>0.62699593239374707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-3.4106051316484809E-13</v>
      </c>
      <c r="DP173" s="17">
        <f>DO173*VLOOKUP('Données projet'!$B$14,Paramètres!$A$1:$I$89,3,0)*VLOOKUP('Données projet'!$B$14,Paramètres!$A$1:$I$89,5,0)</f>
        <v>-3.2987372833304104E-13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347.8889410585312</v>
      </c>
      <c r="DU173" s="59">
        <f t="shared" si="152"/>
        <v>254.78167322479203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0.16091624813818167</v>
      </c>
      <c r="EB173" s="21">
        <f>EXP(-LN(2)/25)*EB172+(1-EXP(-LN(2)/25))/(LN(2)/25)*Calculateur!DW173*Calculateur!DY173*VLOOKUP('Données projet'!$B$14,Paramètres!$A$1:$I$89,3,0)*0.475*44/12</f>
        <v>0.24866423070791197</v>
      </c>
      <c r="EC173" s="21">
        <f>EXP(-LN(2)/2)*EC172+(1-EXP(-LN(2)/2))/(LN(2)/2)*DW173*DZ173*VLOOKUP('Données projet'!$B$14,Paramètres!$A$1:$I$89,3,0)*0.475*44/12</f>
        <v>1.9515447499966062E-20</v>
      </c>
      <c r="ED173" s="22">
        <f t="shared" si="178"/>
        <v>0.40958047884609361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-3.4106051316484809E-13</v>
      </c>
      <c r="EK173" s="17">
        <f>EJ173*VLOOKUP('Données projet'!$B$15,Paramètres!$A$1:$I$89,3,0)*VLOOKUP('Données projet'!$B$15,Paramètres!$A$1:$I$89,5,0)</f>
        <v>-3.6711753637064249E-13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399.38728019348088</v>
      </c>
      <c r="EP173" s="59">
        <f t="shared" si="154"/>
        <v>289.54922160039791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0.17908421163765387</v>
      </c>
      <c r="EW173" s="21">
        <f>EXP(-LN(2)/25)*EW172+(1-EXP(-LN(2)/25))/(LN(2)/25)*Calculateur!ER173*Calculateur!ET173*VLOOKUP('Données projet'!$B$15,Paramètres!$A$1:$I$89,3,0)*0.475*44/12</f>
        <v>0.27673922449751537</v>
      </c>
      <c r="EX173" s="21">
        <f>EXP(-LN(2)/2)*EX172+(1-EXP(-LN(2)/2))/(LN(2)/2)*ER173*EU173*VLOOKUP('Données projet'!$B$15,Paramètres!$A$1:$I$89,3,0)*0.475*44/12</f>
        <v>2.1718804475768684E-20</v>
      </c>
      <c r="EY173" s="22">
        <f t="shared" si="181"/>
        <v>0.45582343613516924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-3.0859155231155454E-13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318.40875902853116</v>
      </c>
      <c r="T174" s="59">
        <f t="shared" si="142"/>
        <v>234.87694492493506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0.14758266390906261</v>
      </c>
      <c r="AA174" s="21">
        <f>EXP(-LN(2)/25)*AA173+(1-EXP(-LN(2)/25))/(LN(2)/25)*Calculateur!V174*Calculateur!X174*VLOOKUP('Données projet'!$B$9,Paramètres!$A$1:$I$89,3,0)*0.475*44/12</f>
        <v>0.22626033332364834</v>
      </c>
      <c r="AB174" s="21">
        <f>EXP(-LN(2)/2)*AB173+(1-EXP(-LN(2)/2))/(LN(2)/2)*V174*Y174*VLOOKUP('Données projet'!$B$9,Paramètres!$A$1:$I$89,3,0)*0.475*44/12</f>
        <v>1.2909214602850566E-20</v>
      </c>
      <c r="AC174" s="22">
        <f t="shared" si="163"/>
        <v>0.37384299723271097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243.38048563215585</v>
      </c>
      <c r="AO174" s="59">
        <f t="shared" si="144"/>
        <v>372.1604147006675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0.44783704910336297</v>
      </c>
      <c r="AV174" s="21">
        <f>EXP(-LN(2)/25)*AV173+(1-EXP(-LN(2)/25))/(LN(2)/25)*Calculateur!AQ174*Calculateur!AS174*VLOOKUP('Données projet'!$B$10,Paramètres!$A$1:$I$89,3,0)*0.475*44/12</f>
        <v>0.38828503469929643</v>
      </c>
      <c r="AW174" s="21">
        <f>EXP(-LN(2)/2)*AW173+(1-EXP(-LN(2)/2))/(LN(2)/2)*AQ174*AT174*VLOOKUP('Données projet'!$B$10,Paramètres!$A$1:$I$89,3,0)*0.475*44/12</f>
        <v>1.7557970041412044E-20</v>
      </c>
      <c r="AX174" s="21">
        <f t="shared" si="166"/>
        <v>0.8361220838026594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-5.1159076974727213E-13</v>
      </c>
      <c r="BE174" s="13">
        <f>BD174*VLOOKUP('Données projet'!$B$11,Paramètres!$A$1:$I$89,3,0)*VLOOKUP('Données projet'!$B$11,Paramètres!$A$1:$I$89,5,0)</f>
        <v>-3.4317508834647017E-13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207.93042467236967</v>
      </c>
      <c r="BJ174" s="59">
        <f t="shared" si="146"/>
        <v>250.70954318710835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0.16857502558578277</v>
      </c>
      <c r="BQ174" s="21">
        <f>EXP(-LN(2)/25)*BQ173+(1-EXP(-LN(2)/25))/(LN(2)/25)*Calculateur!BL174*Calculateur!BN174*VLOOKUP('Données projet'!$B$11,Paramètres!$A$1:$I$89,3,0)*0.475*44/12</f>
        <v>0.34694293824215511</v>
      </c>
      <c r="BR174" s="21">
        <f>EXP(-LN(2)/2)*BR173+(1-EXP(-LN(2)/2))/(LN(2)/2)*BL174*BO174*VLOOKUP('Données projet'!$B$11,Paramètres!$A$1:$I$89,3,0)*0.475*44/12</f>
        <v>1.2139494465507749E-20</v>
      </c>
      <c r="BS174" s="22">
        <f t="shared" si="169"/>
        <v>0.51551796382793791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1.7053025658242404E-13</v>
      </c>
      <c r="BZ174" s="13">
        <f>BY174*VLOOKUP('Données projet'!$B$12,Paramètres!$A$1:$I$89,3,0)*VLOOKUP('Données projet'!$B$12,Paramètres!$A$1:$I$89,5,0)</f>
        <v>1.3301360013429075E-13</v>
      </c>
      <c r="CA174" s="13">
        <f t="shared" si="170"/>
        <v>1.9329766731057041E-12</v>
      </c>
      <c r="CB174" s="20">
        <f t="shared" si="171"/>
        <v>3.5982663925596575E-12</v>
      </c>
      <c r="CC174" s="59">
        <f t="shared" si="119"/>
        <v>293.3333333333369</v>
      </c>
      <c r="CD174" s="59">
        <f ca="1">AVERAGE(OFFSET($CC$3,0,0,'Données projet'!$E$12+1,1))-AVERAGE(OFFSET($H$3,0,0,'Données projet'!$E$12+1,1))</f>
        <v>266.30229009596883</v>
      </c>
      <c r="CE174" s="59">
        <f t="shared" si="148"/>
        <v>270.19195828386046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8.8604123960182343E-2</v>
      </c>
      <c r="CL174" s="21">
        <f>EXP(-LN(2)/25)*CL173+(1-EXP(-LN(2)/25))/(LN(2)/25)*Calculateur!CG174*Calculateur!CI174*VLOOKUP('Données projet'!$B$12,Paramètres!$A$1:$I$89,3,0)*0.475*44/12</f>
        <v>0.16786253245714522</v>
      </c>
      <c r="CM174" s="21">
        <f>EXP(-LN(2)/2)*CM173+(1-EXP(-LN(2)/2))/(LN(2)/2)*CG174*CJ174*VLOOKUP('Données projet'!$B$12,Paramètres!$A$1:$I$89,3,0)*0.475*44/12</f>
        <v>7.8288881343394392E-21</v>
      </c>
      <c r="CN174" s="22">
        <f t="shared" si="172"/>
        <v>0.25646665641732758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-5.1159076974727213E-13</v>
      </c>
      <c r="CU174" s="17">
        <f>CT174*VLOOKUP('Données projet'!$B$13,Paramètres!$A$1:$I$89,3,0)*VLOOKUP('Données projet'!$B$13,Paramètres!$A$1:$I$89,5,0)</f>
        <v>-4.0702161641092972E-13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260.20517190557814</v>
      </c>
      <c r="CZ174" s="59">
        <f t="shared" si="150"/>
        <v>307.22009971147133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0.19993782104360308</v>
      </c>
      <c r="DG174" s="21">
        <f>EXP(-LN(2)/25)*DG173+(1-EXP(-LN(2)/25))/(LN(2)/25)*Calculateur!DB174*Calculateur!DD174*VLOOKUP('Données projet'!$B$13,Paramètres!$A$1:$I$89,3,0)*0.475*44/12</f>
        <v>0.4114904616360438</v>
      </c>
      <c r="DH174" s="21">
        <f>EXP(-LN(2)/2)*DH173+(1-EXP(-LN(2)/2))/(LN(2)/2)*DB174*DE174*VLOOKUP('Données projet'!$B$13,Paramètres!$A$1:$I$89,3,0)*0.475*44/12</f>
        <v>1.439800506374175E-20</v>
      </c>
      <c r="DI174" s="22">
        <f t="shared" si="175"/>
        <v>0.61142828267964688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-3.4106051316484809E-13</v>
      </c>
      <c r="DP174" s="17">
        <f>DO174*VLOOKUP('Données projet'!$B$14,Paramètres!$A$1:$I$89,3,0)*VLOOKUP('Données projet'!$B$14,Paramètres!$A$1:$I$89,5,0)</f>
        <v>-3.2987372833304104E-13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347.8889410585312</v>
      </c>
      <c r="DU174" s="59">
        <f t="shared" si="152"/>
        <v>254.78167322479203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0.15776077866141186</v>
      </c>
      <c r="EB174" s="21">
        <f>EXP(-LN(2)/25)*EB173+(1-EXP(-LN(2)/25))/(LN(2)/25)*Calculateur!DW174*Calculateur!DY174*VLOOKUP('Données projet'!$B$14,Paramètres!$A$1:$I$89,3,0)*0.475*44/12</f>
        <v>0.24186449424252054</v>
      </c>
      <c r="EC174" s="21">
        <f>EXP(-LN(2)/2)*EC173+(1-EXP(-LN(2)/2))/(LN(2)/2)*DW174*DZ174*VLOOKUP('Données projet'!$B$14,Paramètres!$A$1:$I$89,3,0)*0.475*44/12</f>
        <v>1.3799505265116058E-20</v>
      </c>
      <c r="ED174" s="22">
        <f t="shared" si="178"/>
        <v>0.3996252729039324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-3.4106051316484809E-13</v>
      </c>
      <c r="EK174" s="17">
        <f>EJ174*VLOOKUP('Données projet'!$B$15,Paramètres!$A$1:$I$89,3,0)*VLOOKUP('Données projet'!$B$15,Paramètres!$A$1:$I$89,5,0)</f>
        <v>-3.6711753637064249E-13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399.38728019348088</v>
      </c>
      <c r="EP174" s="59">
        <f t="shared" si="154"/>
        <v>289.54922160039791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0.17557247947802296</v>
      </c>
      <c r="EW174" s="21">
        <f>EXP(-LN(2)/25)*EW173+(1-EXP(-LN(2)/25))/(LN(2)/25)*Calculateur!ER174*Calculateur!ET174*VLOOKUP('Données projet'!$B$15,Paramètres!$A$1:$I$89,3,0)*0.475*44/12</f>
        <v>0.26917177585054747</v>
      </c>
      <c r="EX174" s="21">
        <f>EXP(-LN(2)/2)*EX173+(1-EXP(-LN(2)/2))/(LN(2)/2)*ER174*EU174*VLOOKUP('Données projet'!$B$15,Paramètres!$A$1:$I$89,3,0)*0.475*44/12</f>
        <v>1.5357513924080776E-20</v>
      </c>
      <c r="EY174" s="22">
        <f t="shared" si="181"/>
        <v>0.44474425532857043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-3.0859155231155454E-13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318.40875902853116</v>
      </c>
      <c r="T175" s="59">
        <f t="shared" si="142"/>
        <v>234.87694492493506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0.14468865788634247</v>
      </c>
      <c r="AA175" s="21">
        <f>EXP(-LN(2)/25)*AA174+(1-EXP(-LN(2)/25))/(LN(2)/25)*Calculateur!V175*Calculateur!X175*VLOOKUP('Données projet'!$B$9,Paramètres!$A$1:$I$89,3,0)*0.475*44/12</f>
        <v>0.22007323261039938</v>
      </c>
      <c r="AB175" s="21">
        <f>EXP(-LN(2)/2)*AB174+(1-EXP(-LN(2)/2))/(LN(2)/2)*V175*Y175*VLOOKUP('Données projet'!$B$9,Paramètres!$A$1:$I$89,3,0)*0.475*44/12</f>
        <v>9.1281931854680387E-21</v>
      </c>
      <c r="AC175" s="22">
        <f t="shared" si="163"/>
        <v>0.36476189049674185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243.38048563215585</v>
      </c>
      <c r="AO175" s="59">
        <f t="shared" si="144"/>
        <v>372.1604147006675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0.43905523772407429</v>
      </c>
      <c r="AV175" s="21">
        <f>EXP(-LN(2)/25)*AV174+(1-EXP(-LN(2)/25))/(LN(2)/25)*Calculateur!AQ175*Calculateur!AS175*VLOOKUP('Données projet'!$B$10,Paramètres!$A$1:$I$89,3,0)*0.475*44/12</f>
        <v>0.37766736000642165</v>
      </c>
      <c r="AW175" s="21">
        <f>EXP(-LN(2)/2)*AW174+(1-EXP(-LN(2)/2))/(LN(2)/2)*AQ175*AT175*VLOOKUP('Données projet'!$B$10,Paramètres!$A$1:$I$89,3,0)*0.475*44/12</f>
        <v>1.2415359680152703E-20</v>
      </c>
      <c r="AX175" s="21">
        <f t="shared" si="166"/>
        <v>0.81672259773049594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-5.1159076974727213E-13</v>
      </c>
      <c r="BE175" s="13">
        <f>BD175*VLOOKUP('Données projet'!$B$11,Paramètres!$A$1:$I$89,3,0)*VLOOKUP('Données projet'!$B$11,Paramètres!$A$1:$I$89,5,0)</f>
        <v>-3.4317508834647017E-13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207.93042467236967</v>
      </c>
      <c r="BJ175" s="59">
        <f t="shared" si="146"/>
        <v>250.70954318710835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0.16526937215465848</v>
      </c>
      <c r="BQ175" s="21">
        <f>EXP(-LN(2)/25)*BQ174+(1-EXP(-LN(2)/25))/(LN(2)/25)*Calculateur!BL175*Calculateur!BN175*VLOOKUP('Données projet'!$B$11,Paramètres!$A$1:$I$89,3,0)*0.475*44/12</f>
        <v>0.3374557653509872</v>
      </c>
      <c r="BR175" s="21">
        <f>EXP(-LN(2)/2)*BR174+(1-EXP(-LN(2)/2))/(LN(2)/2)*BL175*BO175*VLOOKUP('Données projet'!$B$11,Paramètres!$A$1:$I$89,3,0)*0.475*44/12</f>
        <v>8.5839188567370926E-21</v>
      </c>
      <c r="BS175" s="22">
        <f t="shared" si="169"/>
        <v>0.50272513750564563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1.7053025658242404E-13</v>
      </c>
      <c r="BZ175" s="13">
        <f>BY175*VLOOKUP('Données projet'!$B$12,Paramètres!$A$1:$I$89,3,0)*VLOOKUP('Données projet'!$B$12,Paramètres!$A$1:$I$89,5,0)</f>
        <v>1.3301360013429075E-13</v>
      </c>
      <c r="CA175" s="13">
        <f t="shared" si="170"/>
        <v>1.9329766731057041E-12</v>
      </c>
      <c r="CB175" s="20">
        <f t="shared" si="171"/>
        <v>3.5982663925596575E-12</v>
      </c>
      <c r="CC175" s="59">
        <f t="shared" si="119"/>
        <v>293.3333333333369</v>
      </c>
      <c r="CD175" s="59">
        <f ca="1">AVERAGE(OFFSET($CC$3,0,0,'Données projet'!$E$12+1,1))-AVERAGE(OFFSET($H$3,0,0,'Données projet'!$E$12+1,1))</f>
        <v>266.30229009596883</v>
      </c>
      <c r="CE175" s="59">
        <f t="shared" si="148"/>
        <v>270.19195828386046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8.6866651132502457E-2</v>
      </c>
      <c r="CL175" s="21">
        <f>EXP(-LN(2)/25)*CL174+(1-EXP(-LN(2)/25))/(LN(2)/25)*Calculateur!CG175*Calculateur!CI175*VLOOKUP('Données projet'!$B$12,Paramètres!$A$1:$I$89,3,0)*0.475*44/12</f>
        <v>0.16327232267959765</v>
      </c>
      <c r="CM175" s="21">
        <f>EXP(-LN(2)/2)*CM174+(1-EXP(-LN(2)/2))/(LN(2)/2)*CG175*CJ175*VLOOKUP('Données projet'!$B$12,Paramètres!$A$1:$I$89,3,0)*0.475*44/12</f>
        <v>5.5358598889423163E-21</v>
      </c>
      <c r="CN175" s="22">
        <f t="shared" si="172"/>
        <v>0.2501389738121001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-5.1159076974727213E-13</v>
      </c>
      <c r="CU175" s="17">
        <f>CT175*VLOOKUP('Données projet'!$B$13,Paramètres!$A$1:$I$89,3,0)*VLOOKUP('Données projet'!$B$13,Paramètres!$A$1:$I$89,5,0)</f>
        <v>-4.0702161641092972E-13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260.20517190557814</v>
      </c>
      <c r="CZ175" s="59">
        <f t="shared" si="150"/>
        <v>307.22009971147133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0.19601716232296729</v>
      </c>
      <c r="DG175" s="21">
        <f>EXP(-LN(2)/25)*DG174+(1-EXP(-LN(2)/25))/(LN(2)/25)*Calculateur!DB175*Calculateur!DD175*VLOOKUP('Données projet'!$B$13,Paramètres!$A$1:$I$89,3,0)*0.475*44/12</f>
        <v>0.4002382333232633</v>
      </c>
      <c r="DH175" s="21">
        <f>EXP(-LN(2)/2)*DH174+(1-EXP(-LN(2)/2))/(LN(2)/2)*DB175*DE175*VLOOKUP('Données projet'!$B$13,Paramètres!$A$1:$I$89,3,0)*0.475*44/12</f>
        <v>1.0180927016130041E-20</v>
      </c>
      <c r="DI175" s="22">
        <f t="shared" si="175"/>
        <v>0.59625539564623065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-3.4106051316484809E-13</v>
      </c>
      <c r="DP175" s="17">
        <f>DO175*VLOOKUP('Données projet'!$B$14,Paramètres!$A$1:$I$89,3,0)*VLOOKUP('Données projet'!$B$14,Paramètres!$A$1:$I$89,5,0)</f>
        <v>-3.2987372833304104E-13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347.8889410585312</v>
      </c>
      <c r="DU175" s="59">
        <f t="shared" si="152"/>
        <v>254.78167322479203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0.15466718601643517</v>
      </c>
      <c r="EB175" s="21">
        <f>EXP(-LN(2)/25)*EB174+(1-EXP(-LN(2)/25))/(LN(2)/25)*Calculateur!DW175*Calculateur!DY175*VLOOKUP('Données projet'!$B$14,Paramètres!$A$1:$I$89,3,0)*0.475*44/12</f>
        <v>0.23525069692835784</v>
      </c>
      <c r="EC175" s="21">
        <f>EXP(-LN(2)/2)*EC174+(1-EXP(-LN(2)/2))/(LN(2)/2)*DW175*DZ175*VLOOKUP('Données projet'!$B$14,Paramètres!$A$1:$I$89,3,0)*0.475*44/12</f>
        <v>9.7577237499830311E-21</v>
      </c>
      <c r="ED175" s="22">
        <f t="shared" si="178"/>
        <v>0.38991788294479302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-3.4106051316484809E-13</v>
      </c>
      <c r="EK175" s="17">
        <f>EJ175*VLOOKUP('Données projet'!$B$15,Paramètres!$A$1:$I$89,3,0)*VLOOKUP('Données projet'!$B$15,Paramètres!$A$1:$I$89,5,0)</f>
        <v>-3.6711753637064249E-13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399.38728019348088</v>
      </c>
      <c r="EP175" s="59">
        <f t="shared" si="154"/>
        <v>289.54922160039791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0.17212961024409729</v>
      </c>
      <c r="EW175" s="21">
        <f>EXP(-LN(2)/25)*EW174+(1-EXP(-LN(2)/25))/(LN(2)/25)*Calculateur!ER175*Calculateur!ET175*VLOOKUP('Données projet'!$B$15,Paramètres!$A$1:$I$89,3,0)*0.475*44/12</f>
        <v>0.26181125948478573</v>
      </c>
      <c r="EX175" s="21">
        <f>EXP(-LN(2)/2)*EX174+(1-EXP(-LN(2)/2))/(LN(2)/2)*ER175*EU175*VLOOKUP('Données projet'!$B$15,Paramètres!$A$1:$I$89,3,0)*0.475*44/12</f>
        <v>1.0859402237884342E-20</v>
      </c>
      <c r="EY175" s="22">
        <f t="shared" si="181"/>
        <v>0.43394086972888302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-3.0859155231155454E-13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318.40875902853116</v>
      </c>
      <c r="T176" s="59">
        <f t="shared" si="142"/>
        <v>234.87694492493506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0.14185140155655851</v>
      </c>
      <c r="AA176" s="21">
        <f>EXP(-LN(2)/25)*AA175+(1-EXP(-LN(2)/25))/(LN(2)/25)*Calculateur!V176*Calculateur!X176*VLOOKUP('Données projet'!$B$9,Paramètres!$A$1:$I$89,3,0)*0.475*44/12</f>
        <v>0.21405531849151968</v>
      </c>
      <c r="AB176" s="21">
        <f>EXP(-LN(2)/2)*AB175+(1-EXP(-LN(2)/2))/(LN(2)/2)*V176*Y176*VLOOKUP('Données projet'!$B$9,Paramètres!$A$1:$I$89,3,0)*0.475*44/12</f>
        <v>6.4546073014252828E-21</v>
      </c>
      <c r="AC176" s="22">
        <f t="shared" si="163"/>
        <v>0.35590672004807822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243.38048563215585</v>
      </c>
      <c r="AO176" s="59">
        <f t="shared" si="144"/>
        <v>372.1604147006675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0.4304456323095574</v>
      </c>
      <c r="AV176" s="21">
        <f>EXP(-LN(2)/25)*AV175+(1-EXP(-LN(2)/25))/(LN(2)/25)*Calculateur!AQ176*Calculateur!AS176*VLOOKUP('Données projet'!$B$10,Paramètres!$A$1:$I$89,3,0)*0.475*44/12</f>
        <v>0.36734002618638273</v>
      </c>
      <c r="AW176" s="21">
        <f>EXP(-LN(2)/2)*AW175+(1-EXP(-LN(2)/2))/(LN(2)/2)*AQ176*AT176*VLOOKUP('Données projet'!$B$10,Paramètres!$A$1:$I$89,3,0)*0.475*44/12</f>
        <v>8.7789850207060222E-21</v>
      </c>
      <c r="AX176" s="21">
        <f t="shared" si="166"/>
        <v>0.79778565849594019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-5.1159076974727213E-13</v>
      </c>
      <c r="BE176" s="13">
        <f>BD176*VLOOKUP('Données projet'!$B$11,Paramètres!$A$1:$I$89,3,0)*VLOOKUP('Données projet'!$B$11,Paramètres!$A$1:$I$89,5,0)</f>
        <v>-3.4317508834647017E-13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207.93042467236967</v>
      </c>
      <c r="BJ176" s="59">
        <f t="shared" si="146"/>
        <v>250.70954318710835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0.16202854057106902</v>
      </c>
      <c r="BQ176" s="21">
        <f>EXP(-LN(2)/25)*BQ175+(1-EXP(-LN(2)/25))/(LN(2)/25)*Calculateur!BL176*Calculateur!BN176*VLOOKUP('Données projet'!$B$11,Paramètres!$A$1:$I$89,3,0)*0.475*44/12</f>
        <v>0.328228019701437</v>
      </c>
      <c r="BR176" s="21">
        <f>EXP(-LN(2)/2)*BR175+(1-EXP(-LN(2)/2))/(LN(2)/2)*BL176*BO176*VLOOKUP('Données projet'!$B$11,Paramètres!$A$1:$I$89,3,0)*0.475*44/12</f>
        <v>6.0697472327538746E-21</v>
      </c>
      <c r="BS176" s="22">
        <f t="shared" si="169"/>
        <v>0.49025656027250603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1.7053025658242404E-13</v>
      </c>
      <c r="BZ176" s="13">
        <f>BY176*VLOOKUP('Données projet'!$B$12,Paramètres!$A$1:$I$89,3,0)*VLOOKUP('Données projet'!$B$12,Paramètres!$A$1:$I$89,5,0)</f>
        <v>1.3301360013429075E-13</v>
      </c>
      <c r="CA176" s="13">
        <f t="shared" si="170"/>
        <v>1.9329766731057041E-12</v>
      </c>
      <c r="CB176" s="20">
        <f t="shared" si="171"/>
        <v>3.5982663925596575E-12</v>
      </c>
      <c r="CC176" s="59">
        <f t="shared" si="119"/>
        <v>293.3333333333369</v>
      </c>
      <c r="CD176" s="59">
        <f ca="1">AVERAGE(OFFSET($CC$3,0,0,'Données projet'!$E$12+1,1))-AVERAGE(OFFSET($H$3,0,0,'Données projet'!$E$12+1,1))</f>
        <v>266.30229009596883</v>
      </c>
      <c r="CE176" s="59">
        <f t="shared" si="148"/>
        <v>270.19195828386046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8.5163249087219589E-2</v>
      </c>
      <c r="CL176" s="21">
        <f>EXP(-LN(2)/25)*CL175+(1-EXP(-LN(2)/25))/(LN(2)/25)*Calculateur!CG176*Calculateur!CI176*VLOOKUP('Données projet'!$B$12,Paramètres!$A$1:$I$89,3,0)*0.475*44/12</f>
        <v>0.15880763242980578</v>
      </c>
      <c r="CM176" s="21">
        <f>EXP(-LN(2)/2)*CM175+(1-EXP(-LN(2)/2))/(LN(2)/2)*CG176*CJ176*VLOOKUP('Données projet'!$B$12,Paramètres!$A$1:$I$89,3,0)*0.475*44/12</f>
        <v>3.9144440671697196E-21</v>
      </c>
      <c r="CN176" s="22">
        <f t="shared" si="172"/>
        <v>0.24397088151702537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-5.1159076974727213E-13</v>
      </c>
      <c r="CU176" s="17">
        <f>CT176*VLOOKUP('Données projet'!$B$13,Paramètres!$A$1:$I$89,3,0)*VLOOKUP('Données projet'!$B$13,Paramètres!$A$1:$I$89,5,0)</f>
        <v>-4.0702161641092972E-13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260.20517190557814</v>
      </c>
      <c r="CZ176" s="59">
        <f t="shared" si="150"/>
        <v>307.22009971147133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0.19217338532847747</v>
      </c>
      <c r="DG176" s="21">
        <f>EXP(-LN(2)/25)*DG175+(1-EXP(-LN(2)/25))/(LN(2)/25)*Calculateur!DB176*Calculateur!DD176*VLOOKUP('Données projet'!$B$13,Paramètres!$A$1:$I$89,3,0)*0.475*44/12</f>
        <v>0.38929369778542472</v>
      </c>
      <c r="DH176" s="21">
        <f>EXP(-LN(2)/2)*DH175+(1-EXP(-LN(2)/2))/(LN(2)/2)*DB176*DE176*VLOOKUP('Données projet'!$B$13,Paramètres!$A$1:$I$89,3,0)*0.475*44/12</f>
        <v>7.1990025318708749E-21</v>
      </c>
      <c r="DI176" s="22">
        <f t="shared" si="175"/>
        <v>0.58146708311390216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-3.4106051316484809E-13</v>
      </c>
      <c r="DP176" s="17">
        <f>DO176*VLOOKUP('Données projet'!$B$14,Paramètres!$A$1:$I$89,3,0)*VLOOKUP('Données projet'!$B$14,Paramètres!$A$1:$I$89,5,0)</f>
        <v>-3.2987372833304104E-13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347.8889410585312</v>
      </c>
      <c r="DU176" s="59">
        <f t="shared" si="152"/>
        <v>254.78167322479203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0.15163425683632129</v>
      </c>
      <c r="EB176" s="21">
        <f>EXP(-LN(2)/25)*EB175+(1-EXP(-LN(2)/25))/(LN(2)/25)*Calculateur!DW176*Calculateur!DY176*VLOOKUP('Données projet'!$B$14,Paramètres!$A$1:$I$89,3,0)*0.475*44/12</f>
        <v>0.22881775424955542</v>
      </c>
      <c r="EC176" s="21">
        <f>EXP(-LN(2)/2)*EC175+(1-EXP(-LN(2)/2))/(LN(2)/2)*DW176*DZ176*VLOOKUP('Données projet'!$B$14,Paramètres!$A$1:$I$89,3,0)*0.475*44/12</f>
        <v>6.899752632558029E-21</v>
      </c>
      <c r="ED176" s="22">
        <f t="shared" si="178"/>
        <v>0.38045201108587667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-3.4106051316484809E-13</v>
      </c>
      <c r="EK176" s="17">
        <f>EJ176*VLOOKUP('Données projet'!$B$15,Paramètres!$A$1:$I$89,3,0)*VLOOKUP('Données projet'!$B$15,Paramètres!$A$1:$I$89,5,0)</f>
        <v>-3.6711753637064249E-13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399.38728019348088</v>
      </c>
      <c r="EP176" s="59">
        <f t="shared" si="154"/>
        <v>289.54922160039791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0.16875425357590601</v>
      </c>
      <c r="EW176" s="21">
        <f>EXP(-LN(2)/25)*EW175+(1-EXP(-LN(2)/25))/(LN(2)/25)*Calculateur!ER176*Calculateur!ET176*VLOOKUP('Données projet'!$B$15,Paramètres!$A$1:$I$89,3,0)*0.475*44/12</f>
        <v>0.25465201682611849</v>
      </c>
      <c r="EX176" s="21">
        <f>EXP(-LN(2)/2)*EX175+(1-EXP(-LN(2)/2))/(LN(2)/2)*ER176*EU176*VLOOKUP('Données projet'!$B$15,Paramètres!$A$1:$I$89,3,0)*0.475*44/12</f>
        <v>7.6787569620403878E-21</v>
      </c>
      <c r="EY176" s="22">
        <f t="shared" si="181"/>
        <v>0.4234062704020245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-3.0859155231155454E-13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318.40875902853116</v>
      </c>
      <c r="T177" s="59">
        <f t="shared" si="142"/>
        <v>234.87694492493506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0.13906978209284612</v>
      </c>
      <c r="AA177" s="21">
        <f>EXP(-LN(2)/25)*AA176+(1-EXP(-LN(2)/25))/(LN(2)/25)*Calculateur!V177*Calculateur!X177*VLOOKUP('Données projet'!$B$9,Paramètres!$A$1:$I$89,3,0)*0.475*44/12</f>
        <v>0.20820196455068909</v>
      </c>
      <c r="AB177" s="21">
        <f>EXP(-LN(2)/2)*AB176+(1-EXP(-LN(2)/2))/(LN(2)/2)*V177*Y177*VLOOKUP('Données projet'!$B$9,Paramètres!$A$1:$I$89,3,0)*0.475*44/12</f>
        <v>4.5640965927340194E-21</v>
      </c>
      <c r="AC177" s="22">
        <f t="shared" si="163"/>
        <v>0.34727174664353522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243.38048563215585</v>
      </c>
      <c r="AO177" s="59">
        <f t="shared" si="144"/>
        <v>372.1604147006675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0.42200485600587845</v>
      </c>
      <c r="AV177" s="21">
        <f>EXP(-LN(2)/25)*AV176+(1-EXP(-LN(2)/25))/(LN(2)/25)*Calculateur!AQ177*Calculateur!AS177*VLOOKUP('Données projet'!$B$10,Paramètres!$A$1:$I$89,3,0)*0.475*44/12</f>
        <v>0.35729509385274366</v>
      </c>
      <c r="AW177" s="21">
        <f>EXP(-LN(2)/2)*AW176+(1-EXP(-LN(2)/2))/(LN(2)/2)*AQ177*AT177*VLOOKUP('Données projet'!$B$10,Paramètres!$A$1:$I$89,3,0)*0.475*44/12</f>
        <v>6.2076798400763517E-21</v>
      </c>
      <c r="AX177" s="21">
        <f t="shared" si="166"/>
        <v>0.77929994985862217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-5.1159076974727213E-13</v>
      </c>
      <c r="BE177" s="13">
        <f>BD177*VLOOKUP('Données projet'!$B$11,Paramètres!$A$1:$I$89,3,0)*VLOOKUP('Données projet'!$B$11,Paramètres!$A$1:$I$89,5,0)</f>
        <v>-3.4317508834647017E-13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207.93042467236967</v>
      </c>
      <c r="BJ177" s="59">
        <f t="shared" si="146"/>
        <v>250.70954318710835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0.1588512597181217</v>
      </c>
      <c r="BQ177" s="21">
        <f>EXP(-LN(2)/25)*BQ176+(1-EXP(-LN(2)/25))/(LN(2)/25)*Calculateur!BL177*Calculateur!BN177*VLOOKUP('Données projet'!$B$11,Paramètres!$A$1:$I$89,3,0)*0.475*44/12</f>
        <v>0.31925260724193982</v>
      </c>
      <c r="BR177" s="21">
        <f>EXP(-LN(2)/2)*BR176+(1-EXP(-LN(2)/2))/(LN(2)/2)*BL177*BO177*VLOOKUP('Données projet'!$B$11,Paramètres!$A$1:$I$89,3,0)*0.475*44/12</f>
        <v>4.2919594283685463E-21</v>
      </c>
      <c r="BS177" s="22">
        <f t="shared" si="169"/>
        <v>0.47810386696006152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1.7053025658242404E-13</v>
      </c>
      <c r="BZ177" s="13">
        <f>BY177*VLOOKUP('Données projet'!$B$12,Paramètres!$A$1:$I$89,3,0)*VLOOKUP('Données projet'!$B$12,Paramètres!$A$1:$I$89,5,0)</f>
        <v>1.3301360013429075E-13</v>
      </c>
      <c r="CA177" s="13">
        <f t="shared" si="170"/>
        <v>1.9329766731057041E-12</v>
      </c>
      <c r="CB177" s="20">
        <f t="shared" si="171"/>
        <v>3.5982663925596575E-12</v>
      </c>
      <c r="CC177" s="59">
        <f t="shared" si="119"/>
        <v>293.3333333333369</v>
      </c>
      <c r="CD177" s="59">
        <f ca="1">AVERAGE(OFFSET($CC$3,0,0,'Données projet'!$E$12+1,1))-AVERAGE(OFFSET($H$3,0,0,'Données projet'!$E$12+1,1))</f>
        <v>266.30229009596883</v>
      </c>
      <c r="CE177" s="59">
        <f t="shared" si="148"/>
        <v>270.19195828386046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8.3493249717072074E-2</v>
      </c>
      <c r="CL177" s="21">
        <f>EXP(-LN(2)/25)*CL176+(1-EXP(-LN(2)/25))/(LN(2)/25)*Calculateur!CG177*Calculateur!CI177*VLOOKUP('Données projet'!$B$12,Paramètres!$A$1:$I$89,3,0)*0.475*44/12</f>
        <v>0.15446502936968232</v>
      </c>
      <c r="CM177" s="21">
        <f>EXP(-LN(2)/2)*CM176+(1-EXP(-LN(2)/2))/(LN(2)/2)*CG177*CJ177*VLOOKUP('Données projet'!$B$12,Paramètres!$A$1:$I$89,3,0)*0.475*44/12</f>
        <v>2.7679299444711581E-21</v>
      </c>
      <c r="CN177" s="22">
        <f t="shared" si="172"/>
        <v>0.23795827908675438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-5.1159076974727213E-13</v>
      </c>
      <c r="CU177" s="17">
        <f>CT177*VLOOKUP('Données projet'!$B$13,Paramètres!$A$1:$I$89,3,0)*VLOOKUP('Données projet'!$B$13,Paramètres!$A$1:$I$89,5,0)</f>
        <v>-4.0702161641092972E-13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260.20517190557814</v>
      </c>
      <c r="CZ177" s="59">
        <f t="shared" si="150"/>
        <v>307.22009971147133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0.18840498245637713</v>
      </c>
      <c r="DG177" s="21">
        <f>EXP(-LN(2)/25)*DG176+(1-EXP(-LN(2)/25))/(LN(2)/25)*Calculateur!DB177*Calculateur!DD177*VLOOKUP('Données projet'!$B$13,Paramètres!$A$1:$I$89,3,0)*0.475*44/12</f>
        <v>0.37864844114741647</v>
      </c>
      <c r="DH177" s="21">
        <f>EXP(-LN(2)/2)*DH176+(1-EXP(-LN(2)/2))/(LN(2)/2)*DB177*DE177*VLOOKUP('Données projet'!$B$13,Paramètres!$A$1:$I$89,3,0)*0.475*44/12</f>
        <v>5.0904635080650204E-21</v>
      </c>
      <c r="DI177" s="22">
        <f t="shared" si="175"/>
        <v>0.56705342360379363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-3.4106051316484809E-13</v>
      </c>
      <c r="DP177" s="17">
        <f>DO177*VLOOKUP('Données projet'!$B$14,Paramètres!$A$1:$I$89,3,0)*VLOOKUP('Données projet'!$B$14,Paramètres!$A$1:$I$89,5,0)</f>
        <v>-3.2987372833304104E-13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347.8889410585312</v>
      </c>
      <c r="DU177" s="59">
        <f t="shared" si="152"/>
        <v>254.78167322479203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0.14866080154752528</v>
      </c>
      <c r="EB177" s="21">
        <f>EXP(-LN(2)/25)*EB176+(1-EXP(-LN(2)/25))/(LN(2)/25)*Calculateur!DW177*Calculateur!DY177*VLOOKUP('Données projet'!$B$14,Paramètres!$A$1:$I$89,3,0)*0.475*44/12</f>
        <v>0.2225607207265986</v>
      </c>
      <c r="EC177" s="21">
        <f>EXP(-LN(2)/2)*EC176+(1-EXP(-LN(2)/2))/(LN(2)/2)*DW177*DZ177*VLOOKUP('Données projet'!$B$14,Paramètres!$A$1:$I$89,3,0)*0.475*44/12</f>
        <v>4.8788618749915156E-21</v>
      </c>
      <c r="ED177" s="22">
        <f t="shared" si="178"/>
        <v>0.37122152227412386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-3.4106051316484809E-13</v>
      </c>
      <c r="EK177" s="17">
        <f>EJ177*VLOOKUP('Données projet'!$B$15,Paramètres!$A$1:$I$89,3,0)*VLOOKUP('Données projet'!$B$15,Paramètres!$A$1:$I$89,5,0)</f>
        <v>-3.6711753637064249E-13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399.38728019348088</v>
      </c>
      <c r="EP177" s="59">
        <f t="shared" si="154"/>
        <v>289.54922160039791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0.16544508559321369</v>
      </c>
      <c r="EW177" s="21">
        <f>EXP(-LN(2)/25)*EW176+(1-EXP(-LN(2)/25))/(LN(2)/25)*Calculateur!ER177*Calculateur!ET177*VLOOKUP('Données projet'!$B$15,Paramètres!$A$1:$I$89,3,0)*0.475*44/12</f>
        <v>0.24768854403444074</v>
      </c>
      <c r="EX177" s="21">
        <f>EXP(-LN(2)/2)*EX176+(1-EXP(-LN(2)/2))/(LN(2)/2)*ER177*EU177*VLOOKUP('Données projet'!$B$15,Paramètres!$A$1:$I$89,3,0)*0.475*44/12</f>
        <v>5.4297011189421709E-21</v>
      </c>
      <c r="EY177" s="22">
        <f t="shared" si="181"/>
        <v>0.41313362962765443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-3.0859155231155454E-13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318.40875902853116</v>
      </c>
      <c r="T178" s="59">
        <f t="shared" si="142"/>
        <v>234.87694492493506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0.13634270849019681</v>
      </c>
      <c r="AA178" s="21">
        <f>EXP(-LN(2)/25)*AA177+(1-EXP(-LN(2)/25))/(LN(2)/25)*Calculateur!V178*Calculateur!X178*VLOOKUP('Données projet'!$B$9,Paramètres!$A$1:$I$89,3,0)*0.475*44/12</f>
        <v>0.20250867088118504</v>
      </c>
      <c r="AB178" s="21">
        <f>EXP(-LN(2)/2)*AB177+(1-EXP(-LN(2)/2))/(LN(2)/2)*V178*Y178*VLOOKUP('Données projet'!$B$9,Paramètres!$A$1:$I$89,3,0)*0.475*44/12</f>
        <v>3.2273036507126414E-21</v>
      </c>
      <c r="AC178" s="22">
        <f t="shared" si="163"/>
        <v>0.33885137937138188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243.38048563215585</v>
      </c>
      <c r="AO178" s="59">
        <f t="shared" si="144"/>
        <v>372.1604147006675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0.41372959817714944</v>
      </c>
      <c r="AV178" s="21">
        <f>EXP(-LN(2)/25)*AV177+(1-EXP(-LN(2)/25))/(LN(2)/25)*Calculateur!AQ178*Calculateur!AS178*VLOOKUP('Données projet'!$B$10,Paramètres!$A$1:$I$89,3,0)*0.475*44/12</f>
        <v>0.34752484072200801</v>
      </c>
      <c r="AW178" s="21">
        <f>EXP(-LN(2)/2)*AW177+(1-EXP(-LN(2)/2))/(LN(2)/2)*AQ178*AT178*VLOOKUP('Données projet'!$B$10,Paramètres!$A$1:$I$89,3,0)*0.475*44/12</f>
        <v>4.3894925103530111E-21</v>
      </c>
      <c r="AX178" s="21">
        <f t="shared" si="166"/>
        <v>0.76125443889915745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-5.1159076974727213E-13</v>
      </c>
      <c r="BE178" s="13">
        <f>BD178*VLOOKUP('Données projet'!$B$11,Paramètres!$A$1:$I$89,3,0)*VLOOKUP('Données projet'!$B$11,Paramètres!$A$1:$I$89,5,0)</f>
        <v>-3.4317508834647017E-13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207.93042467236967</v>
      </c>
      <c r="BJ178" s="59">
        <f t="shared" si="146"/>
        <v>250.70954318710835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0.15573628340475068</v>
      </c>
      <c r="BQ178" s="21">
        <f>EXP(-LN(2)/25)*BQ177+(1-EXP(-LN(2)/25))/(LN(2)/25)*Calculateur!BL178*Calculateur!BN178*VLOOKUP('Données projet'!$B$11,Paramètres!$A$1:$I$89,3,0)*0.475*44/12</f>
        <v>0.310522627908144</v>
      </c>
      <c r="BR178" s="21">
        <f>EXP(-LN(2)/2)*BR177+(1-EXP(-LN(2)/2))/(LN(2)/2)*BL178*BO178*VLOOKUP('Données projet'!$B$11,Paramètres!$A$1:$I$89,3,0)*0.475*44/12</f>
        <v>3.0348736163769373E-21</v>
      </c>
      <c r="BS178" s="22">
        <f t="shared" si="169"/>
        <v>0.46625891131289465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1.7053025658242404E-13</v>
      </c>
      <c r="BZ178" s="13">
        <f>BY178*VLOOKUP('Données projet'!$B$12,Paramètres!$A$1:$I$89,3,0)*VLOOKUP('Données projet'!$B$12,Paramètres!$A$1:$I$89,5,0)</f>
        <v>1.3301360013429075E-13</v>
      </c>
      <c r="CA178" s="13">
        <f t="shared" si="170"/>
        <v>1.9329766731057041E-12</v>
      </c>
      <c r="CB178" s="20">
        <f t="shared" si="171"/>
        <v>3.5982663925596575E-12</v>
      </c>
      <c r="CC178" s="59">
        <f t="shared" si="119"/>
        <v>293.3333333333369</v>
      </c>
      <c r="CD178" s="59">
        <f ca="1">AVERAGE(OFFSET($CC$3,0,0,'Données projet'!$E$12+1,1))-AVERAGE(OFFSET($H$3,0,0,'Données projet'!$E$12+1,1))</f>
        <v>266.30229009596883</v>
      </c>
      <c r="CE178" s="59">
        <f t="shared" si="148"/>
        <v>270.19195828386046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8.185599801597411E-2</v>
      </c>
      <c r="CL178" s="21">
        <f>EXP(-LN(2)/25)*CL177+(1-EXP(-LN(2)/25))/(LN(2)/25)*Calculateur!CG178*Calculateur!CI178*VLOOKUP('Données projet'!$B$12,Paramètres!$A$1:$I$89,3,0)*0.475*44/12</f>
        <v>0.15024117501860548</v>
      </c>
      <c r="CM178" s="21">
        <f>EXP(-LN(2)/2)*CM177+(1-EXP(-LN(2)/2))/(LN(2)/2)*CG178*CJ178*VLOOKUP('Données projet'!$B$12,Paramètres!$A$1:$I$89,3,0)*0.475*44/12</f>
        <v>1.9572220335848598E-21</v>
      </c>
      <c r="CN178" s="22">
        <f t="shared" si="172"/>
        <v>0.23209717303457961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-5.1159076974727213E-13</v>
      </c>
      <c r="CU178" s="17">
        <f>CT178*VLOOKUP('Données projet'!$B$13,Paramètres!$A$1:$I$89,3,0)*VLOOKUP('Données projet'!$B$13,Paramètres!$A$1:$I$89,5,0)</f>
        <v>-4.0702161641092972E-13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260.20517190557814</v>
      </c>
      <c r="CZ178" s="59">
        <f t="shared" si="150"/>
        <v>307.22009971147133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0.18471047566609988</v>
      </c>
      <c r="DG178" s="21">
        <f>EXP(-LN(2)/25)*DG177+(1-EXP(-LN(2)/25))/(LN(2)/25)*Calculateur!DB178*Calculateur!DD178*VLOOKUP('Données projet'!$B$13,Paramètres!$A$1:$I$89,3,0)*0.475*44/12</f>
        <v>0.36829427961198424</v>
      </c>
      <c r="DH178" s="21">
        <f>EXP(-LN(2)/2)*DH177+(1-EXP(-LN(2)/2))/(LN(2)/2)*DB178*DE178*VLOOKUP('Données projet'!$B$13,Paramètres!$A$1:$I$89,3,0)*0.475*44/12</f>
        <v>3.5995012659354375E-21</v>
      </c>
      <c r="DI178" s="22">
        <f t="shared" si="175"/>
        <v>0.55300475527808413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-3.4106051316484809E-13</v>
      </c>
      <c r="DP178" s="17">
        <f>DO178*VLOOKUP('Données projet'!$B$14,Paramètres!$A$1:$I$89,3,0)*VLOOKUP('Données projet'!$B$14,Paramètres!$A$1:$I$89,5,0)</f>
        <v>-3.2987372833304104E-13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347.8889410585312</v>
      </c>
      <c r="DU178" s="59">
        <f t="shared" si="152"/>
        <v>254.78167322479203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0.14574565390331393</v>
      </c>
      <c r="EB178" s="21">
        <f>EXP(-LN(2)/25)*EB177+(1-EXP(-LN(2)/25))/(LN(2)/25)*Calculateur!DW178*Calculateur!DY178*VLOOKUP('Données projet'!$B$14,Paramètres!$A$1:$I$89,3,0)*0.475*44/12</f>
        <v>0.21647478611437013</v>
      </c>
      <c r="EC178" s="21">
        <f>EXP(-LN(2)/2)*EC177+(1-EXP(-LN(2)/2))/(LN(2)/2)*DW178*DZ178*VLOOKUP('Données projet'!$B$14,Paramètres!$A$1:$I$89,3,0)*0.475*44/12</f>
        <v>3.4498763162790145E-21</v>
      </c>
      <c r="ED178" s="22">
        <f t="shared" si="178"/>
        <v>0.36222044001768405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-3.4106051316484809E-13</v>
      </c>
      <c r="EK178" s="17">
        <f>EJ178*VLOOKUP('Données projet'!$B$15,Paramètres!$A$1:$I$89,3,0)*VLOOKUP('Données projet'!$B$15,Paramètres!$A$1:$I$89,5,0)</f>
        <v>-3.6711753637064249E-13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399.38728019348088</v>
      </c>
      <c r="EP178" s="59">
        <f t="shared" si="154"/>
        <v>289.54922160039791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0.1622008083762688</v>
      </c>
      <c r="EW178" s="21">
        <f>EXP(-LN(2)/25)*EW177+(1-EXP(-LN(2)/25))/(LN(2)/25)*Calculateur!ER178*Calculateur!ET178*VLOOKUP('Données projet'!$B$15,Paramètres!$A$1:$I$89,3,0)*0.475*44/12</f>
        <v>0.24091548777244454</v>
      </c>
      <c r="EX178" s="21">
        <f>EXP(-LN(2)/2)*EX177+(1-EXP(-LN(2)/2))/(LN(2)/2)*ER178*EU178*VLOOKUP('Données projet'!$B$15,Paramètres!$A$1:$I$89,3,0)*0.475*44/12</f>
        <v>3.8393784810201939E-21</v>
      </c>
      <c r="EY178" s="22">
        <f t="shared" si="181"/>
        <v>0.40311629614871336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-3.0859155231155454E-13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318.40875902853116</v>
      </c>
      <c r="T179" s="59">
        <f t="shared" si="142"/>
        <v>234.87694492493506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0.13366911113754479</v>
      </c>
      <c r="AA179" s="21">
        <f>EXP(-LN(2)/25)*AA178+(1-EXP(-LN(2)/25))/(LN(2)/25)*Calculateur!V179*Calculateur!X179*VLOOKUP('Données projet'!$B$9,Paramètres!$A$1:$I$89,3,0)*0.475*44/12</f>
        <v>0.19697106062647088</v>
      </c>
      <c r="AB179" s="21">
        <f>EXP(-LN(2)/2)*AB178+(1-EXP(-LN(2)/2))/(LN(2)/2)*V179*Y179*VLOOKUP('Données projet'!$B$9,Paramètres!$A$1:$I$89,3,0)*0.475*44/12</f>
        <v>2.2820482963670097E-21</v>
      </c>
      <c r="AC179" s="22">
        <f t="shared" si="163"/>
        <v>0.33064017176401567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243.38048563215585</v>
      </c>
      <c r="AO179" s="59">
        <f t="shared" si="144"/>
        <v>372.1604147006675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0.4056166131070329</v>
      </c>
      <c r="AV179" s="21">
        <f>EXP(-LN(2)/25)*AV178+(1-EXP(-LN(2)/25))/(LN(2)/25)*Calculateur!AQ179*Calculateur!AS179*VLOOKUP('Données projet'!$B$10,Paramètres!$A$1:$I$89,3,0)*0.475*44/12</f>
        <v>0.3380217556769276</v>
      </c>
      <c r="AW179" s="21">
        <f>EXP(-LN(2)/2)*AW178+(1-EXP(-LN(2)/2))/(LN(2)/2)*AQ179*AT179*VLOOKUP('Données projet'!$B$10,Paramètres!$A$1:$I$89,3,0)*0.475*44/12</f>
        <v>3.1038399200381758E-21</v>
      </c>
      <c r="AX179" s="21">
        <f t="shared" si="166"/>
        <v>0.7436383687839605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-5.1159076974727213E-13</v>
      </c>
      <c r="BE179" s="13">
        <f>BD179*VLOOKUP('Données projet'!$B$11,Paramètres!$A$1:$I$89,3,0)*VLOOKUP('Données projet'!$B$11,Paramètres!$A$1:$I$89,5,0)</f>
        <v>-3.4317508834647017E-13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207.93042467236967</v>
      </c>
      <c r="BJ179" s="59">
        <f t="shared" si="146"/>
        <v>250.70954318710835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0.15268238987693694</v>
      </c>
      <c r="BQ179" s="21">
        <f>EXP(-LN(2)/25)*BQ178+(1-EXP(-LN(2)/25))/(LN(2)/25)*Calculateur!BL179*Calculateur!BN179*VLOOKUP('Données projet'!$B$11,Paramètres!$A$1:$I$89,3,0)*0.475*44/12</f>
        <v>0.3020313703183205</v>
      </c>
      <c r="BR179" s="21">
        <f>EXP(-LN(2)/2)*BR178+(1-EXP(-LN(2)/2))/(LN(2)/2)*BL179*BO179*VLOOKUP('Données projet'!$B$11,Paramètres!$A$1:$I$89,3,0)*0.475*44/12</f>
        <v>2.1459797141842731E-21</v>
      </c>
      <c r="BS179" s="22">
        <f t="shared" si="169"/>
        <v>0.45471376019525744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1.7053025658242404E-13</v>
      </c>
      <c r="BZ179" s="13">
        <f>BY179*VLOOKUP('Données projet'!$B$12,Paramètres!$A$1:$I$89,3,0)*VLOOKUP('Données projet'!$B$12,Paramètres!$A$1:$I$89,5,0)</f>
        <v>1.3301360013429075E-13</v>
      </c>
      <c r="CA179" s="13">
        <f t="shared" si="170"/>
        <v>1.9329766731057041E-12</v>
      </c>
      <c r="CB179" s="20">
        <f t="shared" si="171"/>
        <v>3.5982663925596575E-12</v>
      </c>
      <c r="CC179" s="59">
        <f t="shared" si="119"/>
        <v>293.3333333333369</v>
      </c>
      <c r="CD179" s="59">
        <f ca="1">AVERAGE(OFFSET($CC$3,0,0,'Données projet'!$E$12+1,1))-AVERAGE(OFFSET($H$3,0,0,'Données projet'!$E$12+1,1))</f>
        <v>266.30229009596883</v>
      </c>
      <c r="CE179" s="59">
        <f t="shared" si="148"/>
        <v>270.19195828386046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8.0250851822109739E-2</v>
      </c>
      <c r="CL179" s="21">
        <f>EXP(-LN(2)/25)*CL178+(1-EXP(-LN(2)/25))/(LN(2)/25)*Calculateur!CG179*Calculateur!CI179*VLOOKUP('Données projet'!$B$12,Paramètres!$A$1:$I$89,3,0)*0.475*44/12</f>
        <v>0.1461328221868817</v>
      </c>
      <c r="CM179" s="21">
        <f>EXP(-LN(2)/2)*CM178+(1-EXP(-LN(2)/2))/(LN(2)/2)*CG179*CJ179*VLOOKUP('Données projet'!$B$12,Paramètres!$A$1:$I$89,3,0)*0.475*44/12</f>
        <v>1.3839649722355791E-21</v>
      </c>
      <c r="CN179" s="22">
        <f t="shared" si="172"/>
        <v>0.22638367400899145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-5.1159076974727213E-13</v>
      </c>
      <c r="CU179" s="17">
        <f>CT179*VLOOKUP('Données projet'!$B$13,Paramètres!$A$1:$I$89,3,0)*VLOOKUP('Données projet'!$B$13,Paramètres!$A$1:$I$89,5,0)</f>
        <v>-4.0702161641092972E-13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260.20517190557814</v>
      </c>
      <c r="CZ179" s="59">
        <f t="shared" si="150"/>
        <v>307.22009971147133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0.18108841590055336</v>
      </c>
      <c r="DG179" s="21">
        <f>EXP(-LN(2)/25)*DG178+(1-EXP(-LN(2)/25))/(LN(2)/25)*Calculateur!DB179*Calculateur!DD179*VLOOKUP('Données projet'!$B$13,Paramètres!$A$1:$I$89,3,0)*0.475*44/12</f>
        <v>0.35822325316824011</v>
      </c>
      <c r="DH179" s="21">
        <f>EXP(-LN(2)/2)*DH178+(1-EXP(-LN(2)/2))/(LN(2)/2)*DB179*DE179*VLOOKUP('Données projet'!$B$13,Paramètres!$A$1:$I$89,3,0)*0.475*44/12</f>
        <v>2.5452317540325102E-21</v>
      </c>
      <c r="DI179" s="22">
        <f t="shared" si="175"/>
        <v>0.53931166906879346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-3.4106051316484809E-13</v>
      </c>
      <c r="DP179" s="17">
        <f>DO179*VLOOKUP('Données projet'!$B$14,Paramètres!$A$1:$I$89,3,0)*VLOOKUP('Données projet'!$B$14,Paramètres!$A$1:$I$89,5,0)</f>
        <v>-3.2987372833304104E-13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347.8889410585312</v>
      </c>
      <c r="DU179" s="59">
        <f t="shared" si="152"/>
        <v>254.78167322479203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0.14288767052634108</v>
      </c>
      <c r="EB179" s="21">
        <f>EXP(-LN(2)/25)*EB178+(1-EXP(-LN(2)/25))/(LN(2)/25)*Calculateur!DW179*Calculateur!DY179*VLOOKUP('Données projet'!$B$14,Paramètres!$A$1:$I$89,3,0)*0.475*44/12</f>
        <v>0.21055527170415844</v>
      </c>
      <c r="EC179" s="21">
        <f>EXP(-LN(2)/2)*EC178+(1-EXP(-LN(2)/2))/(LN(2)/2)*DW179*DZ179*VLOOKUP('Données projet'!$B$14,Paramètres!$A$1:$I$89,3,0)*0.475*44/12</f>
        <v>2.4394309374957578E-21</v>
      </c>
      <c r="ED179" s="22">
        <f t="shared" si="178"/>
        <v>0.35344294223049955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-3.4106051316484809E-13</v>
      </c>
      <c r="EK179" s="17">
        <f>EJ179*VLOOKUP('Données projet'!$B$15,Paramètres!$A$1:$I$89,3,0)*VLOOKUP('Données projet'!$B$15,Paramètres!$A$1:$I$89,5,0)</f>
        <v>-3.6711753637064249E-13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399.38728019348088</v>
      </c>
      <c r="EP179" s="59">
        <f t="shared" si="154"/>
        <v>289.54922160039791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0.15902014945673448</v>
      </c>
      <c r="EW179" s="21">
        <f>EXP(-LN(2)/25)*EW178+(1-EXP(-LN(2)/25))/(LN(2)/25)*Calculateur!ER179*Calculateur!ET179*VLOOKUP('Données projet'!$B$15,Paramètres!$A$1:$I$89,3,0)*0.475*44/12</f>
        <v>0.23432764109011217</v>
      </c>
      <c r="EX179" s="21">
        <f>EXP(-LN(2)/2)*EX178+(1-EXP(-LN(2)/2))/(LN(2)/2)*ER179*EU179*VLOOKUP('Données projet'!$B$15,Paramètres!$A$1:$I$89,3,0)*0.475*44/12</f>
        <v>2.7148505594710855E-21</v>
      </c>
      <c r="EY179" s="22">
        <f t="shared" si="181"/>
        <v>0.39334779054684665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-3.0859155231155454E-13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318.40875902853116</v>
      </c>
      <c r="T180" s="59">
        <f t="shared" si="142"/>
        <v>234.87694492493506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0.13104794139824491</v>
      </c>
      <c r="AA180" s="21">
        <f>EXP(-LN(2)/25)*AA179+(1-EXP(-LN(2)/25))/(LN(2)/25)*Calculateur!V180*Calculateur!X180*VLOOKUP('Données projet'!$B$9,Paramètres!$A$1:$I$89,3,0)*0.475*44/12</f>
        <v>0.19158487661538215</v>
      </c>
      <c r="AB180" s="21">
        <f>EXP(-LN(2)/2)*AB179+(1-EXP(-LN(2)/2))/(LN(2)/2)*V180*Y180*VLOOKUP('Données projet'!$B$9,Paramètres!$A$1:$I$89,3,0)*0.475*44/12</f>
        <v>1.6136518253563207E-21</v>
      </c>
      <c r="AC180" s="22">
        <f t="shared" si="163"/>
        <v>0.32263281801362709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243.38048563215585</v>
      </c>
      <c r="AO180" s="59">
        <f t="shared" si="144"/>
        <v>372.1604147006675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0.39766271872570907</v>
      </c>
      <c r="AV180" s="21">
        <f>EXP(-LN(2)/25)*AV179+(1-EXP(-LN(2)/25))/(LN(2)/25)*Calculateur!AQ180*Calculateur!AS180*VLOOKUP('Données projet'!$B$10,Paramètres!$A$1:$I$89,3,0)*0.475*44/12</f>
        <v>0.32877853299215043</v>
      </c>
      <c r="AW180" s="21">
        <f>EXP(-LN(2)/2)*AW179+(1-EXP(-LN(2)/2))/(LN(2)/2)*AQ180*AT180*VLOOKUP('Données projet'!$B$10,Paramètres!$A$1:$I$89,3,0)*0.475*44/12</f>
        <v>2.1947462551765055E-21</v>
      </c>
      <c r="AX180" s="21">
        <f t="shared" si="166"/>
        <v>0.72644125171785956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-5.1159076974727213E-13</v>
      </c>
      <c r="BE180" s="13">
        <f>BD180*VLOOKUP('Données projet'!$B$11,Paramètres!$A$1:$I$89,3,0)*VLOOKUP('Données projet'!$B$11,Paramètres!$A$1:$I$89,5,0)</f>
        <v>-3.4317508834647017E-13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207.93042467236967</v>
      </c>
      <c r="BJ180" s="59">
        <f t="shared" si="146"/>
        <v>250.70954318710835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0.14968838133851251</v>
      </c>
      <c r="BQ180" s="21">
        <f>EXP(-LN(2)/25)*BQ179+(1-EXP(-LN(2)/25))/(LN(2)/25)*Calculateur!BL180*Calculateur!BN180*VLOOKUP('Données projet'!$B$11,Paramètres!$A$1:$I$89,3,0)*0.475*44/12</f>
        <v>0.29377230661382658</v>
      </c>
      <c r="BR180" s="21">
        <f>EXP(-LN(2)/2)*BR179+(1-EXP(-LN(2)/2))/(LN(2)/2)*BL180*BO180*VLOOKUP('Données projet'!$B$11,Paramètres!$A$1:$I$89,3,0)*0.475*44/12</f>
        <v>1.5174368081884686E-21</v>
      </c>
      <c r="BS180" s="22">
        <f t="shared" si="169"/>
        <v>0.44346068795233906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1.7053025658242404E-13</v>
      </c>
      <c r="BZ180" s="13">
        <f>BY180*VLOOKUP('Données projet'!$B$12,Paramètres!$A$1:$I$89,3,0)*VLOOKUP('Données projet'!$B$12,Paramètres!$A$1:$I$89,5,0)</f>
        <v>1.3301360013429075E-13</v>
      </c>
      <c r="CA180" s="13">
        <f t="shared" si="170"/>
        <v>1.9329766731057041E-12</v>
      </c>
      <c r="CB180" s="20">
        <f t="shared" si="171"/>
        <v>3.5982663925596575E-12</v>
      </c>
      <c r="CC180" s="59">
        <f t="shared" si="119"/>
        <v>293.3333333333369</v>
      </c>
      <c r="CD180" s="59">
        <f ca="1">AVERAGE(OFFSET($CC$3,0,0,'Données projet'!$E$12+1,1))-AVERAGE(OFFSET($H$3,0,0,'Données projet'!$E$12+1,1))</f>
        <v>266.30229009596883</v>
      </c>
      <c r="CE180" s="59">
        <f t="shared" si="148"/>
        <v>270.19195828386046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7.8677181566064541E-2</v>
      </c>
      <c r="CL180" s="21">
        <f>EXP(-LN(2)/25)*CL179+(1-EXP(-LN(2)/25))/(LN(2)/25)*Calculateur!CG180*Calculateur!CI180*VLOOKUP('Données projet'!$B$12,Paramètres!$A$1:$I$89,3,0)*0.475*44/12</f>
        <v>0.14213681247939028</v>
      </c>
      <c r="CM180" s="21">
        <f>EXP(-LN(2)/2)*CM179+(1-EXP(-LN(2)/2))/(LN(2)/2)*CG180*CJ180*VLOOKUP('Données projet'!$B$12,Paramètres!$A$1:$I$89,3,0)*0.475*44/12</f>
        <v>9.786110167924299E-22</v>
      </c>
      <c r="CN180" s="22">
        <f t="shared" si="172"/>
        <v>0.22081399404545482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-5.1159076974727213E-13</v>
      </c>
      <c r="CU180" s="17">
        <f>CT180*VLOOKUP('Données projet'!$B$13,Paramètres!$A$1:$I$89,3,0)*VLOOKUP('Données projet'!$B$13,Paramètres!$A$1:$I$89,5,0)</f>
        <v>-4.0702161641092972E-13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260.20517190557814</v>
      </c>
      <c r="CZ180" s="59">
        <f t="shared" si="150"/>
        <v>307.22009971147133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0.17753738251777088</v>
      </c>
      <c r="DG180" s="21">
        <f>EXP(-LN(2)/25)*DG179+(1-EXP(-LN(2)/25))/(LN(2)/25)*Calculateur!DB180*Calculateur!DD180*VLOOKUP('Données projet'!$B$13,Paramètres!$A$1:$I$89,3,0)*0.475*44/12</f>
        <v>0.3484276194722124</v>
      </c>
      <c r="DH180" s="21">
        <f>EXP(-LN(2)/2)*DH179+(1-EXP(-LN(2)/2))/(LN(2)/2)*DB180*DE180*VLOOKUP('Données projet'!$B$13,Paramètres!$A$1:$I$89,3,0)*0.475*44/12</f>
        <v>1.7997506329677187E-21</v>
      </c>
      <c r="DI180" s="22">
        <f t="shared" si="175"/>
        <v>0.52596500198998331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-3.4106051316484809E-13</v>
      </c>
      <c r="DP180" s="17">
        <f>DO180*VLOOKUP('Données projet'!$B$14,Paramètres!$A$1:$I$89,3,0)*VLOOKUP('Données projet'!$B$14,Paramètres!$A$1:$I$89,5,0)</f>
        <v>-3.2987372833304104E-13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347.8889410585312</v>
      </c>
      <c r="DU180" s="59">
        <f t="shared" si="152"/>
        <v>254.78167322479203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0.14008573046019293</v>
      </c>
      <c r="EB180" s="21">
        <f>EXP(-LN(2)/25)*EB179+(1-EXP(-LN(2)/25))/(LN(2)/25)*Calculateur!DW180*Calculateur!DY180*VLOOKUP('Données projet'!$B$14,Paramètres!$A$1:$I$89,3,0)*0.475*44/12</f>
        <v>0.20479762672678772</v>
      </c>
      <c r="EC180" s="21">
        <f>EXP(-LN(2)/2)*EC179+(1-EXP(-LN(2)/2))/(LN(2)/2)*DW180*DZ180*VLOOKUP('Données projet'!$B$14,Paramètres!$A$1:$I$89,3,0)*0.475*44/12</f>
        <v>1.7249381581395073E-21</v>
      </c>
      <c r="ED180" s="22">
        <f t="shared" si="178"/>
        <v>0.34488335718698065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-3.4106051316484809E-13</v>
      </c>
      <c r="EK180" s="17">
        <f>EJ180*VLOOKUP('Données projet'!$B$15,Paramètres!$A$1:$I$89,3,0)*VLOOKUP('Données projet'!$B$15,Paramètres!$A$1:$I$89,5,0)</f>
        <v>-3.6711753637064249E-13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399.38728019348088</v>
      </c>
      <c r="EP180" s="59">
        <f t="shared" si="154"/>
        <v>289.54922160039791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0.15590186131860184</v>
      </c>
      <c r="EW180" s="21">
        <f>EXP(-LN(2)/25)*EW179+(1-EXP(-LN(2)/25))/(LN(2)/25)*Calculateur!ER180*Calculateur!ET180*VLOOKUP('Données projet'!$B$15,Paramètres!$A$1:$I$89,3,0)*0.475*44/12</f>
        <v>0.22791993942174796</v>
      </c>
      <c r="EX180" s="21">
        <f>EXP(-LN(2)/2)*EX179+(1-EXP(-LN(2)/2))/(LN(2)/2)*ER180*EU180*VLOOKUP('Données projet'!$B$15,Paramètres!$A$1:$I$89,3,0)*0.475*44/12</f>
        <v>1.9196892405100969E-21</v>
      </c>
      <c r="EY180" s="22">
        <f t="shared" si="181"/>
        <v>0.38382180074034977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-3.0859155231155454E-13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318.40875902853116</v>
      </c>
      <c r="T181" s="59">
        <f t="shared" si="142"/>
        <v>234.87694492493506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0.12847817119877702</v>
      </c>
      <c r="AA181" s="21">
        <f>EXP(-LN(2)/25)*AA180+(1-EXP(-LN(2)/25))/(LN(2)/25)*Calculateur!V181*Calculateur!X181*VLOOKUP('Données projet'!$B$9,Paramètres!$A$1:$I$89,3,0)*0.475*44/12</f>
        <v>0.18634597808932374</v>
      </c>
      <c r="AB181" s="21">
        <f>EXP(-LN(2)/2)*AB180+(1-EXP(-LN(2)/2))/(LN(2)/2)*V181*Y181*VLOOKUP('Données projet'!$B$9,Paramètres!$A$1:$I$89,3,0)*0.475*44/12</f>
        <v>1.1410241481835048E-21</v>
      </c>
      <c r="AC181" s="22">
        <f t="shared" si="163"/>
        <v>0.31482414928810076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243.38048563215585</v>
      </c>
      <c r="AO181" s="59">
        <f t="shared" si="144"/>
        <v>372.1604147006675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0.38986479536180652</v>
      </c>
      <c r="AV181" s="21">
        <f>EXP(-LN(2)/25)*AV180+(1-EXP(-LN(2)/25))/(LN(2)/25)*Calculateur!AQ181*Calculateur!AS181*VLOOKUP('Données projet'!$B$10,Paramètres!$A$1:$I$89,3,0)*0.475*44/12</f>
        <v>0.31978806671776844</v>
      </c>
      <c r="AW181" s="21">
        <f>EXP(-LN(2)/2)*AW180+(1-EXP(-LN(2)/2))/(LN(2)/2)*AQ181*AT181*VLOOKUP('Données projet'!$B$10,Paramètres!$A$1:$I$89,3,0)*0.475*44/12</f>
        <v>1.5519199600190879E-21</v>
      </c>
      <c r="AX181" s="21">
        <f t="shared" si="166"/>
        <v>0.70965286207957501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-5.1159076974727213E-13</v>
      </c>
      <c r="BE181" s="13">
        <f>BD181*VLOOKUP('Données projet'!$B$11,Paramètres!$A$1:$I$89,3,0)*VLOOKUP('Données projet'!$B$11,Paramètres!$A$1:$I$89,5,0)</f>
        <v>-3.4317508834647017E-13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207.93042467236967</v>
      </c>
      <c r="BJ181" s="59">
        <f t="shared" si="146"/>
        <v>250.70954318710835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0.14675308348136168</v>
      </c>
      <c r="BQ181" s="21">
        <f>EXP(-LN(2)/25)*BQ180+(1-EXP(-LN(2)/25))/(LN(2)/25)*Calculateur!BL181*Calculateur!BN181*VLOOKUP('Données projet'!$B$11,Paramètres!$A$1:$I$89,3,0)*0.475*44/12</f>
        <v>0.28573908744065729</v>
      </c>
      <c r="BR181" s="21">
        <f>EXP(-LN(2)/2)*BR180+(1-EXP(-LN(2)/2))/(LN(2)/2)*BL181*BO181*VLOOKUP('Données projet'!$B$11,Paramètres!$A$1:$I$89,3,0)*0.475*44/12</f>
        <v>1.0729898570921366E-21</v>
      </c>
      <c r="BS181" s="22">
        <f t="shared" si="169"/>
        <v>0.43249217092201897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1.7053025658242404E-13</v>
      </c>
      <c r="BZ181" s="13">
        <f>BY181*VLOOKUP('Données projet'!$B$12,Paramètres!$A$1:$I$89,3,0)*VLOOKUP('Données projet'!$B$12,Paramètres!$A$1:$I$89,5,0)</f>
        <v>1.3301360013429075E-13</v>
      </c>
      <c r="CA181" s="13">
        <f t="shared" si="170"/>
        <v>1.9329766731057041E-12</v>
      </c>
      <c r="CB181" s="20">
        <f t="shared" si="171"/>
        <v>3.5982663925596575E-12</v>
      </c>
      <c r="CC181" s="59">
        <f t="shared" si="119"/>
        <v>293.3333333333369</v>
      </c>
      <c r="CD181" s="59">
        <f ca="1">AVERAGE(OFFSET($CC$3,0,0,'Données projet'!$E$12+1,1))-AVERAGE(OFFSET($H$3,0,0,'Données projet'!$E$12+1,1))</f>
        <v>266.30229009596883</v>
      </c>
      <c r="CE181" s="59">
        <f t="shared" si="148"/>
        <v>270.19195828386046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7.7134370023896309E-2</v>
      </c>
      <c r="CL181" s="21">
        <f>EXP(-LN(2)/25)*CL180+(1-EXP(-LN(2)/25))/(LN(2)/25)*Calculateur!CG181*Calculateur!CI181*VLOOKUP('Données projet'!$B$12,Paramètres!$A$1:$I$89,3,0)*0.475*44/12</f>
        <v>0.13825007386749125</v>
      </c>
      <c r="CM181" s="21">
        <f>EXP(-LN(2)/2)*CM180+(1-EXP(-LN(2)/2))/(LN(2)/2)*CG181*CJ181*VLOOKUP('Données projet'!$B$12,Paramètres!$A$1:$I$89,3,0)*0.475*44/12</f>
        <v>6.9198248611778953E-22</v>
      </c>
      <c r="CN181" s="22">
        <f t="shared" si="172"/>
        <v>0.21538444389138756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-5.1159076974727213E-13</v>
      </c>
      <c r="CU181" s="17">
        <f>CT181*VLOOKUP('Données projet'!$B$13,Paramètres!$A$1:$I$89,3,0)*VLOOKUP('Données projet'!$B$13,Paramètres!$A$1:$I$89,5,0)</f>
        <v>-4.0702161641092972E-13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260.20517190557814</v>
      </c>
      <c r="CZ181" s="59">
        <f t="shared" si="150"/>
        <v>307.22009971147133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0.17405598273370826</v>
      </c>
      <c r="DG181" s="21">
        <f>EXP(-LN(2)/25)*DG180+(1-EXP(-LN(2)/25))/(LN(2)/25)*Calculateur!DB181*Calculateur!DD181*VLOOKUP('Données projet'!$B$13,Paramètres!$A$1:$I$89,3,0)*0.475*44/12</f>
        <v>0.3388998478947326</v>
      </c>
      <c r="DH181" s="21">
        <f>EXP(-LN(2)/2)*DH180+(1-EXP(-LN(2)/2))/(LN(2)/2)*DB181*DE181*VLOOKUP('Données projet'!$B$13,Paramètres!$A$1:$I$89,3,0)*0.475*44/12</f>
        <v>1.2726158770162551E-21</v>
      </c>
      <c r="DI181" s="22">
        <f t="shared" si="175"/>
        <v>0.51295583062844086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-3.4106051316484809E-13</v>
      </c>
      <c r="DP181" s="17">
        <f>DO181*VLOOKUP('Données projet'!$B$14,Paramètres!$A$1:$I$89,3,0)*VLOOKUP('Données projet'!$B$14,Paramètres!$A$1:$I$89,5,0)</f>
        <v>-3.2987372833304104E-13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347.8889410585312</v>
      </c>
      <c r="DU181" s="59">
        <f t="shared" si="152"/>
        <v>254.78167322479203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0.13733873472972724</v>
      </c>
      <c r="EB181" s="21">
        <f>EXP(-LN(2)/25)*EB180+(1-EXP(-LN(2)/25))/(LN(2)/25)*Calculateur!DW181*Calculateur!DY181*VLOOKUP('Données projet'!$B$14,Paramètres!$A$1:$I$89,3,0)*0.475*44/12</f>
        <v>0.1991974248541046</v>
      </c>
      <c r="EC181" s="21">
        <f>EXP(-LN(2)/2)*EC180+(1-EXP(-LN(2)/2))/(LN(2)/2)*DW181*DZ181*VLOOKUP('Données projet'!$B$14,Paramètres!$A$1:$I$89,3,0)*0.475*44/12</f>
        <v>1.2197154687478789E-21</v>
      </c>
      <c r="ED181" s="22">
        <f t="shared" si="178"/>
        <v>0.33653615958383187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-3.4106051316484809E-13</v>
      </c>
      <c r="EK181" s="17">
        <f>EJ181*VLOOKUP('Données projet'!$B$15,Paramètres!$A$1:$I$89,3,0)*VLOOKUP('Données projet'!$B$15,Paramètres!$A$1:$I$89,5,0)</f>
        <v>-3.6711753637064249E-13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399.38728019348088</v>
      </c>
      <c r="EP181" s="59">
        <f t="shared" si="154"/>
        <v>289.54922160039791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0.15284472090889004</v>
      </c>
      <c r="EW181" s="21">
        <f>EXP(-LN(2)/25)*EW180+(1-EXP(-LN(2)/25))/(LN(2)/25)*Calculateur!ER181*Calculateur!ET181*VLOOKUP('Données projet'!$B$15,Paramètres!$A$1:$I$89,3,0)*0.475*44/12</f>
        <v>0.22168745669247156</v>
      </c>
      <c r="EX181" s="21">
        <f>EXP(-LN(2)/2)*EX180+(1-EXP(-LN(2)/2))/(LN(2)/2)*ER181*EU181*VLOOKUP('Données projet'!$B$15,Paramètres!$A$1:$I$89,3,0)*0.475*44/12</f>
        <v>1.3574252797355427E-21</v>
      </c>
      <c r="EY181" s="22">
        <f t="shared" si="181"/>
        <v>0.37453217760136159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-3.0859155231155454E-13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318.40875902853116</v>
      </c>
      <c r="T182" s="59">
        <f t="shared" si="142"/>
        <v>234.87694492493506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0.12595879262551565</v>
      </c>
      <c r="AA182" s="21">
        <f>EXP(-LN(2)/25)*AA181+(1-EXP(-LN(2)/25))/(LN(2)/25)*Calculateur!V182*Calculateur!X182*VLOOKUP('Données projet'!$B$9,Paramètres!$A$1:$I$89,3,0)*0.475*44/12</f>
        <v>0.18125033751896208</v>
      </c>
      <c r="AB182" s="21">
        <f>EXP(-LN(2)/2)*AB181+(1-EXP(-LN(2)/2))/(LN(2)/2)*V182*Y182*VLOOKUP('Données projet'!$B$9,Paramètres!$A$1:$I$89,3,0)*0.475*44/12</f>
        <v>8.0682591267816035E-22</v>
      </c>
      <c r="AC182" s="22">
        <f t="shared" si="163"/>
        <v>0.3072091301444777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243.38048563215585</v>
      </c>
      <c r="AO182" s="59">
        <f t="shared" si="144"/>
        <v>372.1604147006675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0.38221978451880645</v>
      </c>
      <c r="AV182" s="21">
        <f>EXP(-LN(2)/25)*AV181+(1-EXP(-LN(2)/25))/(LN(2)/25)*Calculateur!AQ182*Calculateur!AS182*VLOOKUP('Données projet'!$B$10,Paramètres!$A$1:$I$89,3,0)*0.475*44/12</f>
        <v>0.3110434452164475</v>
      </c>
      <c r="AW182" s="21">
        <f>EXP(-LN(2)/2)*AW181+(1-EXP(-LN(2)/2))/(LN(2)/2)*AQ182*AT182*VLOOKUP('Données projet'!$B$10,Paramètres!$A$1:$I$89,3,0)*0.475*44/12</f>
        <v>1.0973731275882528E-21</v>
      </c>
      <c r="AX182" s="21">
        <f t="shared" si="166"/>
        <v>0.69326322973525389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-5.1159076974727213E-13</v>
      </c>
      <c r="BE182" s="13">
        <f>BD182*VLOOKUP('Données projet'!$B$11,Paramètres!$A$1:$I$89,3,0)*VLOOKUP('Données projet'!$B$11,Paramètres!$A$1:$I$89,5,0)</f>
        <v>-3.4317508834647017E-13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207.93042467236967</v>
      </c>
      <c r="BJ182" s="59">
        <f t="shared" si="146"/>
        <v>250.70954318710835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0.14387534502483468</v>
      </c>
      <c r="BQ182" s="21">
        <f>EXP(-LN(2)/25)*BQ181+(1-EXP(-LN(2)/25))/(LN(2)/25)*Calculateur!BL182*Calculateur!BN182*VLOOKUP('Données projet'!$B$11,Paramètres!$A$1:$I$89,3,0)*0.475*44/12</f>
        <v>0.27792553706822698</v>
      </c>
      <c r="BR182" s="21">
        <f>EXP(-LN(2)/2)*BR181+(1-EXP(-LN(2)/2))/(LN(2)/2)*BL182*BO182*VLOOKUP('Données projet'!$B$11,Paramètres!$A$1:$I$89,3,0)*0.475*44/12</f>
        <v>7.5871840409423432E-22</v>
      </c>
      <c r="BS182" s="22">
        <f t="shared" si="169"/>
        <v>0.42180088209306166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1.7053025658242404E-13</v>
      </c>
      <c r="BZ182" s="13">
        <f>BY182*VLOOKUP('Données projet'!$B$12,Paramètres!$A$1:$I$89,3,0)*VLOOKUP('Données projet'!$B$12,Paramètres!$A$1:$I$89,5,0)</f>
        <v>1.3301360013429075E-13</v>
      </c>
      <c r="CA182" s="13">
        <f t="shared" si="170"/>
        <v>1.9329766731057041E-12</v>
      </c>
      <c r="CB182" s="20">
        <f t="shared" si="171"/>
        <v>3.5982663925596575E-12</v>
      </c>
      <c r="CC182" s="59">
        <f t="shared" si="119"/>
        <v>293.3333333333369</v>
      </c>
      <c r="CD182" s="59">
        <f ca="1">AVERAGE(OFFSET($CC$3,0,0,'Données projet'!$E$12+1,1))-AVERAGE(OFFSET($H$3,0,0,'Données projet'!$E$12+1,1))</f>
        <v>266.30229009596883</v>
      </c>
      <c r="CE182" s="59">
        <f t="shared" si="148"/>
        <v>270.19195828386046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7.5621812075047881E-2</v>
      </c>
      <c r="CL182" s="21">
        <f>EXP(-LN(2)/25)*CL181+(1-EXP(-LN(2)/25))/(LN(2)/25)*Calculateur!CG182*Calculateur!CI182*VLOOKUP('Données projet'!$B$12,Paramètres!$A$1:$I$89,3,0)*0.475*44/12</f>
        <v>0.13446961832732929</v>
      </c>
      <c r="CM182" s="21">
        <f>EXP(-LN(2)/2)*CM181+(1-EXP(-LN(2)/2))/(LN(2)/2)*CG182*CJ182*VLOOKUP('Données projet'!$B$12,Paramètres!$A$1:$I$89,3,0)*0.475*44/12</f>
        <v>4.8930550839621495E-22</v>
      </c>
      <c r="CN182" s="22">
        <f t="shared" si="172"/>
        <v>0.21009143040237716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-5.1159076974727213E-13</v>
      </c>
      <c r="CU182" s="17">
        <f>CT182*VLOOKUP('Données projet'!$B$13,Paramètres!$A$1:$I$89,3,0)*VLOOKUP('Données projet'!$B$13,Paramètres!$A$1:$I$89,5,0)</f>
        <v>-4.0702161641092972E-13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260.20517190557814</v>
      </c>
      <c r="CZ182" s="59">
        <f t="shared" si="150"/>
        <v>307.22009971147133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0.17064285107596691</v>
      </c>
      <c r="DG182" s="21">
        <f>EXP(-LN(2)/25)*DG181+(1-EXP(-LN(2)/25))/(LN(2)/25)*Calculateur!DB182*Calculateur!DD182*VLOOKUP('Données projet'!$B$13,Paramètres!$A$1:$I$89,3,0)*0.475*44/12</f>
        <v>0.32963261373208269</v>
      </c>
      <c r="DH182" s="21">
        <f>EXP(-LN(2)/2)*DH181+(1-EXP(-LN(2)/2))/(LN(2)/2)*DB182*DE182*VLOOKUP('Données projet'!$B$13,Paramètres!$A$1:$I$89,3,0)*0.475*44/12</f>
        <v>8.9987531648385936E-22</v>
      </c>
      <c r="DI182" s="22">
        <f t="shared" si="175"/>
        <v>0.50027546480804963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-3.4106051316484809E-13</v>
      </c>
      <c r="DP182" s="17">
        <f>DO182*VLOOKUP('Données projet'!$B$14,Paramètres!$A$1:$I$89,3,0)*VLOOKUP('Données projet'!$B$14,Paramètres!$A$1:$I$89,5,0)</f>
        <v>-3.2987372833304104E-13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347.8889410585312</v>
      </c>
      <c r="DU182" s="59">
        <f t="shared" si="152"/>
        <v>254.78167322479203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0.13464560591003405</v>
      </c>
      <c r="EB182" s="21">
        <f>EXP(-LN(2)/25)*EB181+(1-EXP(-LN(2)/25))/(LN(2)/25)*Calculateur!DW182*Calculateur!DY182*VLOOKUP('Données projet'!$B$14,Paramètres!$A$1:$I$89,3,0)*0.475*44/12</f>
        <v>0.19375036079613181</v>
      </c>
      <c r="EC182" s="21">
        <f>EXP(-LN(2)/2)*EC181+(1-EXP(-LN(2)/2))/(LN(2)/2)*DW182*DZ182*VLOOKUP('Données projet'!$B$14,Paramètres!$A$1:$I$89,3,0)*0.475*44/12</f>
        <v>8.6246907906975363E-22</v>
      </c>
      <c r="ED182" s="22">
        <f t="shared" si="178"/>
        <v>0.32839596670616589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-3.4106051316484809E-13</v>
      </c>
      <c r="EK182" s="17">
        <f>EJ182*VLOOKUP('Données projet'!$B$15,Paramètres!$A$1:$I$89,3,0)*VLOOKUP('Données projet'!$B$15,Paramètres!$A$1:$I$89,5,0)</f>
        <v>-3.6711753637064249E-13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399.38728019348088</v>
      </c>
      <c r="EP182" s="59">
        <f t="shared" si="154"/>
        <v>289.54922160039791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0.14984752915794114</v>
      </c>
      <c r="EW182" s="21">
        <f>EXP(-LN(2)/25)*EW181+(1-EXP(-LN(2)/25))/(LN(2)/25)*Calculateur!ER182*Calculateur!ET182*VLOOKUP('Données projet'!$B$15,Paramètres!$A$1:$I$89,3,0)*0.475*44/12</f>
        <v>0.21562540153117926</v>
      </c>
      <c r="EX182" s="21">
        <f>EXP(-LN(2)/2)*EX181+(1-EXP(-LN(2)/2))/(LN(2)/2)*ER182*EU182*VLOOKUP('Données projet'!$B$15,Paramètres!$A$1:$I$89,3,0)*0.475*44/12</f>
        <v>9.5984462025504847E-22</v>
      </c>
      <c r="EY182" s="22">
        <f t="shared" si="181"/>
        <v>0.3654729306891204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-3.0859155231155454E-13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318.40875902853116</v>
      </c>
      <c r="T183" s="59">
        <f t="shared" si="142"/>
        <v>234.87694492493506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0.12348881752940673</v>
      </c>
      <c r="AA183" s="21">
        <f>EXP(-LN(2)/25)*AA182+(1-EXP(-LN(2)/25))/(LN(2)/25)*Calculateur!V183*Calculateur!X183*VLOOKUP('Données projet'!$B$9,Paramètres!$A$1:$I$89,3,0)*0.475*44/12</f>
        <v>0.17629403750796507</v>
      </c>
      <c r="AB183" s="21">
        <f>EXP(-LN(2)/2)*AB182+(1-EXP(-LN(2)/2))/(LN(2)/2)*V183*Y183*VLOOKUP('Données projet'!$B$9,Paramètres!$A$1:$I$89,3,0)*0.475*44/12</f>
        <v>5.7051207409175242E-22</v>
      </c>
      <c r="AC183" s="22">
        <f t="shared" si="163"/>
        <v>0.29978285503737179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243.38048563215585</v>
      </c>
      <c r="AO183" s="59">
        <f t="shared" si="144"/>
        <v>372.1604147006675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0.37472468767544143</v>
      </c>
      <c r="AV183" s="21">
        <f>EXP(-LN(2)/25)*AV182+(1-EXP(-LN(2)/25))/(LN(2)/25)*Calculateur!AQ183*Calculateur!AS183*VLOOKUP('Données projet'!$B$10,Paramètres!$A$1:$I$89,3,0)*0.475*44/12</f>
        <v>0.30253794584993987</v>
      </c>
      <c r="AW183" s="21">
        <f>EXP(-LN(2)/2)*AW182+(1-EXP(-LN(2)/2))/(LN(2)/2)*AQ183*AT183*VLOOKUP('Données projet'!$B$10,Paramètres!$A$1:$I$89,3,0)*0.475*44/12</f>
        <v>7.7595998000954396E-22</v>
      </c>
      <c r="AX183" s="21">
        <f t="shared" si="166"/>
        <v>0.6772626335253813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-5.1159076974727213E-13</v>
      </c>
      <c r="BE183" s="13">
        <f>BD183*VLOOKUP('Données projet'!$B$11,Paramètres!$A$1:$I$89,3,0)*VLOOKUP('Données projet'!$B$11,Paramètres!$A$1:$I$89,5,0)</f>
        <v>-3.4317508834647017E-13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207.93042467236967</v>
      </c>
      <c r="BJ183" s="59">
        <f t="shared" si="146"/>
        <v>250.70954318710835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0.14105403726419302</v>
      </c>
      <c r="BQ183" s="21">
        <f>EXP(-LN(2)/25)*BQ182+(1-EXP(-LN(2)/25))/(LN(2)/25)*Calculateur!BL183*Calculateur!BN183*VLOOKUP('Données projet'!$B$11,Paramètres!$A$1:$I$89,3,0)*0.475*44/12</f>
        <v>0.2703256486416275</v>
      </c>
      <c r="BR183" s="21">
        <f>EXP(-LN(2)/2)*BR182+(1-EXP(-LN(2)/2))/(LN(2)/2)*BL183*BO183*VLOOKUP('Données projet'!$B$11,Paramètres!$A$1:$I$89,3,0)*0.475*44/12</f>
        <v>5.3649492854606829E-22</v>
      </c>
      <c r="BS183" s="22">
        <f t="shared" si="169"/>
        <v>0.41137968590582052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1.7053025658242404E-13</v>
      </c>
      <c r="BZ183" s="13">
        <f>BY183*VLOOKUP('Données projet'!$B$12,Paramètres!$A$1:$I$89,3,0)*VLOOKUP('Données projet'!$B$12,Paramètres!$A$1:$I$89,5,0)</f>
        <v>1.3301360013429075E-13</v>
      </c>
      <c r="CA183" s="13">
        <f t="shared" si="170"/>
        <v>1.9329766731057041E-12</v>
      </c>
      <c r="CB183" s="20">
        <f t="shared" si="171"/>
        <v>3.5982663925596575E-12</v>
      </c>
      <c r="CC183" s="59">
        <f t="shared" si="119"/>
        <v>293.3333333333369</v>
      </c>
      <c r="CD183" s="59">
        <f ca="1">AVERAGE(OFFSET($CC$3,0,0,'Données projet'!$E$12+1,1))-AVERAGE(OFFSET($H$3,0,0,'Données projet'!$E$12+1,1))</f>
        <v>266.30229009596883</v>
      </c>
      <c r="CE183" s="59">
        <f t="shared" si="148"/>
        <v>270.19195828386046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7.4138914465007116E-2</v>
      </c>
      <c r="CL183" s="21">
        <f>EXP(-LN(2)/25)*CL182+(1-EXP(-LN(2)/25))/(LN(2)/25)*Calculateur!CG183*Calculateur!CI183*VLOOKUP('Données projet'!$B$12,Paramètres!$A$1:$I$89,3,0)*0.475*44/12</f>
        <v>0.13079253954271858</v>
      </c>
      <c r="CM183" s="21">
        <f>EXP(-LN(2)/2)*CM182+(1-EXP(-LN(2)/2))/(LN(2)/2)*CG183*CJ183*VLOOKUP('Données projet'!$B$12,Paramètres!$A$1:$I$89,3,0)*0.475*44/12</f>
        <v>3.4599124305889477E-22</v>
      </c>
      <c r="CN183" s="22">
        <f t="shared" si="172"/>
        <v>0.20493145400772569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-5.1159076974727213E-13</v>
      </c>
      <c r="CU183" s="17">
        <f>CT183*VLOOKUP('Données projet'!$B$13,Paramètres!$A$1:$I$89,3,0)*VLOOKUP('Données projet'!$B$13,Paramètres!$A$1:$I$89,5,0)</f>
        <v>-4.0702161641092972E-13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260.20517190557814</v>
      </c>
      <c r="CZ183" s="59">
        <f t="shared" si="150"/>
        <v>307.22009971147133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0.16729664884822912</v>
      </c>
      <c r="DG183" s="21">
        <f>EXP(-LN(2)/25)*DG182+(1-EXP(-LN(2)/25))/(LN(2)/25)*Calculateur!DB183*Calculateur!DD183*VLOOKUP('Données projet'!$B$13,Paramètres!$A$1:$I$89,3,0)*0.475*44/12</f>
        <v>0.32061879257495313</v>
      </c>
      <c r="DH183" s="21">
        <f>EXP(-LN(2)/2)*DH182+(1-EXP(-LN(2)/2))/(LN(2)/2)*DB183*DE183*VLOOKUP('Données projet'!$B$13,Paramètres!$A$1:$I$89,3,0)*0.475*44/12</f>
        <v>6.3630793850812755E-22</v>
      </c>
      <c r="DI183" s="22">
        <f t="shared" si="175"/>
        <v>0.48791544142318222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-3.4106051316484809E-13</v>
      </c>
      <c r="DP183" s="17">
        <f>DO183*VLOOKUP('Données projet'!$B$14,Paramètres!$A$1:$I$89,3,0)*VLOOKUP('Données projet'!$B$14,Paramètres!$A$1:$I$89,5,0)</f>
        <v>-3.2987372833304104E-13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347.8889410585312</v>
      </c>
      <c r="DU183" s="59">
        <f t="shared" si="152"/>
        <v>254.78167322479203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0.13200528770384864</v>
      </c>
      <c r="EB183" s="21">
        <f>EXP(-LN(2)/25)*EB182+(1-EXP(-LN(2)/25))/(LN(2)/25)*Calculateur!DW183*Calculateur!DY183*VLOOKUP('Données projet'!$B$14,Paramètres!$A$1:$I$89,3,0)*0.475*44/12</f>
        <v>0.18845224699127294</v>
      </c>
      <c r="EC183" s="21">
        <f>EXP(-LN(2)/2)*EC182+(1-EXP(-LN(2)/2))/(LN(2)/2)*DW183*DZ183*VLOOKUP('Données projet'!$B$14,Paramètres!$A$1:$I$89,3,0)*0.475*44/12</f>
        <v>6.0985773437393945E-22</v>
      </c>
      <c r="ED183" s="22">
        <f t="shared" si="178"/>
        <v>0.32045753469512162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-3.4106051316484809E-13</v>
      </c>
      <c r="EK183" s="17">
        <f>EJ183*VLOOKUP('Données projet'!$B$15,Paramètres!$A$1:$I$89,3,0)*VLOOKUP('Données projet'!$B$15,Paramètres!$A$1:$I$89,5,0)</f>
        <v>-3.6711753637064249E-13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399.38728019348088</v>
      </c>
      <c r="EP183" s="59">
        <f t="shared" si="154"/>
        <v>289.54922160039791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0.14690911050912189</v>
      </c>
      <c r="EW183" s="21">
        <f>EXP(-LN(2)/25)*EW182+(1-EXP(-LN(2)/25))/(LN(2)/25)*Calculateur!ER183*Calculateur!ET183*VLOOKUP('Données projet'!$B$15,Paramètres!$A$1:$I$89,3,0)*0.475*44/12</f>
        <v>0.20972911358706212</v>
      </c>
      <c r="EX183" s="21">
        <f>EXP(-LN(2)/2)*EX182+(1-EXP(-LN(2)/2))/(LN(2)/2)*ER183*EU183*VLOOKUP('Données projet'!$B$15,Paramètres!$A$1:$I$89,3,0)*0.475*44/12</f>
        <v>6.7871263986777137E-22</v>
      </c>
      <c r="EY183" s="22">
        <f t="shared" si="181"/>
        <v>0.35663822409618401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-3.0859155231155454E-13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318.40875902853116</v>
      </c>
      <c r="T184" s="59">
        <f t="shared" si="142"/>
        <v>234.87694492493506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0.12106727713839645</v>
      </c>
      <c r="AA184" s="21">
        <f>EXP(-LN(2)/25)*AA183+(1-EXP(-LN(2)/25))/(LN(2)/25)*Calculateur!V184*Calculateur!X184*VLOOKUP('Données projet'!$B$9,Paramètres!$A$1:$I$89,3,0)*0.475*44/12</f>
        <v>0.17147326778140926</v>
      </c>
      <c r="AB184" s="21">
        <f>EXP(-LN(2)/2)*AB183+(1-EXP(-LN(2)/2))/(LN(2)/2)*V184*Y184*VLOOKUP('Données projet'!$B$9,Paramètres!$A$1:$I$89,3,0)*0.475*44/12</f>
        <v>4.0341295633908017E-22</v>
      </c>
      <c r="AC184" s="22">
        <f t="shared" si="163"/>
        <v>0.29254054491980569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243.38048563215585</v>
      </c>
      <c r="AO184" s="59">
        <f t="shared" si="144"/>
        <v>372.1604147006675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0.36737656510961714</v>
      </c>
      <c r="AV184" s="21">
        <f>EXP(-LN(2)/25)*AV183+(1-EXP(-LN(2)/25))/(LN(2)/25)*Calculateur!AQ184*Calculateur!AS184*VLOOKUP('Données projet'!$B$10,Paramètres!$A$1:$I$89,3,0)*0.475*44/12</f>
        <v>0.29426502981089414</v>
      </c>
      <c r="AW184" s="21">
        <f>EXP(-LN(2)/2)*AW183+(1-EXP(-LN(2)/2))/(LN(2)/2)*AQ184*AT184*VLOOKUP('Données projet'!$B$10,Paramètres!$A$1:$I$89,3,0)*0.475*44/12</f>
        <v>5.4868656379412638E-22</v>
      </c>
      <c r="AX184" s="21">
        <f t="shared" si="166"/>
        <v>0.66164159492051122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-5.1159076974727213E-13</v>
      </c>
      <c r="BE184" s="13">
        <f>BD184*VLOOKUP('Données projet'!$B$11,Paramètres!$A$1:$I$89,3,0)*VLOOKUP('Données projet'!$B$11,Paramètres!$A$1:$I$89,5,0)</f>
        <v>-3.4317508834647017E-13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207.93042467236967</v>
      </c>
      <c r="BJ184" s="59">
        <f t="shared" si="146"/>
        <v>250.70954318710835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0.13828805362790972</v>
      </c>
      <c r="BQ184" s="21">
        <f>EXP(-LN(2)/25)*BQ183+(1-EXP(-LN(2)/25))/(LN(2)/25)*Calculateur!BL184*Calculateur!BN184*VLOOKUP('Données projet'!$B$11,Paramètres!$A$1:$I$89,3,0)*0.475*44/12</f>
        <v>0.26293357956371416</v>
      </c>
      <c r="BR184" s="21">
        <f>EXP(-LN(2)/2)*BR183+(1-EXP(-LN(2)/2))/(LN(2)/2)*BL184*BO184*VLOOKUP('Données projet'!$B$11,Paramètres!$A$1:$I$89,3,0)*0.475*44/12</f>
        <v>3.7935920204711716E-22</v>
      </c>
      <c r="BS184" s="22">
        <f t="shared" si="169"/>
        <v>0.40122163319162385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1.7053025658242404E-13</v>
      </c>
      <c r="BZ184" s="13">
        <f>BY184*VLOOKUP('Données projet'!$B$12,Paramètres!$A$1:$I$89,3,0)*VLOOKUP('Données projet'!$B$12,Paramètres!$A$1:$I$89,5,0)</f>
        <v>1.3301360013429075E-13</v>
      </c>
      <c r="CA184" s="13">
        <f t="shared" si="170"/>
        <v>1.9329766731057041E-12</v>
      </c>
      <c r="CB184" s="20">
        <f t="shared" si="171"/>
        <v>3.5982663925596575E-12</v>
      </c>
      <c r="CC184" s="59">
        <f t="shared" si="119"/>
        <v>293.3333333333369</v>
      </c>
      <c r="CD184" s="59">
        <f ca="1">AVERAGE(OFFSET($CC$3,0,0,'Données projet'!$E$12+1,1))-AVERAGE(OFFSET($H$3,0,0,'Données projet'!$E$12+1,1))</f>
        <v>266.30229009596883</v>
      </c>
      <c r="CE184" s="59">
        <f t="shared" si="148"/>
        <v>270.19195828386046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7.2685095572621025E-2</v>
      </c>
      <c r="CL184" s="21">
        <f>EXP(-LN(2)/25)*CL183+(1-EXP(-LN(2)/25))/(LN(2)/25)*Calculateur!CG184*Calculateur!CI184*VLOOKUP('Données projet'!$B$12,Paramètres!$A$1:$I$89,3,0)*0.475*44/12</f>
        <v>0.12721601067084221</v>
      </c>
      <c r="CM184" s="21">
        <f>EXP(-LN(2)/2)*CM183+(1-EXP(-LN(2)/2))/(LN(2)/2)*CG184*CJ184*VLOOKUP('Données projet'!$B$12,Paramètres!$A$1:$I$89,3,0)*0.475*44/12</f>
        <v>2.4465275419810748E-22</v>
      </c>
      <c r="CN184" s="22">
        <f t="shared" si="172"/>
        <v>0.19990110624346324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-5.1159076974727213E-13</v>
      </c>
      <c r="CU184" s="17">
        <f>CT184*VLOOKUP('Données projet'!$B$13,Paramètres!$A$1:$I$89,3,0)*VLOOKUP('Données projet'!$B$13,Paramètres!$A$1:$I$89,5,0)</f>
        <v>-4.0702161641092972E-13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260.20517190557814</v>
      </c>
      <c r="CZ184" s="59">
        <f t="shared" si="150"/>
        <v>307.22009971147133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0.16401606360519544</v>
      </c>
      <c r="DG184" s="21">
        <f>EXP(-LN(2)/25)*DG183+(1-EXP(-LN(2)/25))/(LN(2)/25)*Calculateur!DB184*Calculateur!DD184*VLOOKUP('Données projet'!$B$13,Paramètres!$A$1:$I$89,3,0)*0.475*44/12</f>
        <v>0.31185145483138149</v>
      </c>
      <c r="DH184" s="21">
        <f>EXP(-LN(2)/2)*DH183+(1-EXP(-LN(2)/2))/(LN(2)/2)*DB184*DE184*VLOOKUP('Données projet'!$B$13,Paramètres!$A$1:$I$89,3,0)*0.475*44/12</f>
        <v>4.4993765824192968E-22</v>
      </c>
      <c r="DI184" s="22">
        <f t="shared" si="175"/>
        <v>0.47586751843657693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-3.4106051316484809E-13</v>
      </c>
      <c r="DP184" s="17">
        <f>DO184*VLOOKUP('Données projet'!$B$14,Paramètres!$A$1:$I$89,3,0)*VLOOKUP('Données projet'!$B$14,Paramètres!$A$1:$I$89,5,0)</f>
        <v>-3.2987372833304104E-13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347.8889410585312</v>
      </c>
      <c r="DU184" s="59">
        <f t="shared" si="152"/>
        <v>254.78167322479203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0.12941674452725144</v>
      </c>
      <c r="EB184" s="21">
        <f>EXP(-LN(2)/25)*EB183+(1-EXP(-LN(2)/25))/(LN(2)/25)*Calculateur!DW184*Calculateur!DY184*VLOOKUP('Données projet'!$B$14,Paramètres!$A$1:$I$89,3,0)*0.475*44/12</f>
        <v>0.18329901038702362</v>
      </c>
      <c r="EC184" s="21">
        <f>EXP(-LN(2)/2)*EC183+(1-EXP(-LN(2)/2))/(LN(2)/2)*DW184*DZ184*VLOOKUP('Données projet'!$B$14,Paramètres!$A$1:$I$89,3,0)*0.475*44/12</f>
        <v>4.3123453953487681E-22</v>
      </c>
      <c r="ED184" s="22">
        <f t="shared" si="178"/>
        <v>0.31271575491427506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-3.4106051316484809E-13</v>
      </c>
      <c r="EK184" s="17">
        <f>EJ184*VLOOKUP('Données projet'!$B$15,Paramètres!$A$1:$I$89,3,0)*VLOOKUP('Données projet'!$B$15,Paramètres!$A$1:$I$89,5,0)</f>
        <v>-3.6711753637064249E-13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399.38728019348088</v>
      </c>
      <c r="EP184" s="59">
        <f t="shared" si="154"/>
        <v>289.54922160039791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0.14402831245774758</v>
      </c>
      <c r="EW184" s="21">
        <f>EXP(-LN(2)/25)*EW183+(1-EXP(-LN(2)/25))/(LN(2)/25)*Calculateur!ER184*Calculateur!ET184*VLOOKUP('Données projet'!$B$15,Paramètres!$A$1:$I$89,3,0)*0.475*44/12</f>
        <v>0.20399405994684916</v>
      </c>
      <c r="EX184" s="21">
        <f>EXP(-LN(2)/2)*EX183+(1-EXP(-LN(2)/2))/(LN(2)/2)*ER184*EU184*VLOOKUP('Données projet'!$B$15,Paramètres!$A$1:$I$89,3,0)*0.475*44/12</f>
        <v>4.7992231012752424E-22</v>
      </c>
      <c r="EY184" s="22">
        <f t="shared" si="181"/>
        <v>0.34802237240459677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-3.0859155231155454E-13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318.40875902853116</v>
      </c>
      <c r="T185" s="59">
        <f t="shared" si="142"/>
        <v>234.87694492493506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0.11869322167746009</v>
      </c>
      <c r="AA185" s="21">
        <f>EXP(-LN(2)/25)*AA184+(1-EXP(-LN(2)/25))/(LN(2)/25)*Calculateur!V185*Calculateur!X185*VLOOKUP('Données projet'!$B$9,Paramètres!$A$1:$I$89,3,0)*0.475*44/12</f>
        <v>0.16678432225653939</v>
      </c>
      <c r="AB185" s="21">
        <f>EXP(-LN(2)/2)*AB184+(1-EXP(-LN(2)/2))/(LN(2)/2)*V185*Y185*VLOOKUP('Données projet'!$B$9,Paramètres!$A$1:$I$89,3,0)*0.475*44/12</f>
        <v>2.8525603704587621E-22</v>
      </c>
      <c r="AC185" s="22">
        <f t="shared" si="163"/>
        <v>0.28547754393399949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243.38048563215585</v>
      </c>
      <c r="AO185" s="59">
        <f t="shared" si="144"/>
        <v>372.1604147006675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0.36017253474539646</v>
      </c>
      <c r="AV185" s="21">
        <f>EXP(-LN(2)/25)*AV184+(1-EXP(-LN(2)/25))/(LN(2)/25)*Calculateur!AQ185*Calculateur!AS185*VLOOKUP('Données projet'!$B$10,Paramètres!$A$1:$I$89,3,0)*0.475*44/12</f>
        <v>0.28621833709598987</v>
      </c>
      <c r="AW185" s="21">
        <f>EXP(-LN(2)/2)*AW184+(1-EXP(-LN(2)/2))/(LN(2)/2)*AQ185*AT185*VLOOKUP('Données projet'!$B$10,Paramètres!$A$1:$I$89,3,0)*0.475*44/12</f>
        <v>3.8797999000477198E-22</v>
      </c>
      <c r="AX185" s="21">
        <f t="shared" si="166"/>
        <v>0.64639087184138633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-5.1159076974727213E-13</v>
      </c>
      <c r="BE185" s="13">
        <f>BD185*VLOOKUP('Données projet'!$B$11,Paramètres!$A$1:$I$89,3,0)*VLOOKUP('Données projet'!$B$11,Paramètres!$A$1:$I$89,5,0)</f>
        <v>-3.4317508834647017E-13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207.93042467236967</v>
      </c>
      <c r="BJ185" s="59">
        <f t="shared" si="146"/>
        <v>250.70954318710835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0.13557630924365052</v>
      </c>
      <c r="BQ185" s="21">
        <f>EXP(-LN(2)/25)*BQ184+(1-EXP(-LN(2)/25))/(LN(2)/25)*Calculateur!BL185*Calculateur!BN185*VLOOKUP('Données projet'!$B$11,Paramètres!$A$1:$I$89,3,0)*0.475*44/12</f>
        <v>0.25574364700346841</v>
      </c>
      <c r="BR185" s="21">
        <f>EXP(-LN(2)/2)*BR184+(1-EXP(-LN(2)/2))/(LN(2)/2)*BL185*BO185*VLOOKUP('Données projet'!$B$11,Paramètres!$A$1:$I$89,3,0)*0.475*44/12</f>
        <v>2.6824746427303414E-22</v>
      </c>
      <c r="BS185" s="22">
        <f t="shared" si="169"/>
        <v>0.39131995624711891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1.7053025658242404E-13</v>
      </c>
      <c r="BZ185" s="13">
        <f>BY185*VLOOKUP('Données projet'!$B$12,Paramètres!$A$1:$I$89,3,0)*VLOOKUP('Données projet'!$B$12,Paramètres!$A$1:$I$89,5,0)</f>
        <v>1.3301360013429075E-13</v>
      </c>
      <c r="CA185" s="13">
        <f t="shared" si="170"/>
        <v>1.9329766731057041E-12</v>
      </c>
      <c r="CB185" s="20">
        <f t="shared" si="171"/>
        <v>3.5982663925596575E-12</v>
      </c>
      <c r="CC185" s="59">
        <f t="shared" si="119"/>
        <v>293.3333333333369</v>
      </c>
      <c r="CD185" s="59">
        <f ca="1">AVERAGE(OFFSET($CC$3,0,0,'Données projet'!$E$12+1,1))-AVERAGE(OFFSET($H$3,0,0,'Données projet'!$E$12+1,1))</f>
        <v>266.30229009596883</v>
      </c>
      <c r="CE185" s="59">
        <f t="shared" si="148"/>
        <v>270.19195828386046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7.1259785181972651E-2</v>
      </c>
      <c r="CL185" s="21">
        <f>EXP(-LN(2)/25)*CL184+(1-EXP(-LN(2)/25))/(LN(2)/25)*Calculateur!CG185*Calculateur!CI185*VLOOKUP('Données projet'!$B$12,Paramètres!$A$1:$I$89,3,0)*0.475*44/12</f>
        <v>0.12373728216904878</v>
      </c>
      <c r="CM185" s="21">
        <f>EXP(-LN(2)/2)*CM184+(1-EXP(-LN(2)/2))/(LN(2)/2)*CG185*CJ185*VLOOKUP('Données projet'!$B$12,Paramètres!$A$1:$I$89,3,0)*0.475*44/12</f>
        <v>1.7299562152944738E-22</v>
      </c>
      <c r="CN185" s="22">
        <f t="shared" si="172"/>
        <v>0.19499706735102143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-5.1159076974727213E-13</v>
      </c>
      <c r="CU185" s="17">
        <f>CT185*VLOOKUP('Données projet'!$B$13,Paramètres!$A$1:$I$89,3,0)*VLOOKUP('Données projet'!$B$13,Paramètres!$A$1:$I$89,5,0)</f>
        <v>-4.0702161641092972E-13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260.20517190557814</v>
      </c>
      <c r="CZ185" s="59">
        <f t="shared" si="150"/>
        <v>307.22009971147133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0.16079980863781823</v>
      </c>
      <c r="DG185" s="21">
        <f>EXP(-LN(2)/25)*DG184+(1-EXP(-LN(2)/25))/(LN(2)/25)*Calculateur!DB185*Calculateur!DD185*VLOOKUP('Données projet'!$B$13,Paramètres!$A$1:$I$89,3,0)*0.475*44/12</f>
        <v>0.30332386039946208</v>
      </c>
      <c r="DH185" s="21">
        <f>EXP(-LN(2)/2)*DH184+(1-EXP(-LN(2)/2))/(LN(2)/2)*DB185*DE185*VLOOKUP('Données projet'!$B$13,Paramètres!$A$1:$I$89,3,0)*0.475*44/12</f>
        <v>3.1815396925406377E-22</v>
      </c>
      <c r="DI185" s="22">
        <f t="shared" si="175"/>
        <v>0.46412366903728031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-3.4106051316484809E-13</v>
      </c>
      <c r="DP185" s="17">
        <f>DO185*VLOOKUP('Données projet'!$B$14,Paramètres!$A$1:$I$89,3,0)*VLOOKUP('Données projet'!$B$14,Paramètres!$A$1:$I$89,5,0)</f>
        <v>-3.2987372833304104E-13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347.8889410585312</v>
      </c>
      <c r="DU185" s="59">
        <f t="shared" si="152"/>
        <v>254.78167322479203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0.12687896110349187</v>
      </c>
      <c r="EB185" s="21">
        <f>EXP(-LN(2)/25)*EB184+(1-EXP(-LN(2)/25))/(LN(2)/25)*Calculateur!DW185*Calculateur!DY185*VLOOKUP('Données projet'!$B$14,Paramètres!$A$1:$I$89,3,0)*0.475*44/12</f>
        <v>0.17828668930871444</v>
      </c>
      <c r="EC185" s="21">
        <f>EXP(-LN(2)/2)*EC184+(1-EXP(-LN(2)/2))/(LN(2)/2)*DW185*DZ185*VLOOKUP('Données projet'!$B$14,Paramètres!$A$1:$I$89,3,0)*0.475*44/12</f>
        <v>3.0492886718696972E-22</v>
      </c>
      <c r="ED185" s="22">
        <f t="shared" si="178"/>
        <v>0.30516565041220634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-3.4106051316484809E-13</v>
      </c>
      <c r="EK185" s="17">
        <f>EJ185*VLOOKUP('Données projet'!$B$15,Paramètres!$A$1:$I$89,3,0)*VLOOKUP('Données projet'!$B$15,Paramètres!$A$1:$I$89,5,0)</f>
        <v>-3.6711753637064249E-13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399.38728019348088</v>
      </c>
      <c r="EP185" s="59">
        <f t="shared" si="154"/>
        <v>289.54922160039791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0.14120400509904743</v>
      </c>
      <c r="EW185" s="21">
        <f>EXP(-LN(2)/25)*EW184+(1-EXP(-LN(2)/25))/(LN(2)/25)*Calculateur!ER185*Calculateur!ET185*VLOOKUP('Données projet'!$B$15,Paramètres!$A$1:$I$89,3,0)*0.475*44/12</f>
        <v>0.19841583165002119</v>
      </c>
      <c r="EX185" s="21">
        <f>EXP(-LN(2)/2)*EX184+(1-EXP(-LN(2)/2))/(LN(2)/2)*ER185*EU185*VLOOKUP('Données projet'!$B$15,Paramètres!$A$1:$I$89,3,0)*0.475*44/12</f>
        <v>3.3935631993388568E-22</v>
      </c>
      <c r="EY185" s="22">
        <f t="shared" si="181"/>
        <v>0.33961983674906859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-3.0859155231155454E-13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318.40875902853116</v>
      </c>
      <c r="T186" s="59">
        <f t="shared" si="142"/>
        <v>234.87694492493506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0.11636571999608183</v>
      </c>
      <c r="AA186" s="21">
        <f>EXP(-LN(2)/25)*AA185+(1-EXP(-LN(2)/25))/(LN(2)/25)*Calculateur!V186*Calculateur!X186*VLOOKUP('Données projet'!$B$9,Paramètres!$A$1:$I$89,3,0)*0.475*44/12</f>
        <v>0.162223596193628</v>
      </c>
      <c r="AB186" s="21">
        <f>EXP(-LN(2)/2)*AB185+(1-EXP(-LN(2)/2))/(LN(2)/2)*V186*Y186*VLOOKUP('Données projet'!$B$9,Paramètres!$A$1:$I$89,3,0)*0.475*44/12</f>
        <v>2.0170647816954009E-22</v>
      </c>
      <c r="AC186" s="22">
        <f t="shared" si="163"/>
        <v>0.27858931618970983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243.38048563215585</v>
      </c>
      <c r="AO186" s="59">
        <f t="shared" si="144"/>
        <v>372.1604147006675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0.3531097710225935</v>
      </c>
      <c r="AV186" s="21">
        <f>EXP(-LN(2)/25)*AV185+(1-EXP(-LN(2)/25))/(LN(2)/25)*Calculateur!AQ186*Calculateur!AS186*VLOOKUP('Données projet'!$B$10,Paramètres!$A$1:$I$89,3,0)*0.475*44/12</f>
        <v>0.27839168161653183</v>
      </c>
      <c r="AW186" s="21">
        <f>EXP(-LN(2)/2)*AW185+(1-EXP(-LN(2)/2))/(LN(2)/2)*AQ186*AT186*VLOOKUP('Données projet'!$B$10,Paramètres!$A$1:$I$89,3,0)*0.475*44/12</f>
        <v>2.7434328189706319E-22</v>
      </c>
      <c r="AX186" s="21">
        <f t="shared" si="166"/>
        <v>0.63150145263912538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-5.1159076974727213E-13</v>
      </c>
      <c r="BE186" s="13">
        <f>BD186*VLOOKUP('Données projet'!$B$11,Paramètres!$A$1:$I$89,3,0)*VLOOKUP('Données projet'!$B$11,Paramètres!$A$1:$I$89,5,0)</f>
        <v>-3.4317508834647017E-13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207.93042467236967</v>
      </c>
      <c r="BJ186" s="59">
        <f t="shared" si="146"/>
        <v>250.70954318710835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0.13291774051276589</v>
      </c>
      <c r="BQ186" s="21">
        <f>EXP(-LN(2)/25)*BQ185+(1-EXP(-LN(2)/25))/(LN(2)/25)*Calculateur!BL186*Calculateur!BN186*VLOOKUP('Données projet'!$B$11,Paramètres!$A$1:$I$89,3,0)*0.475*44/12</f>
        <v>0.24875032352718468</v>
      </c>
      <c r="BR186" s="21">
        <f>EXP(-LN(2)/2)*BR185+(1-EXP(-LN(2)/2))/(LN(2)/2)*BL186*BO186*VLOOKUP('Données projet'!$B$11,Paramètres!$A$1:$I$89,3,0)*0.475*44/12</f>
        <v>1.8967960102355858E-22</v>
      </c>
      <c r="BS186" s="22">
        <f t="shared" si="169"/>
        <v>0.38166806403995057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1.7053025658242404E-13</v>
      </c>
      <c r="BZ186" s="13">
        <f>BY186*VLOOKUP('Données projet'!$B$12,Paramètres!$A$1:$I$89,3,0)*VLOOKUP('Données projet'!$B$12,Paramètres!$A$1:$I$89,5,0)</f>
        <v>1.3301360013429075E-13</v>
      </c>
      <c r="CA186" s="13">
        <f t="shared" si="170"/>
        <v>1.9329766731057041E-12</v>
      </c>
      <c r="CB186" s="20">
        <f t="shared" si="171"/>
        <v>3.5982663925596575E-12</v>
      </c>
      <c r="CC186" s="59">
        <f t="shared" si="119"/>
        <v>293.3333333333369</v>
      </c>
      <c r="CD186" s="59">
        <f ca="1">AVERAGE(OFFSET($CC$3,0,0,'Données projet'!$E$12+1,1))-AVERAGE(OFFSET($H$3,0,0,'Données projet'!$E$12+1,1))</f>
        <v>266.30229009596883</v>
      </c>
      <c r="CE186" s="59">
        <f t="shared" si="148"/>
        <v>270.19195828386046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6.9862424258731404E-2</v>
      </c>
      <c r="CL186" s="21">
        <f>EXP(-LN(2)/25)*CL185+(1-EXP(-LN(2)/25))/(LN(2)/25)*Calculateur!CG186*Calculateur!CI186*VLOOKUP('Données projet'!$B$12,Paramètres!$A$1:$I$89,3,0)*0.475*44/12</f>
        <v>0.12035367968107527</v>
      </c>
      <c r="CM186" s="21">
        <f>EXP(-LN(2)/2)*CM185+(1-EXP(-LN(2)/2))/(LN(2)/2)*CG186*CJ186*VLOOKUP('Données projet'!$B$12,Paramètres!$A$1:$I$89,3,0)*0.475*44/12</f>
        <v>1.2232637709905374E-22</v>
      </c>
      <c r="CN186" s="22">
        <f t="shared" si="172"/>
        <v>0.19021610393980667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-5.1159076974727213E-13</v>
      </c>
      <c r="CU186" s="17">
        <f>CT186*VLOOKUP('Données projet'!$B$13,Paramètres!$A$1:$I$89,3,0)*VLOOKUP('Données projet'!$B$13,Paramètres!$A$1:$I$89,5,0)</f>
        <v>-4.0702161641092972E-13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260.20517190557814</v>
      </c>
      <c r="CZ186" s="59">
        <f t="shared" si="150"/>
        <v>307.22009971147133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0.15764662246862945</v>
      </c>
      <c r="DG186" s="21">
        <f>EXP(-LN(2)/25)*DG185+(1-EXP(-LN(2)/25))/(LN(2)/25)*Calculateur!DB186*Calculateur!DD186*VLOOKUP('Données projet'!$B$13,Paramètres!$A$1:$I$89,3,0)*0.475*44/12</f>
        <v>0.29502945348573023</v>
      </c>
      <c r="DH186" s="21">
        <f>EXP(-LN(2)/2)*DH185+(1-EXP(-LN(2)/2))/(LN(2)/2)*DB186*DE186*VLOOKUP('Données projet'!$B$13,Paramètres!$A$1:$I$89,3,0)*0.475*44/12</f>
        <v>2.2496882912096484E-22</v>
      </c>
      <c r="DI186" s="22">
        <f t="shared" si="175"/>
        <v>0.45267607595435966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-3.4106051316484809E-13</v>
      </c>
      <c r="DP186" s="17">
        <f>DO186*VLOOKUP('Données projet'!$B$14,Paramètres!$A$1:$I$89,3,0)*VLOOKUP('Données projet'!$B$14,Paramètres!$A$1:$I$89,5,0)</f>
        <v>-3.2987372833304104E-13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347.8889410585312</v>
      </c>
      <c r="DU186" s="59">
        <f t="shared" si="152"/>
        <v>254.78167322479203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0.12439094206477719</v>
      </c>
      <c r="EB186" s="21">
        <f>EXP(-LN(2)/25)*EB185+(1-EXP(-LN(2)/25))/(LN(2)/25)*Calculateur!DW186*Calculateur!DY186*VLOOKUP('Données projet'!$B$14,Paramètres!$A$1:$I$89,3,0)*0.475*44/12</f>
        <v>0.17341143041387813</v>
      </c>
      <c r="EC186" s="21">
        <f>EXP(-LN(2)/2)*EC185+(1-EXP(-LN(2)/2))/(LN(2)/2)*DW186*DZ186*VLOOKUP('Données projet'!$B$14,Paramètres!$A$1:$I$89,3,0)*0.475*44/12</f>
        <v>2.1561726976743841E-22</v>
      </c>
      <c r="ED186" s="22">
        <f t="shared" si="178"/>
        <v>0.29780237247865532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-3.4106051316484809E-13</v>
      </c>
      <c r="EK186" s="17">
        <f>EJ186*VLOOKUP('Données projet'!$B$15,Paramètres!$A$1:$I$89,3,0)*VLOOKUP('Données projet'!$B$15,Paramètres!$A$1:$I$89,5,0)</f>
        <v>-3.6711753637064249E-13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399.38728019348088</v>
      </c>
      <c r="EP186" s="59">
        <f t="shared" si="154"/>
        <v>289.54922160039791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0.13843508068499399</v>
      </c>
      <c r="EW186" s="21">
        <f>EXP(-LN(2)/25)*EW185+(1-EXP(-LN(2)/25))/(LN(2)/25)*Calculateur!ER186*Calculateur!ET186*VLOOKUP('Données projet'!$B$15,Paramètres!$A$1:$I$89,3,0)*0.475*44/12</f>
        <v>0.19299014029931627</v>
      </c>
      <c r="EX186" s="21">
        <f>EXP(-LN(2)/2)*EX185+(1-EXP(-LN(2)/2))/(LN(2)/2)*ER186*EU186*VLOOKUP('Données projet'!$B$15,Paramètres!$A$1:$I$89,3,0)*0.475*44/12</f>
        <v>2.3996115506376212E-22</v>
      </c>
      <c r="EY186" s="22">
        <f t="shared" si="181"/>
        <v>0.33142522098431026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-3.0859155231155454E-13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318.40875902853116</v>
      </c>
      <c r="T187" s="59">
        <f t="shared" si="142"/>
        <v>234.87694492493506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0.11408385920303957</v>
      </c>
      <c r="AA187" s="21">
        <f>EXP(-LN(2)/25)*AA186+(1-EXP(-LN(2)/25))/(LN(2)/25)*Calculateur!V187*Calculateur!X187*VLOOKUP('Données projet'!$B$9,Paramètres!$A$1:$I$89,3,0)*0.475*44/12</f>
        <v>0.15778758342474508</v>
      </c>
      <c r="AB187" s="21">
        <f>EXP(-LN(2)/2)*AB186+(1-EXP(-LN(2)/2))/(LN(2)/2)*V187*Y187*VLOOKUP('Données projet'!$B$9,Paramètres!$A$1:$I$89,3,0)*0.475*44/12</f>
        <v>1.4262801852293811E-22</v>
      </c>
      <c r="AC187" s="22">
        <f t="shared" si="163"/>
        <v>0.27187144262778462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243.38048563215585</v>
      </c>
      <c r="AO187" s="59">
        <f t="shared" si="144"/>
        <v>372.1604147006675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0.34618550378853419</v>
      </c>
      <c r="AV187" s="21">
        <f>EXP(-LN(2)/25)*AV186+(1-EXP(-LN(2)/25))/(LN(2)/25)*Calculateur!AQ187*Calculateur!AS187*VLOOKUP('Données projet'!$B$10,Paramètres!$A$1:$I$89,3,0)*0.475*44/12</f>
        <v>0.27077904644274547</v>
      </c>
      <c r="AW187" s="21">
        <f>EXP(-LN(2)/2)*AW186+(1-EXP(-LN(2)/2))/(LN(2)/2)*AQ187*AT187*VLOOKUP('Données projet'!$B$10,Paramètres!$A$1:$I$89,3,0)*0.475*44/12</f>
        <v>1.9398999500238599E-22</v>
      </c>
      <c r="AX187" s="21">
        <f t="shared" si="166"/>
        <v>0.61696455023127972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-5.1159076974727213E-13</v>
      </c>
      <c r="BE187" s="13">
        <f>BD187*VLOOKUP('Données projet'!$B$11,Paramètres!$A$1:$I$89,3,0)*VLOOKUP('Données projet'!$B$11,Paramètres!$A$1:$I$89,5,0)</f>
        <v>-3.4317508834647017E-13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207.93042467236967</v>
      </c>
      <c r="BJ187" s="59">
        <f t="shared" si="146"/>
        <v>250.70954318710835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0.1303113046931271</v>
      </c>
      <c r="BQ187" s="21">
        <f>EXP(-LN(2)/25)*BQ186+(1-EXP(-LN(2)/25))/(LN(2)/25)*Calculateur!BL187*Calculateur!BN187*VLOOKUP('Données projet'!$B$11,Paramètres!$A$1:$I$89,3,0)*0.475*44/12</f>
        <v>0.24194823284912284</v>
      </c>
      <c r="BR187" s="21">
        <f>EXP(-LN(2)/2)*BR186+(1-EXP(-LN(2)/2))/(LN(2)/2)*BL187*BO187*VLOOKUP('Données projet'!$B$11,Paramètres!$A$1:$I$89,3,0)*0.475*44/12</f>
        <v>1.3412373213651707E-22</v>
      </c>
      <c r="BS187" s="22">
        <f t="shared" si="169"/>
        <v>0.37225953754224994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1.7053025658242404E-13</v>
      </c>
      <c r="BZ187" s="13">
        <f>BY187*VLOOKUP('Données projet'!$B$12,Paramètres!$A$1:$I$89,3,0)*VLOOKUP('Données projet'!$B$12,Paramètres!$A$1:$I$89,5,0)</f>
        <v>1.3301360013429075E-13</v>
      </c>
      <c r="CA187" s="13">
        <f t="shared" si="170"/>
        <v>1.9329766731057041E-12</v>
      </c>
      <c r="CB187" s="20">
        <f t="shared" si="171"/>
        <v>3.5982663925596575E-12</v>
      </c>
      <c r="CC187" s="59">
        <f t="shared" si="119"/>
        <v>293.3333333333369</v>
      </c>
      <c r="CD187" s="59">
        <f ca="1">AVERAGE(OFFSET($CC$3,0,0,'Données projet'!$E$12+1,1))-AVERAGE(OFFSET($H$3,0,0,'Données projet'!$E$12+1,1))</f>
        <v>266.30229009596883</v>
      </c>
      <c r="CE187" s="59">
        <f t="shared" si="148"/>
        <v>270.19195828386046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6.8492464730888908E-2</v>
      </c>
      <c r="CL187" s="21">
        <f>EXP(-LN(2)/25)*CL186+(1-EXP(-LN(2)/25))/(LN(2)/25)*Calculateur!CG187*Calculateur!CI187*VLOOKUP('Données projet'!$B$12,Paramètres!$A$1:$I$89,3,0)*0.475*44/12</f>
        <v>0.11706260198107132</v>
      </c>
      <c r="CM187" s="21">
        <f>EXP(-LN(2)/2)*CM186+(1-EXP(-LN(2)/2))/(LN(2)/2)*CG187*CJ187*VLOOKUP('Données projet'!$B$12,Paramètres!$A$1:$I$89,3,0)*0.475*44/12</f>
        <v>8.6497810764723691E-23</v>
      </c>
      <c r="CN187" s="22">
        <f t="shared" si="172"/>
        <v>0.18555506671196023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-5.1159076974727213E-13</v>
      </c>
      <c r="CU187" s="17">
        <f>CT187*VLOOKUP('Données projet'!$B$13,Paramètres!$A$1:$I$89,3,0)*VLOOKUP('Données projet'!$B$13,Paramètres!$A$1:$I$89,5,0)</f>
        <v>-4.0702161641092972E-13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260.20517190557814</v>
      </c>
      <c r="CZ187" s="59">
        <f t="shared" si="150"/>
        <v>307.22009971147133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0.15455526835696481</v>
      </c>
      <c r="DG187" s="21">
        <f>EXP(-LN(2)/25)*DG186+(1-EXP(-LN(2)/25))/(LN(2)/25)*Calculateur!DB187*Calculateur!DD187*VLOOKUP('Données projet'!$B$13,Paramètres!$A$1:$I$89,3,0)*0.475*44/12</f>
        <v>0.28696185756523829</v>
      </c>
      <c r="DH187" s="21">
        <f>EXP(-LN(2)/2)*DH186+(1-EXP(-LN(2)/2))/(LN(2)/2)*DB187*DE187*VLOOKUP('Données projet'!$B$13,Paramètres!$A$1:$I$89,3,0)*0.475*44/12</f>
        <v>1.5907698462703189E-22</v>
      </c>
      <c r="DI187" s="22">
        <f t="shared" si="175"/>
        <v>0.4415171259222031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-3.4106051316484809E-13</v>
      </c>
      <c r="DP187" s="17">
        <f>DO187*VLOOKUP('Données projet'!$B$14,Paramètres!$A$1:$I$89,3,0)*VLOOKUP('Données projet'!$B$14,Paramètres!$A$1:$I$89,5,0)</f>
        <v>-3.2987372833304104E-13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347.8889410585312</v>
      </c>
      <c r="DU187" s="59">
        <f t="shared" si="152"/>
        <v>254.78167322479203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0.12195171156186993</v>
      </c>
      <c r="EB187" s="21">
        <f>EXP(-LN(2)/25)*EB186+(1-EXP(-LN(2)/25))/(LN(2)/25)*Calculateur!DW187*Calculateur!DY187*VLOOKUP('Données projet'!$B$14,Paramètres!$A$1:$I$89,3,0)*0.475*44/12</f>
        <v>0.16866948572989984</v>
      </c>
      <c r="EC187" s="21">
        <f>EXP(-LN(2)/2)*EC186+(1-EXP(-LN(2)/2))/(LN(2)/2)*DW187*DZ187*VLOOKUP('Données projet'!$B$14,Paramètres!$A$1:$I$89,3,0)*0.475*44/12</f>
        <v>1.5246443359348486E-22</v>
      </c>
      <c r="ED187" s="22">
        <f t="shared" si="178"/>
        <v>0.29062119729176977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-3.4106051316484809E-13</v>
      </c>
      <c r="EK187" s="17">
        <f>EJ187*VLOOKUP('Données projet'!$B$15,Paramètres!$A$1:$I$89,3,0)*VLOOKUP('Données projet'!$B$15,Paramètres!$A$1:$I$89,5,0)</f>
        <v>-3.6711753637064249E-13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399.38728019348088</v>
      </c>
      <c r="EP187" s="59">
        <f t="shared" si="154"/>
        <v>289.54922160039791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0.13572045318982301</v>
      </c>
      <c r="EW187" s="21">
        <f>EXP(-LN(2)/25)*EW186+(1-EXP(-LN(2)/25))/(LN(2)/25)*Calculateur!ER187*Calculateur!ET187*VLOOKUP('Données projet'!$B$15,Paramètres!$A$1:$I$89,3,0)*0.475*44/12</f>
        <v>0.18771281476392107</v>
      </c>
      <c r="EX187" s="21">
        <f>EXP(-LN(2)/2)*EX186+(1-EXP(-LN(2)/2))/(LN(2)/2)*ER187*EU187*VLOOKUP('Données projet'!$B$15,Paramètres!$A$1:$I$89,3,0)*0.475*44/12</f>
        <v>1.6967815996694284E-22</v>
      </c>
      <c r="EY187" s="22">
        <f t="shared" si="181"/>
        <v>0.32343326795374405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-3.0859155231155454E-13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318.40875902853116</v>
      </c>
      <c r="T188" s="59">
        <f t="shared" si="142"/>
        <v>234.87694492493506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0.1118467443083512</v>
      </c>
      <c r="AA188" s="21">
        <f>EXP(-LN(2)/25)*AA187+(1-EXP(-LN(2)/25))/(LN(2)/25)*Calculateur!V188*Calculateur!X188*VLOOKUP('Données projet'!$B$9,Paramètres!$A$1:$I$89,3,0)*0.475*44/12</f>
        <v>0.15347287365830703</v>
      </c>
      <c r="AB188" s="21">
        <f>EXP(-LN(2)/2)*AB187+(1-EXP(-LN(2)/2))/(LN(2)/2)*V188*Y188*VLOOKUP('Données projet'!$B$9,Paramètres!$A$1:$I$89,3,0)*0.475*44/12</f>
        <v>1.0085323908477004E-22</v>
      </c>
      <c r="AC188" s="22">
        <f t="shared" si="163"/>
        <v>0.26531961796665826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243.38048563215585</v>
      </c>
      <c r="AO188" s="59">
        <f t="shared" si="144"/>
        <v>372.1604147006675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0.3393970172115488</v>
      </c>
      <c r="AV188" s="21">
        <f>EXP(-LN(2)/25)*AV187+(1-EXP(-LN(2)/25))/(LN(2)/25)*Calculateur!AQ188*Calculateur!AS188*VLOOKUP('Données projet'!$B$10,Paramètres!$A$1:$I$89,3,0)*0.475*44/12</f>
        <v>0.26337457917811741</v>
      </c>
      <c r="AW188" s="21">
        <f>EXP(-LN(2)/2)*AW187+(1-EXP(-LN(2)/2))/(LN(2)/2)*AQ188*AT188*VLOOKUP('Données projet'!$B$10,Paramètres!$A$1:$I$89,3,0)*0.475*44/12</f>
        <v>1.371716409485316E-22</v>
      </c>
      <c r="AX188" s="21">
        <f t="shared" si="166"/>
        <v>0.60277159638966626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-5.1159076974727213E-13</v>
      </c>
      <c r="BE188" s="13">
        <f>BD188*VLOOKUP('Données projet'!$B$11,Paramètres!$A$1:$I$89,3,0)*VLOOKUP('Données projet'!$B$11,Paramètres!$A$1:$I$89,5,0)</f>
        <v>-3.4317508834647017E-13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207.93042467236967</v>
      </c>
      <c r="BJ188" s="59">
        <f t="shared" si="146"/>
        <v>250.70954318710835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0.12775597949014253</v>
      </c>
      <c r="BQ188" s="21">
        <f>EXP(-LN(2)/25)*BQ187+(1-EXP(-LN(2)/25))/(LN(2)/25)*Calculateur!BL188*Calculateur!BN188*VLOOKUP('Données projet'!$B$11,Paramètres!$A$1:$I$89,3,0)*0.475*44/12</f>
        <v>0.235332145698359</v>
      </c>
      <c r="BR188" s="21">
        <f>EXP(-LN(2)/2)*BR187+(1-EXP(-LN(2)/2))/(LN(2)/2)*BL188*BO188*VLOOKUP('Données projet'!$B$11,Paramètres!$A$1:$I$89,3,0)*0.475*44/12</f>
        <v>9.4839800511779291E-23</v>
      </c>
      <c r="BS188" s="22">
        <f t="shared" si="169"/>
        <v>0.36308812518850153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1.7053025658242404E-13</v>
      </c>
      <c r="BZ188" s="13">
        <f>BY188*VLOOKUP('Données projet'!$B$12,Paramètres!$A$1:$I$89,3,0)*VLOOKUP('Données projet'!$B$12,Paramètres!$A$1:$I$89,5,0)</f>
        <v>1.3301360013429075E-13</v>
      </c>
      <c r="CA188" s="13">
        <f t="shared" si="170"/>
        <v>1.9329766731057041E-12</v>
      </c>
      <c r="CB188" s="20">
        <f t="shared" si="171"/>
        <v>3.5982663925596575E-12</v>
      </c>
      <c r="CC188" s="59">
        <f t="shared" si="119"/>
        <v>293.3333333333369</v>
      </c>
      <c r="CD188" s="59">
        <f ca="1">AVERAGE(OFFSET($CC$3,0,0,'Données projet'!$E$12+1,1))-AVERAGE(OFFSET($H$3,0,0,'Données projet'!$E$12+1,1))</f>
        <v>266.30229009596883</v>
      </c>
      <c r="CE188" s="59">
        <f t="shared" si="148"/>
        <v>270.19195828386046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6.7149369273794599E-2</v>
      </c>
      <c r="CL188" s="21">
        <f>EXP(-LN(2)/25)*CL187+(1-EXP(-LN(2)/25))/(LN(2)/25)*Calculateur!CG188*Calculateur!CI188*VLOOKUP('Données projet'!$B$12,Paramètres!$A$1:$I$89,3,0)*0.475*44/12</f>
        <v>0.11386151897384424</v>
      </c>
      <c r="CM188" s="21">
        <f>EXP(-LN(2)/2)*CM187+(1-EXP(-LN(2)/2))/(LN(2)/2)*CG188*CJ188*VLOOKUP('Données projet'!$B$12,Paramètres!$A$1:$I$89,3,0)*0.475*44/12</f>
        <v>6.1163188549526869E-23</v>
      </c>
      <c r="CN188" s="22">
        <f t="shared" si="172"/>
        <v>0.18101088824763883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-5.1159076974727213E-13</v>
      </c>
      <c r="CU188" s="17">
        <f>CT188*VLOOKUP('Données projet'!$B$13,Paramètres!$A$1:$I$89,3,0)*VLOOKUP('Données projet'!$B$13,Paramètres!$A$1:$I$89,5,0)</f>
        <v>-4.0702161641092972E-13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260.20517190557814</v>
      </c>
      <c r="CZ188" s="59">
        <f t="shared" si="150"/>
        <v>307.22009971147133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0.15152453381389011</v>
      </c>
      <c r="DG188" s="21">
        <f>EXP(-LN(2)/25)*DG187+(1-EXP(-LN(2)/25))/(LN(2)/25)*Calculateur!DB188*Calculateur!DD188*VLOOKUP('Données projet'!$B$13,Paramètres!$A$1:$I$89,3,0)*0.475*44/12</f>
        <v>0.27911487047944861</v>
      </c>
      <c r="DH188" s="21">
        <f>EXP(-LN(2)/2)*DH187+(1-EXP(-LN(2)/2))/(LN(2)/2)*DB188*DE188*VLOOKUP('Données projet'!$B$13,Paramètres!$A$1:$I$89,3,0)*0.475*44/12</f>
        <v>1.1248441456048242E-22</v>
      </c>
      <c r="DI188" s="22">
        <f t="shared" si="175"/>
        <v>0.43063940429333869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-3.4106051316484809E-13</v>
      </c>
      <c r="DP188" s="17">
        <f>DO188*VLOOKUP('Données projet'!$B$14,Paramètres!$A$1:$I$89,3,0)*VLOOKUP('Données projet'!$B$14,Paramètres!$A$1:$I$89,5,0)</f>
        <v>-3.2987372833304104E-13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347.8889410585312</v>
      </c>
      <c r="DU188" s="59">
        <f t="shared" si="152"/>
        <v>254.78167322479203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0.11956031288134099</v>
      </c>
      <c r="EB188" s="21">
        <f>EXP(-LN(2)/25)*EB187+(1-EXP(-LN(2)/25))/(LN(2)/25)*Calculateur!DW188*Calculateur!DY188*VLOOKUP('Données projet'!$B$14,Paramètres!$A$1:$I$89,3,0)*0.475*44/12</f>
        <v>0.16405720977267296</v>
      </c>
      <c r="EC188" s="21">
        <f>EXP(-LN(2)/2)*EC187+(1-EXP(-LN(2)/2))/(LN(2)/2)*DW188*DZ188*VLOOKUP('Données projet'!$B$14,Paramètres!$A$1:$I$89,3,0)*0.475*44/12</f>
        <v>1.078086348837192E-22</v>
      </c>
      <c r="ED188" s="22">
        <f t="shared" si="178"/>
        <v>0.28361752265401396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-3.4106051316484809E-13</v>
      </c>
      <c r="EK188" s="17">
        <f>EJ188*VLOOKUP('Données projet'!$B$15,Paramètres!$A$1:$I$89,3,0)*VLOOKUP('Données projet'!$B$15,Paramètres!$A$1:$I$89,5,0)</f>
        <v>-3.6711753637064249E-13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399.38728019348088</v>
      </c>
      <c r="EP188" s="59">
        <f t="shared" si="154"/>
        <v>289.54922160039791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0.13305905788407305</v>
      </c>
      <c r="EW188" s="21">
        <f>EXP(-LN(2)/25)*EW187+(1-EXP(-LN(2)/25))/(LN(2)/25)*Calculateur!ER188*Calculateur!ET188*VLOOKUP('Données projet'!$B$15,Paramètres!$A$1:$I$89,3,0)*0.475*44/12</f>
        <v>0.18257979797281373</v>
      </c>
      <c r="EX188" s="21">
        <f>EXP(-LN(2)/2)*EX187+(1-EXP(-LN(2)/2))/(LN(2)/2)*ER188*EU188*VLOOKUP('Données projet'!$B$15,Paramètres!$A$1:$I$89,3,0)*0.475*44/12</f>
        <v>1.1998057753188106E-22</v>
      </c>
      <c r="EY188" s="22">
        <f t="shared" si="181"/>
        <v>0.31563885585688678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-3.0859155231155454E-13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318.40875902853116</v>
      </c>
      <c r="T189" s="59">
        <f t="shared" si="142"/>
        <v>234.87694492493506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0.10965349787224232</v>
      </c>
      <c r="AA189" s="21">
        <f>EXP(-LN(2)/25)*AA188+(1-EXP(-LN(2)/25))/(LN(2)/25)*Calculateur!V189*Calculateur!X189*VLOOKUP('Données projet'!$B$9,Paramètres!$A$1:$I$89,3,0)*0.475*44/12</f>
        <v>0.14927614985733295</v>
      </c>
      <c r="AB189" s="21">
        <f>EXP(-LN(2)/2)*AB188+(1-EXP(-LN(2)/2))/(LN(2)/2)*V189*Y189*VLOOKUP('Données projet'!$B$9,Paramètres!$A$1:$I$89,3,0)*0.475*44/12</f>
        <v>7.1314009261469053E-23</v>
      </c>
      <c r="AC189" s="22">
        <f t="shared" si="163"/>
        <v>0.25892964772957527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243.38048563215585</v>
      </c>
      <c r="AO189" s="59">
        <f t="shared" si="144"/>
        <v>372.1604147006675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0.33274164871577011</v>
      </c>
      <c r="AV189" s="21">
        <f>EXP(-LN(2)/25)*AV188+(1-EXP(-LN(2)/25))/(LN(2)/25)*Calculateur!AQ189*Calculateur!AS189*VLOOKUP('Données projet'!$B$10,Paramètres!$A$1:$I$89,3,0)*0.475*44/12</f>
        <v>0.25617258746022464</v>
      </c>
      <c r="AW189" s="21">
        <f>EXP(-LN(2)/2)*AW188+(1-EXP(-LN(2)/2))/(LN(2)/2)*AQ189*AT189*VLOOKUP('Données projet'!$B$10,Paramètres!$A$1:$I$89,3,0)*0.475*44/12</f>
        <v>9.6994997501192995E-23</v>
      </c>
      <c r="AX189" s="21">
        <f t="shared" si="166"/>
        <v>0.5889142361759947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-5.1159076974727213E-13</v>
      </c>
      <c r="BE189" s="13">
        <f>BD189*VLOOKUP('Données projet'!$B$11,Paramètres!$A$1:$I$89,3,0)*VLOOKUP('Données projet'!$B$11,Paramètres!$A$1:$I$89,5,0)</f>
        <v>-3.4317508834647017E-13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207.93042467236967</v>
      </c>
      <c r="BJ189" s="59">
        <f t="shared" si="146"/>
        <v>250.70954318710835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0.12525076265579402</v>
      </c>
      <c r="BQ189" s="21">
        <f>EXP(-LN(2)/25)*BQ188+(1-EXP(-LN(2)/25))/(LN(2)/25)*Calculateur!BL189*Calculateur!BN189*VLOOKUP('Données projet'!$B$11,Paramètres!$A$1:$I$89,3,0)*0.475*44/12</f>
        <v>0.2288969757986577</v>
      </c>
      <c r="BR189" s="21">
        <f>EXP(-LN(2)/2)*BR188+(1-EXP(-LN(2)/2))/(LN(2)/2)*BL189*BO189*VLOOKUP('Données projet'!$B$11,Paramètres!$A$1:$I$89,3,0)*0.475*44/12</f>
        <v>6.7061866068258536E-23</v>
      </c>
      <c r="BS189" s="22">
        <f t="shared" si="169"/>
        <v>0.35414773845445169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1.7053025658242404E-13</v>
      </c>
      <c r="BZ189" s="13">
        <f>BY189*VLOOKUP('Données projet'!$B$12,Paramètres!$A$1:$I$89,3,0)*VLOOKUP('Données projet'!$B$12,Paramètres!$A$1:$I$89,5,0)</f>
        <v>1.3301360013429075E-13</v>
      </c>
      <c r="CA189" s="13">
        <f t="shared" si="170"/>
        <v>1.9329766731057041E-12</v>
      </c>
      <c r="CB189" s="20">
        <f t="shared" si="171"/>
        <v>3.5982663925596575E-12</v>
      </c>
      <c r="CC189" s="59">
        <f t="shared" si="119"/>
        <v>293.3333333333369</v>
      </c>
      <c r="CD189" s="59">
        <f ca="1">AVERAGE(OFFSET($CC$3,0,0,'Données projet'!$E$12+1,1))-AVERAGE(OFFSET($H$3,0,0,'Données projet'!$E$12+1,1))</f>
        <v>266.30229009596883</v>
      </c>
      <c r="CE189" s="59">
        <f t="shared" si="148"/>
        <v>270.19195828386046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6.5832611099406566E-2</v>
      </c>
      <c r="CL189" s="21">
        <f>EXP(-LN(2)/25)*CL188+(1-EXP(-LN(2)/25))/(LN(2)/25)*Calculateur!CG189*Calculateur!CI189*VLOOKUP('Données projet'!$B$12,Paramètres!$A$1:$I$89,3,0)*0.475*44/12</f>
        <v>0.11074796974978741</v>
      </c>
      <c r="CM189" s="21">
        <f>EXP(-LN(2)/2)*CM188+(1-EXP(-LN(2)/2))/(LN(2)/2)*CG189*CJ189*VLOOKUP('Données projet'!$B$12,Paramètres!$A$1:$I$89,3,0)*0.475*44/12</f>
        <v>4.3248905382361846E-23</v>
      </c>
      <c r="CN189" s="22">
        <f t="shared" si="172"/>
        <v>0.17658058084919398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-5.1159076974727213E-13</v>
      </c>
      <c r="CU189" s="17">
        <f>CT189*VLOOKUP('Données projet'!$B$13,Paramètres!$A$1:$I$89,3,0)*VLOOKUP('Données projet'!$B$13,Paramètres!$A$1:$I$89,5,0)</f>
        <v>-4.0702161641092972E-13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260.20517190557814</v>
      </c>
      <c r="CZ189" s="59">
        <f t="shared" si="150"/>
        <v>307.22009971147133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0.14855323012663954</v>
      </c>
      <c r="DG189" s="21">
        <f>EXP(-LN(2)/25)*DG188+(1-EXP(-LN(2)/25))/(LN(2)/25)*Calculateur!DB189*Calculateur!DD189*VLOOKUP('Données projet'!$B$13,Paramètres!$A$1:$I$89,3,0)*0.475*44/12</f>
        <v>0.27148245966817497</v>
      </c>
      <c r="DH189" s="21">
        <f>EXP(-LN(2)/2)*DH188+(1-EXP(-LN(2)/2))/(LN(2)/2)*DB189*DE189*VLOOKUP('Données projet'!$B$13,Paramètres!$A$1:$I$89,3,0)*0.475*44/12</f>
        <v>7.9538492313515944E-23</v>
      </c>
      <c r="DI189" s="22">
        <f t="shared" si="175"/>
        <v>0.42003568979481454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-3.4106051316484809E-13</v>
      </c>
      <c r="DP189" s="17">
        <f>DO189*VLOOKUP('Données projet'!$B$14,Paramètres!$A$1:$I$89,3,0)*VLOOKUP('Données projet'!$B$14,Paramètres!$A$1:$I$89,5,0)</f>
        <v>-3.2987372833304104E-13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347.8889410585312</v>
      </c>
      <c r="DU189" s="59">
        <f t="shared" si="152"/>
        <v>254.78167322479203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0.11721580807032804</v>
      </c>
      <c r="EB189" s="21">
        <f>EXP(-LN(2)/25)*EB188+(1-EXP(-LN(2)/25))/(LN(2)/25)*Calculateur!DW189*Calculateur!DY189*VLOOKUP('Données projet'!$B$14,Paramètres!$A$1:$I$89,3,0)*0.475*44/12</f>
        <v>0.15957105674404551</v>
      </c>
      <c r="EC189" s="21">
        <f>EXP(-LN(2)/2)*EC188+(1-EXP(-LN(2)/2))/(LN(2)/2)*DW189*DZ189*VLOOKUP('Données projet'!$B$14,Paramètres!$A$1:$I$89,3,0)*0.475*44/12</f>
        <v>7.6232216796742431E-23</v>
      </c>
      <c r="ED189" s="22">
        <f t="shared" si="178"/>
        <v>0.27678686481437353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-3.4106051316484809E-13</v>
      </c>
      <c r="EK189" s="17">
        <f>EJ189*VLOOKUP('Données projet'!$B$15,Paramètres!$A$1:$I$89,3,0)*VLOOKUP('Données projet'!$B$15,Paramètres!$A$1:$I$89,5,0)</f>
        <v>-3.6711753637064249E-13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399.38728019348088</v>
      </c>
      <c r="EP189" s="59">
        <f t="shared" si="154"/>
        <v>289.54922160039791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0.130449850916978</v>
      </c>
      <c r="EW189" s="21">
        <f>EXP(-LN(2)/25)*EW188+(1-EXP(-LN(2)/25))/(LN(2)/25)*Calculateur!ER189*Calculateur!ET189*VLOOKUP('Données projet'!$B$15,Paramètres!$A$1:$I$89,3,0)*0.475*44/12</f>
        <v>0.17758714379579285</v>
      </c>
      <c r="EX189" s="21">
        <f>EXP(-LN(2)/2)*EX188+(1-EXP(-LN(2)/2))/(LN(2)/2)*ER189*EU189*VLOOKUP('Données projet'!$B$15,Paramètres!$A$1:$I$89,3,0)*0.475*44/12</f>
        <v>8.4839079983471421E-23</v>
      </c>
      <c r="EY189" s="22">
        <f t="shared" si="181"/>
        <v>0.30803699471277085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-3.0859155231155454E-13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318.40875902853116</v>
      </c>
      <c r="T190" s="59">
        <f t="shared" si="142"/>
        <v>234.87694492493506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0.1075032596609973</v>
      </c>
      <c r="AA190" s="21">
        <f>EXP(-LN(2)/25)*AA189+(1-EXP(-LN(2)/25))/(LN(2)/25)*Calculateur!V190*Calculateur!X190*VLOOKUP('Données projet'!$B$9,Paramètres!$A$1:$I$89,3,0)*0.475*44/12</f>
        <v>0.14519418568939263</v>
      </c>
      <c r="AB190" s="21">
        <f>EXP(-LN(2)/2)*AB189+(1-EXP(-LN(2)/2))/(LN(2)/2)*V190*Y190*VLOOKUP('Données projet'!$B$9,Paramètres!$A$1:$I$89,3,0)*0.475*44/12</f>
        <v>5.0426619542385022E-23</v>
      </c>
      <c r="AC190" s="22">
        <f t="shared" si="163"/>
        <v>0.25269744535038996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243.38048563215585</v>
      </c>
      <c r="AO190" s="59">
        <f t="shared" si="144"/>
        <v>372.1604147006675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0.32621678793681969</v>
      </c>
      <c r="AV190" s="21">
        <f>EXP(-LN(2)/25)*AV189+(1-EXP(-LN(2)/25))/(LN(2)/25)*Calculateur!AQ190*Calculateur!AS190*VLOOKUP('Données projet'!$B$10,Paramètres!$A$1:$I$89,3,0)*0.475*44/12</f>
        <v>0.24916753458459392</v>
      </c>
      <c r="AW190" s="21">
        <f>EXP(-LN(2)/2)*AW189+(1-EXP(-LN(2)/2))/(LN(2)/2)*AQ190*AT190*VLOOKUP('Données projet'!$B$10,Paramètres!$A$1:$I$89,3,0)*0.475*44/12</f>
        <v>6.8585820474265798E-23</v>
      </c>
      <c r="AX190" s="21">
        <f t="shared" si="166"/>
        <v>0.57538432252141358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-5.1159076974727213E-13</v>
      </c>
      <c r="BE190" s="13">
        <f>BD190*VLOOKUP('Données projet'!$B$11,Paramètres!$A$1:$I$89,3,0)*VLOOKUP('Données projet'!$B$11,Paramètres!$A$1:$I$89,5,0)</f>
        <v>-3.4317508834647017E-13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207.93042467236967</v>
      </c>
      <c r="BJ190" s="59">
        <f t="shared" si="146"/>
        <v>250.70954318710835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0.1227946715955357</v>
      </c>
      <c r="BQ190" s="21">
        <f>EXP(-LN(2)/25)*BQ189+(1-EXP(-LN(2)/25))/(LN(2)/25)*Calculateur!BL190*Calculateur!BN190*VLOOKUP('Données projet'!$B$11,Paramètres!$A$1:$I$89,3,0)*0.475*44/12</f>
        <v>0.22263777595827461</v>
      </c>
      <c r="BR190" s="21">
        <f>EXP(-LN(2)/2)*BR189+(1-EXP(-LN(2)/2))/(LN(2)/2)*BL190*BO190*VLOOKUP('Données projet'!$B$11,Paramètres!$A$1:$I$89,3,0)*0.475*44/12</f>
        <v>4.7419900255889645E-23</v>
      </c>
      <c r="BS190" s="22">
        <f t="shared" si="169"/>
        <v>0.34543244755381031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1.7053025658242404E-13</v>
      </c>
      <c r="BZ190" s="13">
        <f>BY190*VLOOKUP('Données projet'!$B$12,Paramètres!$A$1:$I$89,3,0)*VLOOKUP('Données projet'!$B$12,Paramètres!$A$1:$I$89,5,0)</f>
        <v>1.3301360013429075E-13</v>
      </c>
      <c r="CA190" s="13">
        <f t="shared" si="170"/>
        <v>1.9329766731057041E-12</v>
      </c>
      <c r="CB190" s="20">
        <f t="shared" si="171"/>
        <v>3.5982663925596575E-12</v>
      </c>
      <c r="CC190" s="59">
        <f t="shared" si="119"/>
        <v>293.3333333333369</v>
      </c>
      <c r="CD190" s="59">
        <f ca="1">AVERAGE(OFFSET($CC$3,0,0,'Données projet'!$E$12+1,1))-AVERAGE(OFFSET($H$3,0,0,'Données projet'!$E$12+1,1))</f>
        <v>266.30229009596883</v>
      </c>
      <c r="CE190" s="59">
        <f t="shared" si="148"/>
        <v>270.19195828386046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6.4541673749675108E-2</v>
      </c>
      <c r="CL190" s="21">
        <f>EXP(-LN(2)/25)*CL189+(1-EXP(-LN(2)/25))/(LN(2)/25)*Calculateur!CG190*Calculateur!CI190*VLOOKUP('Données projet'!$B$12,Paramètres!$A$1:$I$89,3,0)*0.475*44/12</f>
        <v>0.10771956069299686</v>
      </c>
      <c r="CM190" s="21">
        <f>EXP(-LN(2)/2)*CM189+(1-EXP(-LN(2)/2))/(LN(2)/2)*CG190*CJ190*VLOOKUP('Données projet'!$B$12,Paramètres!$A$1:$I$89,3,0)*0.475*44/12</f>
        <v>3.0581594274763434E-23</v>
      </c>
      <c r="CN190" s="22">
        <f t="shared" si="172"/>
        <v>0.17226123444267197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-5.1159076974727213E-13</v>
      </c>
      <c r="CU190" s="17">
        <f>CT190*VLOOKUP('Données projet'!$B$13,Paramètres!$A$1:$I$89,3,0)*VLOOKUP('Données projet'!$B$13,Paramètres!$A$1:$I$89,5,0)</f>
        <v>-4.0702161641092972E-13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260.20517190557814</v>
      </c>
      <c r="CZ190" s="59">
        <f t="shared" si="150"/>
        <v>307.22009971147133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0.14564019189237967</v>
      </c>
      <c r="DG190" s="21">
        <f>EXP(-LN(2)/25)*DG189+(1-EXP(-LN(2)/25))/(LN(2)/25)*Calculateur!DB190*Calculateur!DD190*VLOOKUP('Données projet'!$B$13,Paramètres!$A$1:$I$89,3,0)*0.475*44/12</f>
        <v>0.26405875753190666</v>
      </c>
      <c r="DH190" s="21">
        <f>EXP(-LN(2)/2)*DH189+(1-EXP(-LN(2)/2))/(LN(2)/2)*DB190*DE190*VLOOKUP('Données projet'!$B$13,Paramètres!$A$1:$I$89,3,0)*0.475*44/12</f>
        <v>5.624220728024121E-23</v>
      </c>
      <c r="DI190" s="22">
        <f t="shared" si="175"/>
        <v>0.40969894942428631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-3.4106051316484809E-13</v>
      </c>
      <c r="DP190" s="17">
        <f>DO190*VLOOKUP('Données projet'!$B$14,Paramètres!$A$1:$I$89,3,0)*VLOOKUP('Données projet'!$B$14,Paramètres!$A$1:$I$89,5,0)</f>
        <v>-3.2987372833304104E-13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347.8889410585312</v>
      </c>
      <c r="DU190" s="59">
        <f t="shared" si="152"/>
        <v>254.78167322479203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0.11491727756865233</v>
      </c>
      <c r="EB190" s="21">
        <f>EXP(-LN(2)/25)*EB189+(1-EXP(-LN(2)/25))/(LN(2)/25)*Calculateur!DW190*Calculateur!DY190*VLOOKUP('Données projet'!$B$14,Paramètres!$A$1:$I$89,3,0)*0.475*44/12</f>
        <v>0.15520757780590241</v>
      </c>
      <c r="EC190" s="21">
        <f>EXP(-LN(2)/2)*EC189+(1-EXP(-LN(2)/2))/(LN(2)/2)*DW190*DZ190*VLOOKUP('Données projet'!$B$14,Paramètres!$A$1:$I$89,3,0)*0.475*44/12</f>
        <v>5.3904317441859602E-23</v>
      </c>
      <c r="ED190" s="22">
        <f t="shared" si="178"/>
        <v>0.27012485537455477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-3.4106051316484809E-13</v>
      </c>
      <c r="EK190" s="17">
        <f>EJ190*VLOOKUP('Données projet'!$B$15,Paramètres!$A$1:$I$89,3,0)*VLOOKUP('Données projet'!$B$15,Paramètres!$A$1:$I$89,5,0)</f>
        <v>-3.6711753637064249E-13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399.38728019348088</v>
      </c>
      <c r="EP190" s="59">
        <f t="shared" si="154"/>
        <v>289.54922160039791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0.12789180890704857</v>
      </c>
      <c r="EW190" s="21">
        <f>EXP(-LN(2)/25)*EW189+(1-EXP(-LN(2)/25))/(LN(2)/25)*Calculateur!ER190*Calculateur!ET190*VLOOKUP('Données projet'!$B$15,Paramètres!$A$1:$I$89,3,0)*0.475*44/12</f>
        <v>0.17273101400979488</v>
      </c>
      <c r="EX190" s="21">
        <f>EXP(-LN(2)/2)*EX189+(1-EXP(-LN(2)/2))/(LN(2)/2)*ER190*EU190*VLOOKUP('Données projet'!$B$15,Paramètres!$A$1:$I$89,3,0)*0.475*44/12</f>
        <v>5.999028876594053E-23</v>
      </c>
      <c r="EY190" s="22">
        <f t="shared" si="181"/>
        <v>0.30062282291684345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-3.0859155231155454E-13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318.40875902853116</v>
      </c>
      <c r="T191" s="59">
        <f t="shared" si="142"/>
        <v>234.87694492493506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0.10539518630955899</v>
      </c>
      <c r="AA191" s="21">
        <f>EXP(-LN(2)/25)*AA190+(1-EXP(-LN(2)/25))/(LN(2)/25)*Calculateur!V191*Calculateur!X191*VLOOKUP('Données projet'!$B$9,Paramètres!$A$1:$I$89,3,0)*0.475*44/12</f>
        <v>0.1412238430462858</v>
      </c>
      <c r="AB191" s="21">
        <f>EXP(-LN(2)/2)*AB190+(1-EXP(-LN(2)/2))/(LN(2)/2)*V191*Y191*VLOOKUP('Données projet'!$B$9,Paramètres!$A$1:$I$89,3,0)*0.475*44/12</f>
        <v>3.5657004630734526E-23</v>
      </c>
      <c r="AC191" s="22">
        <f t="shared" si="163"/>
        <v>0.24661902935584479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243.38048563215585</v>
      </c>
      <c r="AO191" s="59">
        <f t="shared" si="144"/>
        <v>372.1604147006675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0.31981987569797238</v>
      </c>
      <c r="AV191" s="21">
        <f>EXP(-LN(2)/25)*AV190+(1-EXP(-LN(2)/25))/(LN(2)/25)*Calculateur!AQ191*Calculateur!AS191*VLOOKUP('Données projet'!$B$10,Paramètres!$A$1:$I$89,3,0)*0.475*44/12</f>
        <v>0.24235403524822705</v>
      </c>
      <c r="AW191" s="21">
        <f>EXP(-LN(2)/2)*AW190+(1-EXP(-LN(2)/2))/(LN(2)/2)*AQ191*AT191*VLOOKUP('Données projet'!$B$10,Paramètres!$A$1:$I$89,3,0)*0.475*44/12</f>
        <v>4.8497498750596497E-23</v>
      </c>
      <c r="AX191" s="21">
        <f t="shared" si="166"/>
        <v>0.5621739109461994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-5.1159076974727213E-13</v>
      </c>
      <c r="BE191" s="13">
        <f>BD191*VLOOKUP('Données projet'!$B$11,Paramètres!$A$1:$I$89,3,0)*VLOOKUP('Données projet'!$B$11,Paramètres!$A$1:$I$89,5,0)</f>
        <v>-3.4317508834647017E-13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207.93042467236967</v>
      </c>
      <c r="BJ191" s="59">
        <f t="shared" si="146"/>
        <v>250.70954318710835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0.12038674298290142</v>
      </c>
      <c r="BQ191" s="21">
        <f>EXP(-LN(2)/25)*BQ190+(1-EXP(-LN(2)/25))/(LN(2)/25)*Calculateur!BL191*Calculateur!BN191*VLOOKUP('Données projet'!$B$11,Paramètres!$A$1:$I$89,3,0)*0.475*44/12</f>
        <v>0.21654973426668381</v>
      </c>
      <c r="BR191" s="21">
        <f>EXP(-LN(2)/2)*BR190+(1-EXP(-LN(2)/2))/(LN(2)/2)*BL191*BO191*VLOOKUP('Données projet'!$B$11,Paramètres!$A$1:$I$89,3,0)*0.475*44/12</f>
        <v>3.3530933034129268E-23</v>
      </c>
      <c r="BS191" s="22">
        <f t="shared" si="169"/>
        <v>0.3369364772495852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1.7053025658242404E-13</v>
      </c>
      <c r="BZ191" s="13">
        <f>BY191*VLOOKUP('Données projet'!$B$12,Paramètres!$A$1:$I$89,3,0)*VLOOKUP('Données projet'!$B$12,Paramètres!$A$1:$I$89,5,0)</f>
        <v>1.3301360013429075E-13</v>
      </c>
      <c r="CA191" s="13">
        <f t="shared" si="170"/>
        <v>1.9329766731057041E-12</v>
      </c>
      <c r="CB191" s="20">
        <f t="shared" si="171"/>
        <v>3.5982663925596575E-12</v>
      </c>
      <c r="CC191" s="59">
        <f t="shared" si="119"/>
        <v>293.3333333333369</v>
      </c>
      <c r="CD191" s="59">
        <f ca="1">AVERAGE(OFFSET($CC$3,0,0,'Données projet'!$E$12+1,1))-AVERAGE(OFFSET($H$3,0,0,'Données projet'!$E$12+1,1))</f>
        <v>266.30229009596883</v>
      </c>
      <c r="CE191" s="59">
        <f t="shared" si="148"/>
        <v>270.19195828386046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6.327605089397785E-2</v>
      </c>
      <c r="CL191" s="21">
        <f>EXP(-LN(2)/25)*CL190+(1-EXP(-LN(2)/25))/(LN(2)/25)*Calculateur!CG191*Calculateur!CI191*VLOOKUP('Données projet'!$B$12,Paramètres!$A$1:$I$89,3,0)*0.475*44/12</f>
        <v>0.10477396364112136</v>
      </c>
      <c r="CM191" s="21">
        <f>EXP(-LN(2)/2)*CM190+(1-EXP(-LN(2)/2))/(LN(2)/2)*CG191*CJ191*VLOOKUP('Données projet'!$B$12,Paramètres!$A$1:$I$89,3,0)*0.475*44/12</f>
        <v>2.1624452691180923E-23</v>
      </c>
      <c r="CN191" s="22">
        <f t="shared" si="172"/>
        <v>0.16805001453509921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-5.1159076974727213E-13</v>
      </c>
      <c r="CU191" s="17">
        <f>CT191*VLOOKUP('Données projet'!$B$13,Paramètres!$A$1:$I$89,3,0)*VLOOKUP('Données projet'!$B$13,Paramètres!$A$1:$I$89,5,0)</f>
        <v>-4.0702161641092972E-13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260.20517190557814</v>
      </c>
      <c r="CZ191" s="59">
        <f t="shared" si="150"/>
        <v>307.22009971147133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0.14278427656111575</v>
      </c>
      <c r="DG191" s="21">
        <f>EXP(-LN(2)/25)*DG190+(1-EXP(-LN(2)/25))/(LN(2)/25)*Calculateur!DB191*Calculateur!DD191*VLOOKUP('Données projet'!$B$13,Paramètres!$A$1:$I$89,3,0)*0.475*44/12</f>
        <v>0.25683805692095013</v>
      </c>
      <c r="DH191" s="21">
        <f>EXP(-LN(2)/2)*DH190+(1-EXP(-LN(2)/2))/(LN(2)/2)*DB191*DE191*VLOOKUP('Données projet'!$B$13,Paramètres!$A$1:$I$89,3,0)*0.475*44/12</f>
        <v>3.9769246156757972E-23</v>
      </c>
      <c r="DI191" s="22">
        <f t="shared" si="175"/>
        <v>0.39962233348206588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-3.4106051316484809E-13</v>
      </c>
      <c r="DP191" s="17">
        <f>DO191*VLOOKUP('Données projet'!$B$14,Paramètres!$A$1:$I$89,3,0)*VLOOKUP('Données projet'!$B$14,Paramètres!$A$1:$I$89,5,0)</f>
        <v>-3.2987372833304104E-13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347.8889410585312</v>
      </c>
      <c r="DU191" s="59">
        <f t="shared" si="152"/>
        <v>254.78167322479203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0.1126638198481493</v>
      </c>
      <c r="EB191" s="21">
        <f>EXP(-LN(2)/25)*EB190+(1-EXP(-LN(2)/25))/(LN(2)/25)*Calculateur!DW191*Calculateur!DY191*VLOOKUP('Données projet'!$B$14,Paramètres!$A$1:$I$89,3,0)*0.475*44/12</f>
        <v>0.15096341842878822</v>
      </c>
      <c r="EC191" s="21">
        <f>EXP(-LN(2)/2)*EC190+(1-EXP(-LN(2)/2))/(LN(2)/2)*DW191*DZ191*VLOOKUP('Données projet'!$B$14,Paramètres!$A$1:$I$89,3,0)*0.475*44/12</f>
        <v>3.8116108398371215E-23</v>
      </c>
      <c r="ED191" s="22">
        <f t="shared" si="178"/>
        <v>0.26362723827693751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-3.4106051316484809E-13</v>
      </c>
      <c r="EK191" s="17">
        <f>EJ191*VLOOKUP('Données projet'!$B$15,Paramètres!$A$1:$I$89,3,0)*VLOOKUP('Données projet'!$B$15,Paramètres!$A$1:$I$89,5,0)</f>
        <v>-3.6711753637064249E-13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399.38728019348088</v>
      </c>
      <c r="EP191" s="59">
        <f t="shared" si="154"/>
        <v>289.54922160039791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0.12538392854068231</v>
      </c>
      <c r="EW191" s="21">
        <f>EXP(-LN(2)/25)*EW190+(1-EXP(-LN(2)/25))/(LN(2)/25)*Calculateur!ER191*Calculateur!ET191*VLOOKUP('Données projet'!$B$15,Paramètres!$A$1:$I$89,3,0)*0.475*44/12</f>
        <v>0.1680076753481678</v>
      </c>
      <c r="EX191" s="21">
        <f>EXP(-LN(2)/2)*EX190+(1-EXP(-LN(2)/2))/(LN(2)/2)*ER191*EU191*VLOOKUP('Données projet'!$B$15,Paramètres!$A$1:$I$89,3,0)*0.475*44/12</f>
        <v>4.2419539991735711E-23</v>
      </c>
      <c r="EY191" s="22">
        <f t="shared" si="181"/>
        <v>0.29339160388885011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-3.0859155231155454E-13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318.40875902853116</v>
      </c>
      <c r="T192" s="59">
        <f t="shared" si="142"/>
        <v>234.87694492493506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0.1033284509907446</v>
      </c>
      <c r="AA192" s="21">
        <f>EXP(-LN(2)/25)*AA191+(1-EXP(-LN(2)/25))/(LN(2)/25)*Calculateur!V192*Calculateur!X192*VLOOKUP('Données projet'!$B$9,Paramètres!$A$1:$I$89,3,0)*0.475*44/12</f>
        <v>0.13736206963154599</v>
      </c>
      <c r="AB192" s="21">
        <f>EXP(-LN(2)/2)*AB191+(1-EXP(-LN(2)/2))/(LN(2)/2)*V192*Y192*VLOOKUP('Données projet'!$B$9,Paramètres!$A$1:$I$89,3,0)*0.475*44/12</f>
        <v>2.5213309771192511E-23</v>
      </c>
      <c r="AC192" s="22">
        <f t="shared" si="163"/>
        <v>0.24069052062229057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243.38048563215585</v>
      </c>
      <c r="AO192" s="59">
        <f t="shared" si="144"/>
        <v>372.1604147006675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0.31354840300639769</v>
      </c>
      <c r="AV192" s="21">
        <f>EXP(-LN(2)/25)*AV191+(1-EXP(-LN(2)/25))/(LN(2)/25)*Calculateur!AQ192*Calculateur!AS192*VLOOKUP('Données projet'!$B$10,Paramètres!$A$1:$I$89,3,0)*0.475*44/12</f>
        <v>0.23572685140951946</v>
      </c>
      <c r="AW192" s="21">
        <f>EXP(-LN(2)/2)*AW191+(1-EXP(-LN(2)/2))/(LN(2)/2)*AQ192*AT192*VLOOKUP('Données projet'!$B$10,Paramètres!$A$1:$I$89,3,0)*0.475*44/12</f>
        <v>3.4292910237132899E-23</v>
      </c>
      <c r="AX192" s="21">
        <f t="shared" si="166"/>
        <v>0.54927525441591718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-5.1159076974727213E-13</v>
      </c>
      <c r="BE192" s="13">
        <f>BD192*VLOOKUP('Données projet'!$B$11,Paramètres!$A$1:$I$89,3,0)*VLOOKUP('Données projet'!$B$11,Paramètres!$A$1:$I$89,5,0)</f>
        <v>-3.4317508834647017E-13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207.93042467236967</v>
      </c>
      <c r="BJ192" s="59">
        <f t="shared" si="146"/>
        <v>250.70954318710835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0.11802603238166946</v>
      </c>
      <c r="BQ192" s="21">
        <f>EXP(-LN(2)/25)*BQ191+(1-EXP(-LN(2)/25))/(LN(2)/25)*Calculateur!BL192*Calculateur!BN192*VLOOKUP('Données projet'!$B$11,Paramètres!$A$1:$I$89,3,0)*0.475*44/12</f>
        <v>0.21062817039530574</v>
      </c>
      <c r="BR192" s="21">
        <f>EXP(-LN(2)/2)*BR191+(1-EXP(-LN(2)/2))/(LN(2)/2)*BL192*BO192*VLOOKUP('Données projet'!$B$11,Paramètres!$A$1:$I$89,3,0)*0.475*44/12</f>
        <v>2.3709950127944823E-23</v>
      </c>
      <c r="BS192" s="22">
        <f t="shared" si="169"/>
        <v>0.32865420277697521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1.7053025658242404E-13</v>
      </c>
      <c r="BZ192" s="13">
        <f>BY192*VLOOKUP('Données projet'!$B$12,Paramètres!$A$1:$I$89,3,0)*VLOOKUP('Données projet'!$B$12,Paramètres!$A$1:$I$89,5,0)</f>
        <v>1.3301360013429075E-13</v>
      </c>
      <c r="CA192" s="13">
        <f t="shared" si="170"/>
        <v>1.9329766731057041E-12</v>
      </c>
      <c r="CB192" s="20">
        <f t="shared" si="171"/>
        <v>3.5982663925596575E-12</v>
      </c>
      <c r="CC192" s="59">
        <f t="shared" si="119"/>
        <v>293.3333333333369</v>
      </c>
      <c r="CD192" s="59">
        <f ca="1">AVERAGE(OFFSET($CC$3,0,0,'Données projet'!$E$12+1,1))-AVERAGE(OFFSET($H$3,0,0,'Données projet'!$E$12+1,1))</f>
        <v>266.30229009596883</v>
      </c>
      <c r="CE192" s="59">
        <f t="shared" si="148"/>
        <v>270.19195828386046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6.2035246130527091E-2</v>
      </c>
      <c r="CL192" s="21">
        <f>EXP(-LN(2)/25)*CL191+(1-EXP(-LN(2)/25))/(LN(2)/25)*Calculateur!CG192*Calculateur!CI192*VLOOKUP('Données projet'!$B$12,Paramètres!$A$1:$I$89,3,0)*0.475*44/12</f>
        <v>0.10190891409553161</v>
      </c>
      <c r="CM192" s="21">
        <f>EXP(-LN(2)/2)*CM191+(1-EXP(-LN(2)/2))/(LN(2)/2)*CG192*CJ192*VLOOKUP('Données projet'!$B$12,Paramètres!$A$1:$I$89,3,0)*0.475*44/12</f>
        <v>1.5290797137381717E-23</v>
      </c>
      <c r="CN192" s="22">
        <f t="shared" si="172"/>
        <v>0.1639441602260587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-5.1159076974727213E-13</v>
      </c>
      <c r="CU192" s="17">
        <f>CT192*VLOOKUP('Données projet'!$B$13,Paramètres!$A$1:$I$89,3,0)*VLOOKUP('Données projet'!$B$13,Paramètres!$A$1:$I$89,5,0)</f>
        <v>-4.0702161641092972E-13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260.20517190557814</v>
      </c>
      <c r="CZ192" s="59">
        <f t="shared" si="150"/>
        <v>307.22009971147133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0.13998436398756156</v>
      </c>
      <c r="DG192" s="21">
        <f>EXP(-LN(2)/25)*DG191+(1-EXP(-LN(2)/25))/(LN(2)/25)*Calculateur!DB192*Calculateur!DD192*VLOOKUP('Données projet'!$B$13,Paramètres!$A$1:$I$89,3,0)*0.475*44/12</f>
        <v>0.24981480674792034</v>
      </c>
      <c r="DH192" s="21">
        <f>EXP(-LN(2)/2)*DH191+(1-EXP(-LN(2)/2))/(LN(2)/2)*DB192*DE192*VLOOKUP('Données projet'!$B$13,Paramètres!$A$1:$I$89,3,0)*0.475*44/12</f>
        <v>2.8121103640120605E-23</v>
      </c>
      <c r="DI192" s="22">
        <f t="shared" si="175"/>
        <v>0.38979917073548187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-3.4106051316484809E-13</v>
      </c>
      <c r="DP192" s="17">
        <f>DO192*VLOOKUP('Données projet'!$B$14,Paramètres!$A$1:$I$89,3,0)*VLOOKUP('Données projet'!$B$14,Paramètres!$A$1:$I$89,5,0)</f>
        <v>-3.2987372833304104E-13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347.8889410585312</v>
      </c>
      <c r="DU192" s="59">
        <f t="shared" si="152"/>
        <v>254.78167322479203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0.11045455105907184</v>
      </c>
      <c r="EB192" s="21">
        <f>EXP(-LN(2)/25)*EB191+(1-EXP(-LN(2)/25))/(LN(2)/25)*Calculateur!DW192*Calculateur!DY192*VLOOKUP('Données projet'!$B$14,Paramètres!$A$1:$I$89,3,0)*0.475*44/12</f>
        <v>0.14683531581303186</v>
      </c>
      <c r="EC192" s="21">
        <f>EXP(-LN(2)/2)*EC191+(1-EXP(-LN(2)/2))/(LN(2)/2)*DW192*DZ192*VLOOKUP('Données projet'!$B$14,Paramètres!$A$1:$I$89,3,0)*0.475*44/12</f>
        <v>2.6952158720929801E-23</v>
      </c>
      <c r="ED192" s="22">
        <f t="shared" si="178"/>
        <v>0.2572898668721037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-3.4106051316484809E-13</v>
      </c>
      <c r="EK192" s="17">
        <f>EJ192*VLOOKUP('Données projet'!$B$15,Paramètres!$A$1:$I$89,3,0)*VLOOKUP('Données projet'!$B$15,Paramètres!$A$1:$I$89,5,0)</f>
        <v>-3.6711753637064249E-13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399.38728019348088</v>
      </c>
      <c r="EP192" s="59">
        <f t="shared" si="154"/>
        <v>289.54922160039791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0.1229252261786445</v>
      </c>
      <c r="EW192" s="21">
        <f>EXP(-LN(2)/25)*EW191+(1-EXP(-LN(2)/25))/(LN(2)/25)*Calculateur!ER192*Calculateur!ET192*VLOOKUP('Données projet'!$B$15,Paramètres!$A$1:$I$89,3,0)*0.475*44/12</f>
        <v>0.16341349663063248</v>
      </c>
      <c r="EX192" s="21">
        <f>EXP(-LN(2)/2)*EX191+(1-EXP(-LN(2)/2))/(LN(2)/2)*ER192*EU192*VLOOKUP('Données projet'!$B$15,Paramètres!$A$1:$I$89,3,0)*0.475*44/12</f>
        <v>2.9995144382970265E-23</v>
      </c>
      <c r="EY192" s="22">
        <f t="shared" si="181"/>
        <v>0.28633872280927697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-3.0859155231155454E-13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318.40875902853116</v>
      </c>
      <c r="T193" s="59">
        <f t="shared" si="142"/>
        <v>234.87694492493506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0.10130224309094808</v>
      </c>
      <c r="AA193" s="21">
        <f>EXP(-LN(2)/25)*AA192+(1-EXP(-LN(2)/25))/(LN(2)/25)*Calculateur!V193*Calculateur!X193*VLOOKUP('Données projet'!$B$9,Paramètres!$A$1:$I$89,3,0)*0.475*44/12</f>
        <v>0.13360589661391406</v>
      </c>
      <c r="AB193" s="21">
        <f>EXP(-LN(2)/2)*AB192+(1-EXP(-LN(2)/2))/(LN(2)/2)*V193*Y193*VLOOKUP('Données projet'!$B$9,Paramètres!$A$1:$I$89,3,0)*0.475*44/12</f>
        <v>1.7828502315367263E-23</v>
      </c>
      <c r="AC193" s="22">
        <f t="shared" si="163"/>
        <v>0.23490813970486213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243.38048563215585</v>
      </c>
      <c r="AO193" s="59">
        <f t="shared" si="144"/>
        <v>372.1604147006675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0.30739991006908413</v>
      </c>
      <c r="AV193" s="21">
        <f>EXP(-LN(2)/25)*AV192+(1-EXP(-LN(2)/25))/(LN(2)/25)*Calculateur!AQ193*Calculateur!AS193*VLOOKUP('Données projet'!$B$10,Paramètres!$A$1:$I$89,3,0)*0.475*44/12</f>
        <v>0.22928088826138979</v>
      </c>
      <c r="AW193" s="21">
        <f>EXP(-LN(2)/2)*AW192+(1-EXP(-LN(2)/2))/(LN(2)/2)*AQ193*AT193*VLOOKUP('Données projet'!$B$10,Paramètres!$A$1:$I$89,3,0)*0.475*44/12</f>
        <v>2.4248749375298249E-23</v>
      </c>
      <c r="AX193" s="21">
        <f t="shared" si="166"/>
        <v>0.53668079833047388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-5.1159076974727213E-13</v>
      </c>
      <c r="BE193" s="13">
        <f>BD193*VLOOKUP('Données projet'!$B$11,Paramètres!$A$1:$I$89,3,0)*VLOOKUP('Données projet'!$B$11,Paramètres!$A$1:$I$89,5,0)</f>
        <v>-3.4317508834647017E-13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207.93042467236967</v>
      </c>
      <c r="BJ193" s="59">
        <f t="shared" si="146"/>
        <v>250.70954318710835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0.11571161387543638</v>
      </c>
      <c r="BQ193" s="21">
        <f>EXP(-LN(2)/25)*BQ192+(1-EXP(-LN(2)/25))/(LN(2)/25)*Calculateur!BL193*Calculateur!BN193*VLOOKUP('Données projet'!$B$11,Paramètres!$A$1:$I$89,3,0)*0.475*44/12</f>
        <v>0.20486853199939201</v>
      </c>
      <c r="BR193" s="21">
        <f>EXP(-LN(2)/2)*BR192+(1-EXP(-LN(2)/2))/(LN(2)/2)*BL193*BO193*VLOOKUP('Données projet'!$B$11,Paramètres!$A$1:$I$89,3,0)*0.475*44/12</f>
        <v>1.6765466517064634E-23</v>
      </c>
      <c r="BS193" s="22">
        <f t="shared" si="169"/>
        <v>0.32058014587482841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1.7053025658242404E-13</v>
      </c>
      <c r="BZ193" s="13">
        <f>BY193*VLOOKUP('Données projet'!$B$12,Paramètres!$A$1:$I$89,3,0)*VLOOKUP('Données projet'!$B$12,Paramètres!$A$1:$I$89,5,0)</f>
        <v>1.3301360013429075E-13</v>
      </c>
      <c r="CA193" s="13">
        <f t="shared" si="170"/>
        <v>1.9329766731057041E-12</v>
      </c>
      <c r="CB193" s="20">
        <f t="shared" si="171"/>
        <v>3.5982663925596575E-12</v>
      </c>
      <c r="CC193" s="59">
        <f t="shared" si="119"/>
        <v>293.3333333333369</v>
      </c>
      <c r="CD193" s="59">
        <f ca="1">AVERAGE(OFFSET($CC$3,0,0,'Données projet'!$E$12+1,1))-AVERAGE(OFFSET($H$3,0,0,'Données projet'!$E$12+1,1))</f>
        <v>266.30229009596883</v>
      </c>
      <c r="CE193" s="59">
        <f t="shared" si="148"/>
        <v>270.19195828386046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6.0818772791671423E-2</v>
      </c>
      <c r="CL193" s="21">
        <f>EXP(-LN(2)/25)*CL192+(1-EXP(-LN(2)/25))/(LN(2)/25)*Calculateur!CG193*Calculateur!CI193*VLOOKUP('Données projet'!$B$12,Paramètres!$A$1:$I$89,3,0)*0.475*44/12</f>
        <v>9.9122209480432419E-2</v>
      </c>
      <c r="CM193" s="21">
        <f>EXP(-LN(2)/2)*CM192+(1-EXP(-LN(2)/2))/(LN(2)/2)*CG193*CJ193*VLOOKUP('Données projet'!$B$12,Paramètres!$A$1:$I$89,3,0)*0.475*44/12</f>
        <v>1.0812226345590461E-23</v>
      </c>
      <c r="CN193" s="22">
        <f t="shared" si="172"/>
        <v>0.15994098227210385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-5.1159076974727213E-13</v>
      </c>
      <c r="CU193" s="17">
        <f>CT193*VLOOKUP('Données projet'!$B$13,Paramètres!$A$1:$I$89,3,0)*VLOOKUP('Données projet'!$B$13,Paramètres!$A$1:$I$89,5,0)</f>
        <v>-4.0702161641092972E-13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260.20517190557814</v>
      </c>
      <c r="CZ193" s="59">
        <f t="shared" si="150"/>
        <v>307.22009971147133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0.13723935599179674</v>
      </c>
      <c r="DG193" s="21">
        <f>EXP(-LN(2)/25)*DG192+(1-EXP(-LN(2)/25))/(LN(2)/25)*Calculateur!DB193*Calculateur!DD193*VLOOKUP('Données projet'!$B$13,Paramètres!$A$1:$I$89,3,0)*0.475*44/12</f>
        <v>0.24298360772020872</v>
      </c>
      <c r="DH193" s="21">
        <f>EXP(-LN(2)/2)*DH192+(1-EXP(-LN(2)/2))/(LN(2)/2)*DB193*DE193*VLOOKUP('Données projet'!$B$13,Paramètres!$A$1:$I$89,3,0)*0.475*44/12</f>
        <v>1.9884623078378986E-23</v>
      </c>
      <c r="DI193" s="22">
        <f t="shared" si="175"/>
        <v>0.38022296371200548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-3.4106051316484809E-13</v>
      </c>
      <c r="DP193" s="17">
        <f>DO193*VLOOKUP('Données projet'!$B$14,Paramètres!$A$1:$I$89,3,0)*VLOOKUP('Données projet'!$B$14,Paramètres!$A$1:$I$89,5,0)</f>
        <v>-3.2987372833304104E-13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347.8889410585312</v>
      </c>
      <c r="DU193" s="59">
        <f t="shared" si="152"/>
        <v>254.78167322479203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0.1082886046834273</v>
      </c>
      <c r="EB193" s="21">
        <f>EXP(-LN(2)/25)*EB192+(1-EXP(-LN(2)/25))/(LN(2)/25)*Calculateur!DW193*Calculateur!DY193*VLOOKUP('Données projet'!$B$14,Paramètres!$A$1:$I$89,3,0)*0.475*44/12</f>
        <v>0.14282009638039084</v>
      </c>
      <c r="EC193" s="21">
        <f>EXP(-LN(2)/2)*EC192+(1-EXP(-LN(2)/2))/(LN(2)/2)*DW193*DZ193*VLOOKUP('Données projet'!$B$14,Paramètres!$A$1:$I$89,3,0)*0.475*44/12</f>
        <v>1.9058054199185608E-23</v>
      </c>
      <c r="ED193" s="22">
        <f t="shared" si="178"/>
        <v>0.25110870106381811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-3.4106051316484809E-13</v>
      </c>
      <c r="EK193" s="17">
        <f>EJ193*VLOOKUP('Données projet'!$B$15,Paramètres!$A$1:$I$89,3,0)*VLOOKUP('Données projet'!$B$15,Paramètres!$A$1:$I$89,5,0)</f>
        <v>-3.6711753637064249E-13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399.38728019348088</v>
      </c>
      <c r="EP193" s="59">
        <f t="shared" si="154"/>
        <v>289.54922160039791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0.12051473747026589</v>
      </c>
      <c r="EW193" s="21">
        <f>EXP(-LN(2)/25)*EW192+(1-EXP(-LN(2)/25))/(LN(2)/25)*Calculateur!ER193*Calculateur!ET193*VLOOKUP('Données projet'!$B$15,Paramètres!$A$1:$I$89,3,0)*0.475*44/12</f>
        <v>0.15894494597172554</v>
      </c>
      <c r="EX193" s="21">
        <f>EXP(-LN(2)/2)*EX192+(1-EXP(-LN(2)/2))/(LN(2)/2)*ER193*EU193*VLOOKUP('Données projet'!$B$15,Paramètres!$A$1:$I$89,3,0)*0.475*44/12</f>
        <v>2.1209769995867855E-23</v>
      </c>
      <c r="EY193" s="22">
        <f t="shared" si="181"/>
        <v>0.27945968344199146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-3.0859155231155454E-13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318.40875902853116</v>
      </c>
      <c r="T194" s="59">
        <f t="shared" si="142"/>
        <v>234.87694492493506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9.9315767892201798E-2</v>
      </c>
      <c r="AA194" s="21">
        <f>EXP(-LN(2)/25)*AA193+(1-EXP(-LN(2)/25))/(LN(2)/25)*Calculateur!V194*Calculateur!X194*VLOOKUP('Données projet'!$B$9,Paramètres!$A$1:$I$89,3,0)*0.475*44/12</f>
        <v>0.12995243634497783</v>
      </c>
      <c r="AB194" s="21">
        <f>EXP(-LN(2)/2)*AB193+(1-EXP(-LN(2)/2))/(LN(2)/2)*V194*Y194*VLOOKUP('Données projet'!$B$9,Paramètres!$A$1:$I$89,3,0)*0.475*44/12</f>
        <v>1.2606654885596255E-23</v>
      </c>
      <c r="AC194" s="22">
        <f t="shared" si="163"/>
        <v>0.22926820423717964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243.38048563215585</v>
      </c>
      <c r="AO194" s="59">
        <f t="shared" si="144"/>
        <v>372.1604147006675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0.30137198532806087</v>
      </c>
      <c r="AV194" s="21">
        <f>EXP(-LN(2)/25)*AV193+(1-EXP(-LN(2)/25))/(LN(2)/25)*Calculateur!AQ194*Calculateur!AS194*VLOOKUP('Données projet'!$B$10,Paramètres!$A$1:$I$89,3,0)*0.475*44/12</f>
        <v>0.22301119031452421</v>
      </c>
      <c r="AW194" s="21">
        <f>EXP(-LN(2)/2)*AW193+(1-EXP(-LN(2)/2))/(LN(2)/2)*AQ194*AT194*VLOOKUP('Données projet'!$B$10,Paramètres!$A$1:$I$89,3,0)*0.475*44/12</f>
        <v>1.714645511856645E-23</v>
      </c>
      <c r="AX194" s="21">
        <f t="shared" si="166"/>
        <v>0.52438317564258508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-5.1159076974727213E-13</v>
      </c>
      <c r="BE194" s="13">
        <f>BD194*VLOOKUP('Données projet'!$B$11,Paramètres!$A$1:$I$89,3,0)*VLOOKUP('Données projet'!$B$11,Paramètres!$A$1:$I$89,5,0)</f>
        <v>-3.4317508834647017E-13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207.93042467236967</v>
      </c>
      <c r="BJ194" s="59">
        <f t="shared" si="146"/>
        <v>250.70954318710835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0.11344257970445462</v>
      </c>
      <c r="BQ194" s="21">
        <f>EXP(-LN(2)/25)*BQ193+(1-EXP(-LN(2)/25))/(LN(2)/25)*Calculateur!BL194*Calculateur!BN194*VLOOKUP('Données projet'!$B$11,Paramètres!$A$1:$I$89,3,0)*0.475*44/12</f>
        <v>0.19926639121830075</v>
      </c>
      <c r="BR194" s="21">
        <f>EXP(-LN(2)/2)*BR193+(1-EXP(-LN(2)/2))/(LN(2)/2)*BL194*BO194*VLOOKUP('Données projet'!$B$11,Paramètres!$A$1:$I$89,3,0)*0.475*44/12</f>
        <v>1.1854975063972411E-23</v>
      </c>
      <c r="BS194" s="22">
        <f t="shared" si="169"/>
        <v>0.3127089709227554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1.7053025658242404E-13</v>
      </c>
      <c r="BZ194" s="13">
        <f>BY194*VLOOKUP('Données projet'!$B$12,Paramètres!$A$1:$I$89,3,0)*VLOOKUP('Données projet'!$B$12,Paramètres!$A$1:$I$89,5,0)</f>
        <v>1.3301360013429075E-13</v>
      </c>
      <c r="CA194" s="13">
        <f t="shared" si="170"/>
        <v>1.9329766731057041E-12</v>
      </c>
      <c r="CB194" s="20">
        <f t="shared" si="171"/>
        <v>3.5982663925596575E-12</v>
      </c>
      <c r="CC194" s="59">
        <f t="shared" si="119"/>
        <v>293.3333333333369</v>
      </c>
      <c r="CD194" s="59">
        <f ca="1">AVERAGE(OFFSET($CC$3,0,0,'Données projet'!$E$12+1,1))-AVERAGE(OFFSET($H$3,0,0,'Données projet'!$E$12+1,1))</f>
        <v>266.30229009596883</v>
      </c>
      <c r="CE194" s="59">
        <f t="shared" si="148"/>
        <v>270.19195828386046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5.9626153753015242E-2</v>
      </c>
      <c r="CL194" s="21">
        <f>EXP(-LN(2)/25)*CL193+(1-EXP(-LN(2)/25))/(LN(2)/25)*Calculateur!CG194*Calculateur!CI194*VLOOKUP('Données projet'!$B$12,Paramètres!$A$1:$I$89,3,0)*0.475*44/12</f>
        <v>9.641170744957954E-2</v>
      </c>
      <c r="CM194" s="21">
        <f>EXP(-LN(2)/2)*CM193+(1-EXP(-LN(2)/2))/(LN(2)/2)*CG194*CJ194*VLOOKUP('Données projet'!$B$12,Paramètres!$A$1:$I$89,3,0)*0.475*44/12</f>
        <v>7.6453985686908586E-24</v>
      </c>
      <c r="CN194" s="22">
        <f t="shared" si="172"/>
        <v>0.15603786120259477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-5.1159076974727213E-13</v>
      </c>
      <c r="CU194" s="17">
        <f>CT194*VLOOKUP('Données projet'!$B$13,Paramètres!$A$1:$I$89,3,0)*VLOOKUP('Données projet'!$B$13,Paramètres!$A$1:$I$89,5,0)</f>
        <v>-4.0702161641092972E-13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260.20517190557814</v>
      </c>
      <c r="CZ194" s="59">
        <f t="shared" si="150"/>
        <v>307.22009971147133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0.13454817592853929</v>
      </c>
      <c r="DG194" s="21">
        <f>EXP(-LN(2)/25)*DG193+(1-EXP(-LN(2)/25))/(LN(2)/25)*Calculateur!DB194*Calculateur!DD194*VLOOKUP('Données projet'!$B$13,Paramètres!$A$1:$I$89,3,0)*0.475*44/12</f>
        <v>0.23633920818914703</v>
      </c>
      <c r="DH194" s="21">
        <f>EXP(-LN(2)/2)*DH193+(1-EXP(-LN(2)/2))/(LN(2)/2)*DB194*DE194*VLOOKUP('Données projet'!$B$13,Paramètres!$A$1:$I$89,3,0)*0.475*44/12</f>
        <v>1.4060551820060303E-23</v>
      </c>
      <c r="DI194" s="22">
        <f t="shared" si="175"/>
        <v>0.37088738411768629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-3.4106051316484809E-13</v>
      </c>
      <c r="DP194" s="17">
        <f>DO194*VLOOKUP('Données projet'!$B$14,Paramètres!$A$1:$I$89,3,0)*VLOOKUP('Données projet'!$B$14,Paramètres!$A$1:$I$89,5,0)</f>
        <v>-3.2987372833304104E-13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347.8889410585312</v>
      </c>
      <c r="DU194" s="59">
        <f t="shared" si="152"/>
        <v>254.78167322479203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0.1061651311951123</v>
      </c>
      <c r="EB194" s="21">
        <f>EXP(-LN(2)/25)*EB193+(1-EXP(-LN(2)/25))/(LN(2)/25)*Calculateur!DW194*Calculateur!DY194*VLOOKUP('Données projet'!$B$14,Paramètres!$A$1:$I$89,3,0)*0.475*44/12</f>
        <v>0.13891467333428661</v>
      </c>
      <c r="EC194" s="21">
        <f>EXP(-LN(2)/2)*EC193+(1-EXP(-LN(2)/2))/(LN(2)/2)*DW194*DZ194*VLOOKUP('Données projet'!$B$14,Paramètres!$A$1:$I$89,3,0)*0.475*44/12</f>
        <v>1.34760793604649E-23</v>
      </c>
      <c r="ED194" s="22">
        <f t="shared" si="178"/>
        <v>0.24507980452939893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-3.4106051316484809E-13</v>
      </c>
      <c r="EK194" s="17">
        <f>EJ194*VLOOKUP('Données projet'!$B$15,Paramètres!$A$1:$I$89,3,0)*VLOOKUP('Données projet'!$B$15,Paramètres!$A$1:$I$89,5,0)</f>
        <v>-3.6711753637064249E-13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399.38728019348088</v>
      </c>
      <c r="EP194" s="59">
        <f t="shared" si="154"/>
        <v>289.54922160039791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0.11815151697520565</v>
      </c>
      <c r="EW194" s="21">
        <f>EXP(-LN(2)/25)*EW193+(1-EXP(-LN(2)/25))/(LN(2)/25)*Calculateur!ER194*Calculateur!ET194*VLOOKUP('Données projet'!$B$15,Paramètres!$A$1:$I$89,3,0)*0.475*44/12</f>
        <v>0.15459858806557727</v>
      </c>
      <c r="EX194" s="21">
        <f>EXP(-LN(2)/2)*EX193+(1-EXP(-LN(2)/2))/(LN(2)/2)*ER194*EU194*VLOOKUP('Données projet'!$B$15,Paramètres!$A$1:$I$89,3,0)*0.475*44/12</f>
        <v>1.4997572191485132E-23</v>
      </c>
      <c r="EY194" s="22">
        <f t="shared" si="181"/>
        <v>0.2727501050407829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-3.0859155231155454E-13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318.40875902853116</v>
      </c>
      <c r="T195" s="59">
        <f t="shared" si="142"/>
        <v>234.87694492493506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9.7368246260472691E-2</v>
      </c>
      <c r="AA195" s="21">
        <f>EXP(-LN(2)/25)*AA194+(1-EXP(-LN(2)/25))/(LN(2)/25)*Calculateur!V195*Calculateur!X195*VLOOKUP('Données projet'!$B$9,Paramètres!$A$1:$I$89,3,0)*0.475*44/12</f>
        <v>0.12639888013922279</v>
      </c>
      <c r="AB195" s="21">
        <f>EXP(-LN(2)/2)*AB194+(1-EXP(-LN(2)/2))/(LN(2)/2)*V195*Y195*VLOOKUP('Données projet'!$B$9,Paramètres!$A$1:$I$89,3,0)*0.475*44/12</f>
        <v>8.9142511576836316E-24</v>
      </c>
      <c r="AC195" s="22">
        <f t="shared" si="163"/>
        <v>0.22376712639969548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243.38048563215585</v>
      </c>
      <c r="AO195" s="59">
        <f t="shared" si="144"/>
        <v>372.1604147006675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0.29546226451453805</v>
      </c>
      <c r="AV195" s="21">
        <f>EXP(-LN(2)/25)*AV194+(1-EXP(-LN(2)/25))/(LN(2)/25)*Calculateur!AQ195*Calculateur!AS195*VLOOKUP('Données projet'!$B$10,Paramètres!$A$1:$I$89,3,0)*0.475*44/12</f>
        <v>0.21691293758772476</v>
      </c>
      <c r="AW195" s="21">
        <f>EXP(-LN(2)/2)*AW194+(1-EXP(-LN(2)/2))/(LN(2)/2)*AQ195*AT195*VLOOKUP('Données projet'!$B$10,Paramètres!$A$1:$I$89,3,0)*0.475*44/12</f>
        <v>1.2124374687649124E-23</v>
      </c>
      <c r="AX195" s="21">
        <f t="shared" si="166"/>
        <v>0.51237520210226284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-5.1159076974727213E-13</v>
      </c>
      <c r="BE195" s="13">
        <f>BD195*VLOOKUP('Données projet'!$B$11,Paramètres!$A$1:$I$89,3,0)*VLOOKUP('Données projet'!$B$11,Paramètres!$A$1:$I$89,5,0)</f>
        <v>-3.4317508834647017E-13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207.93042467236967</v>
      </c>
      <c r="BJ195" s="59">
        <f t="shared" si="146"/>
        <v>250.70954318710835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0.11121803990959163</v>
      </c>
      <c r="BQ195" s="21">
        <f>EXP(-LN(2)/25)*BQ194+(1-EXP(-LN(2)/25))/(LN(2)/25)*Calculateur!BL195*Calculateur!BN195*VLOOKUP('Données projet'!$B$11,Paramètres!$A$1:$I$89,3,0)*0.475*44/12</f>
        <v>0.19381744127147224</v>
      </c>
      <c r="BR195" s="21">
        <f>EXP(-LN(2)/2)*BR194+(1-EXP(-LN(2)/2))/(LN(2)/2)*BL195*BO195*VLOOKUP('Données projet'!$B$11,Paramètres!$A$1:$I$89,3,0)*0.475*44/12</f>
        <v>8.382733258532317E-24</v>
      </c>
      <c r="BS195" s="22">
        <f t="shared" si="169"/>
        <v>0.30503548118106388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1.7053025658242404E-13</v>
      </c>
      <c r="BZ195" s="13">
        <f>BY195*VLOOKUP('Données projet'!$B$12,Paramètres!$A$1:$I$89,3,0)*VLOOKUP('Données projet'!$B$12,Paramètres!$A$1:$I$89,5,0)</f>
        <v>1.3301360013429075E-13</v>
      </c>
      <c r="CA195" s="13">
        <f t="shared" si="170"/>
        <v>1.9329766731057041E-12</v>
      </c>
      <c r="CB195" s="20">
        <f t="shared" si="171"/>
        <v>3.5982663925596575E-12</v>
      </c>
      <c r="CC195" s="59">
        <f t="shared" si="119"/>
        <v>293.3333333333369</v>
      </c>
      <c r="CD195" s="59">
        <f ca="1">AVERAGE(OFFSET($CC$3,0,0,'Données projet'!$E$12+1,1))-AVERAGE(OFFSET($H$3,0,0,'Données projet'!$E$12+1,1))</f>
        <v>266.30229009596883</v>
      </c>
      <c r="CE195" s="59">
        <f t="shared" si="148"/>
        <v>270.19195828386046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5.8456921246281324E-2</v>
      </c>
      <c r="CL195" s="21">
        <f>EXP(-LN(2)/25)*CL194+(1-EXP(-LN(2)/25))/(LN(2)/25)*Calculateur!CG195*Calculateur!CI195*VLOOKUP('Données projet'!$B$12,Paramètres!$A$1:$I$89,3,0)*0.475*44/12</f>
        <v>9.3775324239299448E-2</v>
      </c>
      <c r="CM195" s="21">
        <f>EXP(-LN(2)/2)*CM194+(1-EXP(-LN(2)/2))/(LN(2)/2)*CG195*CJ195*VLOOKUP('Données projet'!$B$12,Paramètres!$A$1:$I$89,3,0)*0.475*44/12</f>
        <v>5.4061131727952307E-24</v>
      </c>
      <c r="CN195" s="22">
        <f t="shared" si="172"/>
        <v>0.15223224548558079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-5.1159076974727213E-13</v>
      </c>
      <c r="CU195" s="17">
        <f>CT195*VLOOKUP('Données projet'!$B$13,Paramètres!$A$1:$I$89,3,0)*VLOOKUP('Données projet'!$B$13,Paramètres!$A$1:$I$89,5,0)</f>
        <v>-4.0702161641092972E-13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260.20517190557814</v>
      </c>
      <c r="CZ195" s="59">
        <f t="shared" si="150"/>
        <v>307.22009971147133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0.13190976826486459</v>
      </c>
      <c r="DG195" s="21">
        <f>EXP(-LN(2)/25)*DG194+(1-EXP(-LN(2)/25))/(LN(2)/25)*Calculateur!DB195*Calculateur!DD195*VLOOKUP('Données projet'!$B$13,Paramètres!$A$1:$I$89,3,0)*0.475*44/12</f>
        <v>0.22987650011267599</v>
      </c>
      <c r="DH195" s="21">
        <f>EXP(-LN(2)/2)*DH194+(1-EXP(-LN(2)/2))/(LN(2)/2)*DB195*DE195*VLOOKUP('Données projet'!$B$13,Paramètres!$A$1:$I$89,3,0)*0.475*44/12</f>
        <v>9.942311539189493E-24</v>
      </c>
      <c r="DI195" s="22">
        <f t="shared" si="175"/>
        <v>0.36178626837754058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-3.4106051316484809E-13</v>
      </c>
      <c r="DP195" s="17">
        <f>DO195*VLOOKUP('Données projet'!$B$14,Paramètres!$A$1:$I$89,3,0)*VLOOKUP('Données projet'!$B$14,Paramètres!$A$1:$I$89,5,0)</f>
        <v>-3.2987372833304104E-13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347.8889410585312</v>
      </c>
      <c r="DU195" s="59">
        <f t="shared" si="152"/>
        <v>254.78167322479203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0.10408329772671221</v>
      </c>
      <c r="EB195" s="21">
        <f>EXP(-LN(2)/25)*EB194+(1-EXP(-LN(2)/25))/(LN(2)/25)*Calculateur!DW195*Calculateur!DY195*VLOOKUP('Données projet'!$B$14,Paramètres!$A$1:$I$89,3,0)*0.475*44/12</f>
        <v>0.13511604428675536</v>
      </c>
      <c r="EC195" s="21">
        <f>EXP(-LN(2)/2)*EC194+(1-EXP(-LN(2)/2))/(LN(2)/2)*DW195*DZ195*VLOOKUP('Données projet'!$B$14,Paramètres!$A$1:$I$89,3,0)*0.475*44/12</f>
        <v>9.5290270995928038E-24</v>
      </c>
      <c r="ED195" s="22">
        <f t="shared" si="178"/>
        <v>0.23919934201346757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-3.4106051316484809E-13</v>
      </c>
      <c r="EK195" s="17">
        <f>EJ195*VLOOKUP('Données projet'!$B$15,Paramètres!$A$1:$I$89,3,0)*VLOOKUP('Données projet'!$B$15,Paramètres!$A$1:$I$89,5,0)</f>
        <v>-3.6711753637064249E-13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399.38728019348088</v>
      </c>
      <c r="EP195" s="59">
        <f t="shared" si="154"/>
        <v>289.54922160039791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0.11583463779263137</v>
      </c>
      <c r="EW195" s="21">
        <f>EXP(-LN(2)/25)*EW194+(1-EXP(-LN(2)/25))/(LN(2)/25)*Calculateur!ER195*Calculateur!ET195*VLOOKUP('Données projet'!$B$15,Paramètres!$A$1:$I$89,3,0)*0.475*44/12</f>
        <v>0.15037108154493767</v>
      </c>
      <c r="EX195" s="21">
        <f>EXP(-LN(2)/2)*EX194+(1-EXP(-LN(2)/2))/(LN(2)/2)*ER195*EU195*VLOOKUP('Données projet'!$B$15,Paramètres!$A$1:$I$89,3,0)*0.475*44/12</f>
        <v>1.0604884997933928E-23</v>
      </c>
      <c r="EY195" s="22">
        <f t="shared" si="181"/>
        <v>0.26620571933756904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-3.0859155231155454E-13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318.40875902853116</v>
      </c>
      <c r="T196" s="59">
        <f t="shared" si="142"/>
        <v>234.87694492493506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9.545891434007088E-2</v>
      </c>
      <c r="AA196" s="21">
        <f>EXP(-LN(2)/25)*AA195+(1-EXP(-LN(2)/25))/(LN(2)/25)*Calculateur!V196*Calculateur!X196*VLOOKUP('Données projet'!$B$9,Paramètres!$A$1:$I$89,3,0)*0.475*44/12</f>
        <v>0.12294249611478753</v>
      </c>
      <c r="AB196" s="21">
        <f>EXP(-LN(2)/2)*AB195+(1-EXP(-LN(2)/2))/(LN(2)/2)*V196*Y196*VLOOKUP('Données projet'!$B$9,Paramètres!$A$1:$I$89,3,0)*0.475*44/12</f>
        <v>6.3033274427981277E-24</v>
      </c>
      <c r="AC196" s="22">
        <f t="shared" si="163"/>
        <v>0.21840141045485839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243.38048563215585</v>
      </c>
      <c r="AO196" s="59">
        <f t="shared" si="144"/>
        <v>372.1604147006675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0.28966842972159462</v>
      </c>
      <c r="AV196" s="21">
        <f>EXP(-LN(2)/25)*AV195+(1-EXP(-LN(2)/25))/(LN(2)/25)*Calculateur!AQ196*Calculateur!AS196*VLOOKUP('Données projet'!$B$10,Paramètres!$A$1:$I$89,3,0)*0.475*44/12</f>
        <v>0.21098144190243279</v>
      </c>
      <c r="AW196" s="21">
        <f>EXP(-LN(2)/2)*AW195+(1-EXP(-LN(2)/2))/(LN(2)/2)*AQ196*AT196*VLOOKUP('Données projet'!$B$10,Paramètres!$A$1:$I$89,3,0)*0.475*44/12</f>
        <v>8.5732275592832248E-24</v>
      </c>
      <c r="AX196" s="21">
        <f t="shared" si="166"/>
        <v>0.50064987162402741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-5.1159076974727213E-13</v>
      </c>
      <c r="BE196" s="13">
        <f>BD196*VLOOKUP('Données projet'!$B$11,Paramètres!$A$1:$I$89,3,0)*VLOOKUP('Données projet'!$B$11,Paramètres!$A$1:$I$89,5,0)</f>
        <v>-3.4317508834647017E-13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207.93042467236967</v>
      </c>
      <c r="BJ196" s="59">
        <f t="shared" si="146"/>
        <v>250.70954318710835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0.1090371219832706</v>
      </c>
      <c r="BQ196" s="21">
        <f>EXP(-LN(2)/25)*BQ195+(1-EXP(-LN(2)/25))/(LN(2)/25)*Calculateur!BL196*Calculateur!BN196*VLOOKUP('Données projet'!$B$11,Paramètres!$A$1:$I$89,3,0)*0.475*44/12</f>
        <v>0.18851749314748756</v>
      </c>
      <c r="BR196" s="21">
        <f>EXP(-LN(2)/2)*BR195+(1-EXP(-LN(2)/2))/(LN(2)/2)*BL196*BO196*VLOOKUP('Données projet'!$B$11,Paramètres!$A$1:$I$89,3,0)*0.475*44/12</f>
        <v>5.9274875319862057E-24</v>
      </c>
      <c r="BS196" s="22">
        <f t="shared" si="169"/>
        <v>0.29755461513075815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1.7053025658242404E-13</v>
      </c>
      <c r="BZ196" s="13">
        <f>BY196*VLOOKUP('Données projet'!$B$12,Paramètres!$A$1:$I$89,3,0)*VLOOKUP('Données projet'!$B$12,Paramètres!$A$1:$I$89,5,0)</f>
        <v>1.3301360013429075E-13</v>
      </c>
      <c r="CA196" s="13">
        <f t="shared" si="170"/>
        <v>1.9329766731057041E-12</v>
      </c>
      <c r="CB196" s="20">
        <f t="shared" si="171"/>
        <v>3.5982663925596575E-12</v>
      </c>
      <c r="CC196" s="59">
        <f t="shared" ref="CC196:CC203" si="195">CB196+(BT196+BU196)*44/12</f>
        <v>293.3333333333369</v>
      </c>
      <c r="CD196" s="59">
        <f ca="1">AVERAGE(OFFSET($CC$3,0,0,'Données projet'!$E$12+1,1))-AVERAGE(OFFSET($H$3,0,0,'Données projet'!$E$12+1,1))</f>
        <v>266.30229009596883</v>
      </c>
      <c r="CE196" s="59">
        <f t="shared" si="148"/>
        <v>270.19195828386046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5.731061667584305E-2</v>
      </c>
      <c r="CL196" s="21">
        <f>EXP(-LN(2)/25)*CL195+(1-EXP(-LN(2)/25))/(LN(2)/25)*Calculateur!CG196*Calculateur!CI196*VLOOKUP('Données projet'!$B$12,Paramètres!$A$1:$I$89,3,0)*0.475*44/12</f>
        <v>9.1211033066545835E-2</v>
      </c>
      <c r="CM196" s="21">
        <f>EXP(-LN(2)/2)*CM195+(1-EXP(-LN(2)/2))/(LN(2)/2)*CG196*CJ196*VLOOKUP('Données projet'!$B$12,Paramètres!$A$1:$I$89,3,0)*0.475*44/12</f>
        <v>3.8226992843454293E-24</v>
      </c>
      <c r="CN196" s="22">
        <f t="shared" si="172"/>
        <v>0.14852164974238888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-5.1159076974727213E-13</v>
      </c>
      <c r="CU196" s="17">
        <f>CT196*VLOOKUP('Données projet'!$B$13,Paramètres!$A$1:$I$89,3,0)*VLOOKUP('Données projet'!$B$13,Paramètres!$A$1:$I$89,5,0)</f>
        <v>-4.0702161641092972E-13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260.20517190557814</v>
      </c>
      <c r="CZ196" s="59">
        <f t="shared" si="150"/>
        <v>307.22009971147133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0.12932309816620477</v>
      </c>
      <c r="DG196" s="21">
        <f>EXP(-LN(2)/25)*DG195+(1-EXP(-LN(2)/25))/(LN(2)/25)*Calculateur!DB196*Calculateur!DD196*VLOOKUP('Données projet'!$B$13,Paramètres!$A$1:$I$89,3,0)*0.475*44/12</f>
        <v>0.2235905151284151</v>
      </c>
      <c r="DH196" s="21">
        <f>EXP(-LN(2)/2)*DH195+(1-EXP(-LN(2)/2))/(LN(2)/2)*DB196*DE196*VLOOKUP('Données projet'!$B$13,Paramètres!$A$1:$I$89,3,0)*0.475*44/12</f>
        <v>7.0302759100301513E-24</v>
      </c>
      <c r="DI196" s="22">
        <f t="shared" si="175"/>
        <v>0.3529136132946199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-3.4106051316484809E-13</v>
      </c>
      <c r="DP196" s="17">
        <f>DO196*VLOOKUP('Données projet'!$B$14,Paramètres!$A$1:$I$89,3,0)*VLOOKUP('Données projet'!$B$14,Paramètres!$A$1:$I$89,5,0)</f>
        <v>-3.2987372833304104E-13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347.8889410585312</v>
      </c>
      <c r="DU196" s="59">
        <f t="shared" si="152"/>
        <v>254.78167322479203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0.10204228774283441</v>
      </c>
      <c r="EB196" s="21">
        <f>EXP(-LN(2)/25)*EB195+(1-EXP(-LN(2)/25))/(LN(2)/25)*Calculateur!DW196*Calculateur!DY196*VLOOKUP('Données projet'!$B$14,Paramètres!$A$1:$I$89,3,0)*0.475*44/12</f>
        <v>0.13142128895029007</v>
      </c>
      <c r="EC196" s="21">
        <f>EXP(-LN(2)/2)*EC195+(1-EXP(-LN(2)/2))/(LN(2)/2)*DW196*DZ196*VLOOKUP('Données projet'!$B$14,Paramètres!$A$1:$I$89,3,0)*0.475*44/12</f>
        <v>6.7380396802324502E-24</v>
      </c>
      <c r="ED196" s="22">
        <f t="shared" si="178"/>
        <v>0.23346357669312448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-3.4106051316484809E-13</v>
      </c>
      <c r="EK196" s="17">
        <f>EJ196*VLOOKUP('Données projet'!$B$15,Paramètres!$A$1:$I$89,3,0)*VLOOKUP('Données projet'!$B$15,Paramètres!$A$1:$I$89,5,0)</f>
        <v>-3.6711753637064249E-13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399.38728019348088</v>
      </c>
      <c r="EP196" s="59">
        <f t="shared" si="154"/>
        <v>289.54922160039791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0.1135631911976706</v>
      </c>
      <c r="EW196" s="21">
        <f>EXP(-LN(2)/25)*EW195+(1-EXP(-LN(2)/25))/(LN(2)/25)*Calculateur!ER196*Calculateur!ET196*VLOOKUP('Données projet'!$B$15,Paramètres!$A$1:$I$89,3,0)*0.475*44/12</f>
        <v>0.14625917641241984</v>
      </c>
      <c r="EX196" s="21">
        <f>EXP(-LN(2)/2)*EX195+(1-EXP(-LN(2)/2))/(LN(2)/2)*ER196*EU196*VLOOKUP('Données projet'!$B$15,Paramètres!$A$1:$I$89,3,0)*0.475*44/12</f>
        <v>7.4987860957425662E-24</v>
      </c>
      <c r="EY196" s="22">
        <f t="shared" si="181"/>
        <v>0.25982236761009042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-3.0859155231155454E-13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318.40875902853116</v>
      </c>
      <c r="T197" s="59">
        <f t="shared" ref="T197:T203" si="204">$T$3</f>
        <v>234.87694492493506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9.3587023254050675E-2</v>
      </c>
      <c r="AA197" s="21">
        <f>EXP(-LN(2)/25)*AA196+(1-EXP(-LN(2)/25))/(LN(2)/25)*Calculateur!V197*Calculateur!X197*VLOOKUP('Données projet'!$B$9,Paramètres!$A$1:$I$89,3,0)*0.475*44/12</f>
        <v>0.11958062709326378</v>
      </c>
      <c r="AB197" s="21">
        <f>EXP(-LN(2)/2)*AB196+(1-EXP(-LN(2)/2))/(LN(2)/2)*V197*Y197*VLOOKUP('Données projet'!$B$9,Paramètres!$A$1:$I$89,3,0)*0.475*44/12</f>
        <v>4.4571255788418158E-24</v>
      </c>
      <c r="AC197" s="22">
        <f t="shared" si="163"/>
        <v>0.21316765034731444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243.38048563215585</v>
      </c>
      <c r="AO197" s="59">
        <f t="shared" ref="AO197:AO203" si="205">$AO$3</f>
        <v>372.1604147006675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0.28398820849505058</v>
      </c>
      <c r="AV197" s="21">
        <f>EXP(-LN(2)/25)*AV196+(1-EXP(-LN(2)/25))/(LN(2)/25)*Calculateur!AQ197*Calculateur!AS197*VLOOKUP('Données projet'!$B$10,Paramètres!$A$1:$I$89,3,0)*0.475*44/12</f>
        <v>0.20521214327857895</v>
      </c>
      <c r="AW197" s="21">
        <f>EXP(-LN(2)/2)*AW196+(1-EXP(-LN(2)/2))/(LN(2)/2)*AQ197*AT197*VLOOKUP('Données projet'!$B$10,Paramètres!$A$1:$I$89,3,0)*0.475*44/12</f>
        <v>6.0621873438245622E-24</v>
      </c>
      <c r="AX197" s="21">
        <f t="shared" si="166"/>
        <v>0.48920035177362953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-5.1159076974727213E-13</v>
      </c>
      <c r="BE197" s="13">
        <f>BD197*VLOOKUP('Données projet'!$B$11,Paramètres!$A$1:$I$89,3,0)*VLOOKUP('Données projet'!$B$11,Paramètres!$A$1:$I$89,5,0)</f>
        <v>-3.4317508834647017E-13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207.93042467236967</v>
      </c>
      <c r="BJ197" s="59">
        <f t="shared" ref="BJ197:BJ203" si="206">$BJ$3</f>
        <v>250.70954318710835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0.10689897052725615</v>
      </c>
      <c r="BQ197" s="21">
        <f>EXP(-LN(2)/25)*BQ196+(1-EXP(-LN(2)/25))/(LN(2)/25)*Calculateur!BL197*Calculateur!BN197*VLOOKUP('Données projet'!$B$11,Paramètres!$A$1:$I$89,3,0)*0.475*44/12</f>
        <v>0.1833624723836654</v>
      </c>
      <c r="BR197" s="21">
        <f>EXP(-LN(2)/2)*BR196+(1-EXP(-LN(2)/2))/(LN(2)/2)*BL197*BO197*VLOOKUP('Données projet'!$B$11,Paramètres!$A$1:$I$89,3,0)*0.475*44/12</f>
        <v>4.1913666292661585E-24</v>
      </c>
      <c r="BS197" s="22">
        <f t="shared" si="169"/>
        <v>0.29026144291092154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1.7053025658242404E-13</v>
      </c>
      <c r="BZ197" s="13">
        <f>BY197*VLOOKUP('Données projet'!$B$12,Paramètres!$A$1:$I$89,3,0)*VLOOKUP('Données projet'!$B$12,Paramètres!$A$1:$I$89,5,0)</f>
        <v>1.3301360013429075E-13</v>
      </c>
      <c r="CA197" s="13">
        <f t="shared" si="170"/>
        <v>1.9329766731057041E-12</v>
      </c>
      <c r="CB197" s="20">
        <f t="shared" si="171"/>
        <v>3.5982663925596575E-12</v>
      </c>
      <c r="CC197" s="59">
        <f t="shared" si="195"/>
        <v>293.3333333333369</v>
      </c>
      <c r="CD197" s="59">
        <f ca="1">AVERAGE(OFFSET($CC$3,0,0,'Données projet'!$E$12+1,1))-AVERAGE(OFFSET($H$3,0,0,'Données projet'!$E$12+1,1))</f>
        <v>266.30229009596883</v>
      </c>
      <c r="CE197" s="59">
        <f t="shared" ref="CE197:CE203" si="207">$CE$3</f>
        <v>270.19195828386046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5.6186790438854321E-2</v>
      </c>
      <c r="CL197" s="21">
        <f>EXP(-LN(2)/25)*CL196+(1-EXP(-LN(2)/25))/(LN(2)/25)*Calculateur!CG197*Calculateur!CI197*VLOOKUP('Données projet'!$B$12,Paramètres!$A$1:$I$89,3,0)*0.475*44/12</f>
        <v>8.8716862570761376E-2</v>
      </c>
      <c r="CM197" s="21">
        <f>EXP(-LN(2)/2)*CM196+(1-EXP(-LN(2)/2))/(LN(2)/2)*CG197*CJ197*VLOOKUP('Données projet'!$B$12,Paramètres!$A$1:$I$89,3,0)*0.475*44/12</f>
        <v>2.7030565863976154E-24</v>
      </c>
      <c r="CN197" s="22">
        <f t="shared" si="172"/>
        <v>0.14490365300961569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-5.1159076974727213E-13</v>
      </c>
      <c r="CU197" s="17">
        <f>CT197*VLOOKUP('Données projet'!$B$13,Paramètres!$A$1:$I$89,3,0)*VLOOKUP('Données projet'!$B$13,Paramètres!$A$1:$I$89,5,0)</f>
        <v>-4.0702161641092972E-13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260.20517190557814</v>
      </c>
      <c r="CZ197" s="59">
        <f t="shared" ref="CZ197:CZ203" si="208">$CZ$3</f>
        <v>307.22009971147133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0.1267871510904667</v>
      </c>
      <c r="DG197" s="21">
        <f>EXP(-LN(2)/25)*DG196+(1-EXP(-LN(2)/25))/(LN(2)/25)*Calculateur!DB197*Calculateur!DD197*VLOOKUP('Données projet'!$B$13,Paramètres!$A$1:$I$89,3,0)*0.475*44/12</f>
        <v>0.21747642073411441</v>
      </c>
      <c r="DH197" s="21">
        <f>EXP(-LN(2)/2)*DH196+(1-EXP(-LN(2)/2))/(LN(2)/2)*DB197*DE197*VLOOKUP('Données projet'!$B$13,Paramètres!$A$1:$I$89,3,0)*0.475*44/12</f>
        <v>4.9711557695947465E-24</v>
      </c>
      <c r="DI197" s="22">
        <f t="shared" si="175"/>
        <v>0.34426357182458112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-3.4106051316484809E-13</v>
      </c>
      <c r="DP197" s="17">
        <f>DO197*VLOOKUP('Données projet'!$B$14,Paramètres!$A$1:$I$89,3,0)*VLOOKUP('Données projet'!$B$14,Paramètres!$A$1:$I$89,5,0)</f>
        <v>-3.2987372833304104E-13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347.8889410585312</v>
      </c>
      <c r="DU197" s="59">
        <f t="shared" ref="DU197:DU203" si="209">$DU$3</f>
        <v>254.78167322479203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0.10004130071984731</v>
      </c>
      <c r="EB197" s="21">
        <f>EXP(-LN(2)/25)*EB196+(1-EXP(-LN(2)/25))/(LN(2)/25)*Calculateur!DW197*Calculateur!DY197*VLOOKUP('Données projet'!$B$14,Paramètres!$A$1:$I$89,3,0)*0.475*44/12</f>
        <v>0.12782756689279917</v>
      </c>
      <c r="EC197" s="21">
        <f>EXP(-LN(2)/2)*EC196+(1-EXP(-LN(2)/2))/(LN(2)/2)*DW197*DZ197*VLOOKUP('Données projet'!$B$14,Paramètres!$A$1:$I$89,3,0)*0.475*44/12</f>
        <v>4.7645135497964019E-24</v>
      </c>
      <c r="ED197" s="22">
        <f t="shared" si="178"/>
        <v>0.22786886761264646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-3.4106051316484809E-13</v>
      </c>
      <c r="EK197" s="17">
        <f>EJ197*VLOOKUP('Données projet'!$B$15,Paramètres!$A$1:$I$89,3,0)*VLOOKUP('Données projet'!$B$15,Paramètres!$A$1:$I$89,5,0)</f>
        <v>-3.6711753637064249E-13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399.38728019348088</v>
      </c>
      <c r="EP197" s="59">
        <f t="shared" ref="EP197:EP203" si="210">$EP$3</f>
        <v>289.54922160039791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0.11133628628499138</v>
      </c>
      <c r="EW197" s="21">
        <f>EXP(-LN(2)/25)*EW196+(1-EXP(-LN(2)/25))/(LN(2)/25)*Calculateur!ER197*Calculateur!ET197*VLOOKUP('Données projet'!$B$15,Paramètres!$A$1:$I$89,3,0)*0.475*44/12</f>
        <v>0.14225971154198641</v>
      </c>
      <c r="EX197" s="21">
        <f>EXP(-LN(2)/2)*EX196+(1-EXP(-LN(2)/2))/(LN(2)/2)*ER197*EU197*VLOOKUP('Données projet'!$B$15,Paramètres!$A$1:$I$89,3,0)*0.475*44/12</f>
        <v>5.3024424989669638E-24</v>
      </c>
      <c r="EY197" s="22">
        <f t="shared" si="181"/>
        <v>0.25359599782697778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-3.0859155231155454E-13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318.40875902853116</v>
      </c>
      <c r="T198" s="59">
        <f t="shared" si="204"/>
        <v>234.87694492493506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9.17518388104865E-2</v>
      </c>
      <c r="AA198" s="21">
        <f>EXP(-LN(2)/25)*AA197+(1-EXP(-LN(2)/25))/(LN(2)/25)*Calculateur!V198*Calculateur!X198*VLOOKUP('Données projet'!$B$9,Paramètres!$A$1:$I$89,3,0)*0.475*44/12</f>
        <v>0.11631068855692661</v>
      </c>
      <c r="AB198" s="21">
        <f>EXP(-LN(2)/2)*AB197+(1-EXP(-LN(2)/2))/(LN(2)/2)*V198*Y198*VLOOKUP('Données projet'!$B$9,Paramètres!$A$1:$I$89,3,0)*0.475*44/12</f>
        <v>3.1516637213990639E-24</v>
      </c>
      <c r="AC198" s="22">
        <f t="shared" si="163"/>
        <v>0.2080625273674131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243.38048563215585</v>
      </c>
      <c r="AO198" s="59">
        <f t="shared" si="205"/>
        <v>372.1604147006675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0.27841937294216618</v>
      </c>
      <c r="AV198" s="21">
        <f>EXP(-LN(2)/25)*AV197+(1-EXP(-LN(2)/25))/(LN(2)/25)*Calculateur!AQ198*Calculateur!AS198*VLOOKUP('Données projet'!$B$10,Paramètres!$A$1:$I$89,3,0)*0.475*44/12</f>
        <v>0.19960060642898861</v>
      </c>
      <c r="AW198" s="21">
        <f>EXP(-LN(2)/2)*AW197+(1-EXP(-LN(2)/2))/(LN(2)/2)*AQ198*AT198*VLOOKUP('Données projet'!$B$10,Paramètres!$A$1:$I$89,3,0)*0.475*44/12</f>
        <v>4.2866137796416124E-24</v>
      </c>
      <c r="AX198" s="21">
        <f t="shared" si="166"/>
        <v>0.47801997937115481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-5.1159076974727213E-13</v>
      </c>
      <c r="BE198" s="13">
        <f>BD198*VLOOKUP('Données projet'!$B$11,Paramètres!$A$1:$I$89,3,0)*VLOOKUP('Données projet'!$B$11,Paramètres!$A$1:$I$89,5,0)</f>
        <v>-3.4317508834647017E-13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207.93042467236967</v>
      </c>
      <c r="BJ198" s="59">
        <f t="shared" si="206"/>
        <v>250.70954318710835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0.10480274691715052</v>
      </c>
      <c r="BQ198" s="21">
        <f>EXP(-LN(2)/25)*BQ197+(1-EXP(-LN(2)/25))/(LN(2)/25)*Calculateur!BL198*Calculateur!BN198*VLOOKUP('Données projet'!$B$11,Paramètres!$A$1:$I$89,3,0)*0.475*44/12</f>
        <v>0.17834841593372072</v>
      </c>
      <c r="BR198" s="21">
        <f>EXP(-LN(2)/2)*BR197+(1-EXP(-LN(2)/2))/(LN(2)/2)*BL198*BO198*VLOOKUP('Données projet'!$B$11,Paramètres!$A$1:$I$89,3,0)*0.475*44/12</f>
        <v>2.9637437659931028E-24</v>
      </c>
      <c r="BS198" s="22">
        <f t="shared" si="169"/>
        <v>0.28315116285087127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1.7053025658242404E-13</v>
      </c>
      <c r="BZ198" s="13">
        <f>BY198*VLOOKUP('Données projet'!$B$12,Paramètres!$A$1:$I$89,3,0)*VLOOKUP('Données projet'!$B$12,Paramètres!$A$1:$I$89,5,0)</f>
        <v>1.3301360013429075E-13</v>
      </c>
      <c r="CA198" s="13">
        <f t="shared" si="170"/>
        <v>1.9329766731057041E-12</v>
      </c>
      <c r="CB198" s="20">
        <f t="shared" si="171"/>
        <v>3.5982663925596575E-12</v>
      </c>
      <c r="CC198" s="59">
        <f t="shared" si="195"/>
        <v>293.3333333333369</v>
      </c>
      <c r="CD198" s="59">
        <f ca="1">AVERAGE(OFFSET($CC$3,0,0,'Données projet'!$E$12+1,1))-AVERAGE(OFFSET($H$3,0,0,'Données projet'!$E$12+1,1))</f>
        <v>266.30229009596883</v>
      </c>
      <c r="CE198" s="59">
        <f t="shared" si="207"/>
        <v>270.19195828386046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5.5085001748906619E-2</v>
      </c>
      <c r="CL198" s="21">
        <f>EXP(-LN(2)/25)*CL197+(1-EXP(-LN(2)/25))/(LN(2)/25)*Calculateur!CG198*Calculateur!CI198*VLOOKUP('Données projet'!$B$12,Paramètres!$A$1:$I$89,3,0)*0.475*44/12</f>
        <v>8.6290895298346867E-2</v>
      </c>
      <c r="CM198" s="21">
        <f>EXP(-LN(2)/2)*CM197+(1-EXP(-LN(2)/2))/(LN(2)/2)*CG198*CJ198*VLOOKUP('Données projet'!$B$12,Paramètres!$A$1:$I$89,3,0)*0.475*44/12</f>
        <v>1.9113496421727147E-24</v>
      </c>
      <c r="CN198" s="22">
        <f t="shared" si="172"/>
        <v>0.14137589704725348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-5.1159076974727213E-13</v>
      </c>
      <c r="CU198" s="17">
        <f>CT198*VLOOKUP('Données projet'!$B$13,Paramètres!$A$1:$I$89,3,0)*VLOOKUP('Données projet'!$B$13,Paramètres!$A$1:$I$89,5,0)</f>
        <v>-4.0702161641092972E-13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260.20517190557814</v>
      </c>
      <c r="CZ198" s="59">
        <f t="shared" si="208"/>
        <v>307.22009971147133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0.12430093239010886</v>
      </c>
      <c r="DG198" s="21">
        <f>EXP(-LN(2)/25)*DG197+(1-EXP(-LN(2)/25))/(LN(2)/25)*Calculateur!DB198*Calculateur!DD198*VLOOKUP('Données projet'!$B$13,Paramètres!$A$1:$I$89,3,0)*0.475*44/12</f>
        <v>0.21152951657255215</v>
      </c>
      <c r="DH198" s="21">
        <f>EXP(-LN(2)/2)*DH197+(1-EXP(-LN(2)/2))/(LN(2)/2)*DB198*DE198*VLOOKUP('Données projet'!$B$13,Paramètres!$A$1:$I$89,3,0)*0.475*44/12</f>
        <v>3.5151379550150756E-24</v>
      </c>
      <c r="DI198" s="22">
        <f t="shared" si="175"/>
        <v>0.33583044896266101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-3.4106051316484809E-13</v>
      </c>
      <c r="DP198" s="17">
        <f>DO198*VLOOKUP('Données projet'!$B$14,Paramètres!$A$1:$I$89,3,0)*VLOOKUP('Données projet'!$B$14,Paramètres!$A$1:$I$89,5,0)</f>
        <v>-3.2987372833304104E-13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347.8889410585312</v>
      </c>
      <c r="DU198" s="59">
        <f t="shared" si="209"/>
        <v>254.78167322479203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9.8079551831899398E-2</v>
      </c>
      <c r="EB198" s="21">
        <f>EXP(-LN(2)/25)*EB197+(1-EXP(-LN(2)/25))/(LN(2)/25)*Calculateur!DW198*Calculateur!DY198*VLOOKUP('Données projet'!$B$14,Paramètres!$A$1:$I$89,3,0)*0.475*44/12</f>
        <v>0.12433211535395598</v>
      </c>
      <c r="EC198" s="21">
        <f>EXP(-LN(2)/2)*EC197+(1-EXP(-LN(2)/2))/(LN(2)/2)*DW198*DZ198*VLOOKUP('Données projet'!$B$14,Paramètres!$A$1:$I$89,3,0)*0.475*44/12</f>
        <v>3.3690198401162251E-24</v>
      </c>
      <c r="ED198" s="22">
        <f t="shared" si="178"/>
        <v>0.22241166718585537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-3.4106051316484809E-13</v>
      </c>
      <c r="EK198" s="17">
        <f>EJ198*VLOOKUP('Données projet'!$B$15,Paramètres!$A$1:$I$89,3,0)*VLOOKUP('Données projet'!$B$15,Paramètres!$A$1:$I$89,5,0)</f>
        <v>-3.6711753637064249E-13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399.38728019348088</v>
      </c>
      <c r="EP198" s="59">
        <f t="shared" si="210"/>
        <v>289.54922160039791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0.10915304961937193</v>
      </c>
      <c r="EW198" s="21">
        <f>EXP(-LN(2)/25)*EW197+(1-EXP(-LN(2)/25))/(LN(2)/25)*Calculateur!ER198*Calculateur!ET198*VLOOKUP('Données projet'!$B$15,Paramètres!$A$1:$I$89,3,0)*0.475*44/12</f>
        <v>0.13836961224875771</v>
      </c>
      <c r="EX198" s="21">
        <f>EXP(-LN(2)/2)*EX197+(1-EXP(-LN(2)/2))/(LN(2)/2)*ER198*EU198*VLOOKUP('Données projet'!$B$15,Paramètres!$A$1:$I$89,3,0)*0.475*44/12</f>
        <v>3.7493930478712831E-24</v>
      </c>
      <c r="EY198" s="22">
        <f t="shared" si="181"/>
        <v>0.24752266186812966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-3.0859155231155454E-13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318.40875902853116</v>
      </c>
      <c r="T199" s="59">
        <f t="shared" si="204"/>
        <v>234.87694492493506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8.9952641214508633E-2</v>
      </c>
      <c r="AA199" s="21">
        <f>EXP(-LN(2)/25)*AA198+(1-EXP(-LN(2)/25))/(LN(2)/25)*Calculateur!V199*Calculateur!X199*VLOOKUP('Données projet'!$B$9,Paramètres!$A$1:$I$89,3,0)*0.475*44/12</f>
        <v>0.11313016666182417</v>
      </c>
      <c r="AB199" s="21">
        <f>EXP(-LN(2)/2)*AB198+(1-EXP(-LN(2)/2))/(LN(2)/2)*V199*Y199*VLOOKUP('Données projet'!$B$9,Paramètres!$A$1:$I$89,3,0)*0.475*44/12</f>
        <v>2.2285627894209079E-24</v>
      </c>
      <c r="AC199" s="22">
        <f t="shared" si="163"/>
        <v>0.20308280787633282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243.38048563215585</v>
      </c>
      <c r="AO199" s="59">
        <f t="shared" si="205"/>
        <v>372.1604147006675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0.27295973885781954</v>
      </c>
      <c r="AV199" s="21">
        <f>EXP(-LN(2)/25)*AV198+(1-EXP(-LN(2)/25))/(LN(2)/25)*Calculateur!AQ199*Calculateur!AS199*VLOOKUP('Données projet'!$B$10,Paramètres!$A$1:$I$89,3,0)*0.475*44/12</f>
        <v>0.19414251734964821</v>
      </c>
      <c r="AW199" s="21">
        <f>EXP(-LN(2)/2)*AW198+(1-EXP(-LN(2)/2))/(LN(2)/2)*AQ199*AT199*VLOOKUP('Données projet'!$B$10,Paramètres!$A$1:$I$89,3,0)*0.475*44/12</f>
        <v>3.0310936719122811E-24</v>
      </c>
      <c r="AX199" s="21">
        <f t="shared" si="166"/>
        <v>0.46710225620746776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-5.1159076974727213E-13</v>
      </c>
      <c r="BE199" s="13">
        <f>BD199*VLOOKUP('Données projet'!$B$11,Paramètres!$A$1:$I$89,3,0)*VLOOKUP('Données projet'!$B$11,Paramètres!$A$1:$I$89,5,0)</f>
        <v>-3.4317508834647017E-13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207.93042467236967</v>
      </c>
      <c r="BJ199" s="59">
        <f t="shared" si="206"/>
        <v>250.70954318710835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0.10274762897346891</v>
      </c>
      <c r="BQ199" s="21">
        <f>EXP(-LN(2)/25)*BQ198+(1-EXP(-LN(2)/25))/(LN(2)/25)*Calculateur!BL199*Calculateur!BN199*VLOOKUP('Données projet'!$B$11,Paramètres!$A$1:$I$89,3,0)*0.475*44/12</f>
        <v>0.17347146912107755</v>
      </c>
      <c r="BR199" s="21">
        <f>EXP(-LN(2)/2)*BR198+(1-EXP(-LN(2)/2))/(LN(2)/2)*BL199*BO199*VLOOKUP('Données projet'!$B$11,Paramètres!$A$1:$I$89,3,0)*0.475*44/12</f>
        <v>2.0956833146330792E-24</v>
      </c>
      <c r="BS199" s="22">
        <f t="shared" si="169"/>
        <v>0.27621909809454648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1.7053025658242404E-13</v>
      </c>
      <c r="BZ199" s="13">
        <f>BY199*VLOOKUP('Données projet'!$B$12,Paramètres!$A$1:$I$89,3,0)*VLOOKUP('Données projet'!$B$12,Paramètres!$A$1:$I$89,5,0)</f>
        <v>1.3301360013429075E-13</v>
      </c>
      <c r="CA199" s="13">
        <f t="shared" si="170"/>
        <v>1.9329766731057041E-12</v>
      </c>
      <c r="CB199" s="20">
        <f t="shared" si="171"/>
        <v>3.5982663925596575E-12</v>
      </c>
      <c r="CC199" s="59">
        <f t="shared" si="195"/>
        <v>293.3333333333369</v>
      </c>
      <c r="CD199" s="59">
        <f ca="1">AVERAGE(OFFSET($CC$3,0,0,'Données projet'!$E$12+1,1))-AVERAGE(OFFSET($H$3,0,0,'Données projet'!$E$12+1,1))</f>
        <v>266.30229009596883</v>
      </c>
      <c r="CE199" s="59">
        <f t="shared" si="207"/>
        <v>270.19195828386046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5.4004818463144047E-2</v>
      </c>
      <c r="CL199" s="21">
        <f>EXP(-LN(2)/25)*CL198+(1-EXP(-LN(2)/25))/(LN(2)/25)*Calculateur!CG199*Calculateur!CI199*VLOOKUP('Données projet'!$B$12,Paramètres!$A$1:$I$89,3,0)*0.475*44/12</f>
        <v>8.393126622857261E-2</v>
      </c>
      <c r="CM199" s="21">
        <f>EXP(-LN(2)/2)*CM198+(1-EXP(-LN(2)/2))/(LN(2)/2)*CG199*CJ199*VLOOKUP('Données projet'!$B$12,Paramètres!$A$1:$I$89,3,0)*0.475*44/12</f>
        <v>1.3515282931988077E-24</v>
      </c>
      <c r="CN199" s="22">
        <f t="shared" si="172"/>
        <v>0.13793608469171664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-5.1159076974727213E-13</v>
      </c>
      <c r="CU199" s="17">
        <f>CT199*VLOOKUP('Données projet'!$B$13,Paramètres!$A$1:$I$89,3,0)*VLOOKUP('Données projet'!$B$13,Paramètres!$A$1:$I$89,5,0)</f>
        <v>-4.0702161641092972E-13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260.20517190557814</v>
      </c>
      <c r="CZ199" s="59">
        <f t="shared" si="208"/>
        <v>307.22009971147133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0.12186346692202137</v>
      </c>
      <c r="DG199" s="21">
        <f>EXP(-LN(2)/25)*DG198+(1-EXP(-LN(2)/25))/(LN(2)/25)*Calculateur!DB199*Calculateur!DD199*VLOOKUP('Données projet'!$B$13,Paramètres!$A$1:$I$89,3,0)*0.475*44/12</f>
        <v>0.2057452308180219</v>
      </c>
      <c r="DH199" s="21">
        <f>EXP(-LN(2)/2)*DH198+(1-EXP(-LN(2)/2))/(LN(2)/2)*DB199*DE199*VLOOKUP('Données projet'!$B$13,Paramètres!$A$1:$I$89,3,0)*0.475*44/12</f>
        <v>2.4855778847973732E-24</v>
      </c>
      <c r="DI199" s="22">
        <f t="shared" si="175"/>
        <v>0.32760869774004325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-3.4106051316484809E-13</v>
      </c>
      <c r="DP199" s="17">
        <f>DO199*VLOOKUP('Données projet'!$B$14,Paramètres!$A$1:$I$89,3,0)*VLOOKUP('Données projet'!$B$14,Paramètres!$A$1:$I$89,5,0)</f>
        <v>-3.2987372833304104E-13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347.8889410585312</v>
      </c>
      <c r="DU199" s="59">
        <f t="shared" si="209"/>
        <v>254.78167322479203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9.6156271643095481E-2</v>
      </c>
      <c r="EB199" s="21">
        <f>EXP(-LN(2)/25)*EB198+(1-EXP(-LN(2)/25))/(LN(2)/25)*Calculateur!DW199*Calculateur!DY199*VLOOKUP('Données projet'!$B$14,Paramètres!$A$1:$I$89,3,0)*0.475*44/12</f>
        <v>0.12093224712126027</v>
      </c>
      <c r="EC199" s="21">
        <f>EXP(-LN(2)/2)*EC198+(1-EXP(-LN(2)/2))/(LN(2)/2)*DW199*DZ199*VLOOKUP('Données projet'!$B$14,Paramètres!$A$1:$I$89,3,0)*0.475*44/12</f>
        <v>2.382256774898201E-24</v>
      </c>
      <c r="ED199" s="22">
        <f t="shared" si="178"/>
        <v>0.21708851876435575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-3.4106051316484809E-13</v>
      </c>
      <c r="EK199" s="17">
        <f>EJ199*VLOOKUP('Données projet'!$B$15,Paramètres!$A$1:$I$89,3,0)*VLOOKUP('Données projet'!$B$15,Paramètres!$A$1:$I$89,5,0)</f>
        <v>-3.6711753637064249E-13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399.38728019348088</v>
      </c>
      <c r="EP199" s="59">
        <f t="shared" si="210"/>
        <v>289.54922160039791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0.10701262489312241</v>
      </c>
      <c r="EW199" s="21">
        <f>EXP(-LN(2)/25)*EW198+(1-EXP(-LN(2)/25))/(LN(2)/25)*Calculateur!ER199*Calculateur!ET199*VLOOKUP('Données projet'!$B$15,Paramètres!$A$1:$I$89,3,0)*0.475*44/12</f>
        <v>0.13458588792527376</v>
      </c>
      <c r="EX199" s="21">
        <f>EXP(-LN(2)/2)*EX198+(1-EXP(-LN(2)/2))/(LN(2)/2)*ER199*EU199*VLOOKUP('Données projet'!$B$15,Paramètres!$A$1:$I$89,3,0)*0.475*44/12</f>
        <v>2.6512212494834819E-24</v>
      </c>
      <c r="EY199" s="22">
        <f t="shared" si="181"/>
        <v>0.24159851281839617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-3.0859155231155454E-13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318.40875902853116</v>
      </c>
      <c r="T200" s="59">
        <f t="shared" si="204"/>
        <v>234.87694492493506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8.8188724785985717E-2</v>
      </c>
      <c r="AA200" s="21">
        <f>EXP(-LN(2)/25)*AA199+(1-EXP(-LN(2)/25))/(LN(2)/25)*Calculateur!V200*Calculateur!X200*VLOOKUP('Données projet'!$B$9,Paramètres!$A$1:$I$89,3,0)*0.475*44/12</f>
        <v>0.11003661630519969</v>
      </c>
      <c r="AB200" s="21">
        <f>EXP(-LN(2)/2)*AB199+(1-EXP(-LN(2)/2))/(LN(2)/2)*V200*Y200*VLOOKUP('Données projet'!$B$9,Paramètres!$A$1:$I$89,3,0)*0.475*44/12</f>
        <v>1.5758318606995319E-24</v>
      </c>
      <c r="AC200" s="22">
        <f t="shared" si="163"/>
        <v>0.19822534109118539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243.38048563215585</v>
      </c>
      <c r="AO200" s="59">
        <f t="shared" si="205"/>
        <v>372.1604147006675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0.26760716486781899</v>
      </c>
      <c r="AV200" s="21">
        <f>EXP(-LN(2)/25)*AV199+(1-EXP(-LN(2)/25))/(LN(2)/25)*Calculateur!AQ200*Calculateur!AS200*VLOOKUP('Données projet'!$B$10,Paramètres!$A$1:$I$89,3,0)*0.475*44/12</f>
        <v>0.18883368000321082</v>
      </c>
      <c r="AW200" s="21">
        <f>EXP(-LN(2)/2)*AW199+(1-EXP(-LN(2)/2))/(LN(2)/2)*AQ200*AT200*VLOOKUP('Données projet'!$B$10,Paramètres!$A$1:$I$89,3,0)*0.475*44/12</f>
        <v>2.1433068898208062E-24</v>
      </c>
      <c r="AX200" s="21">
        <f t="shared" si="166"/>
        <v>0.45644084487102982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-5.1159076974727213E-13</v>
      </c>
      <c r="BE200" s="13">
        <f>BD200*VLOOKUP('Données projet'!$B$11,Paramètres!$A$1:$I$89,3,0)*VLOOKUP('Données projet'!$B$11,Paramètres!$A$1:$I$89,5,0)</f>
        <v>-3.4317508834647017E-13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207.93042467236967</v>
      </c>
      <c r="BJ200" s="59">
        <f t="shared" si="206"/>
        <v>250.70954318710835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0.10073281063916473</v>
      </c>
      <c r="BQ200" s="21">
        <f>EXP(-LN(2)/25)*BQ199+(1-EXP(-LN(2)/25))/(LN(2)/25)*Calculateur!BL200*Calculateur!BN200*VLOOKUP('Données projet'!$B$11,Paramètres!$A$1:$I$89,3,0)*0.475*44/12</f>
        <v>0.1687278826754936</v>
      </c>
      <c r="BR200" s="21">
        <f>EXP(-LN(2)/2)*BR199+(1-EXP(-LN(2)/2))/(LN(2)/2)*BL200*BO200*VLOOKUP('Données projet'!$B$11,Paramètres!$A$1:$I$89,3,0)*0.475*44/12</f>
        <v>1.4818718829965514E-24</v>
      </c>
      <c r="BS200" s="22">
        <f t="shared" si="169"/>
        <v>0.26946069331465833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1.7053025658242404E-13</v>
      </c>
      <c r="BZ200" s="13">
        <f>BY200*VLOOKUP('Données projet'!$B$12,Paramètres!$A$1:$I$89,3,0)*VLOOKUP('Données projet'!$B$12,Paramètres!$A$1:$I$89,5,0)</f>
        <v>1.3301360013429075E-13</v>
      </c>
      <c r="CA200" s="13">
        <f t="shared" si="170"/>
        <v>1.9329766731057041E-12</v>
      </c>
      <c r="CB200" s="20">
        <f t="shared" si="171"/>
        <v>3.5982663925596575E-12</v>
      </c>
      <c r="CC200" s="59">
        <f t="shared" si="195"/>
        <v>293.3333333333369</v>
      </c>
      <c r="CD200" s="59">
        <f ca="1">AVERAGE(OFFSET($CC$3,0,0,'Données projet'!$E$12+1,1))-AVERAGE(OFFSET($H$3,0,0,'Données projet'!$E$12+1,1))</f>
        <v>266.30229009596883</v>
      </c>
      <c r="CE200" s="59">
        <f t="shared" si="207"/>
        <v>270.19195828386046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5.2945816912768534E-2</v>
      </c>
      <c r="CL200" s="21">
        <f>EXP(-LN(2)/25)*CL199+(1-EXP(-LN(2)/25))/(LN(2)/25)*Calculateur!CG200*Calculateur!CI200*VLOOKUP('Données projet'!$B$12,Paramètres!$A$1:$I$89,3,0)*0.475*44/12</f>
        <v>8.1636161339798827E-2</v>
      </c>
      <c r="CM200" s="21">
        <f>EXP(-LN(2)/2)*CM199+(1-EXP(-LN(2)/2))/(LN(2)/2)*CG200*CJ200*VLOOKUP('Données projet'!$B$12,Paramètres!$A$1:$I$89,3,0)*0.475*44/12</f>
        <v>9.5567482108635733E-25</v>
      </c>
      <c r="CN200" s="22">
        <f t="shared" si="172"/>
        <v>0.13458197825256735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-5.1159076974727213E-13</v>
      </c>
      <c r="CU200" s="17">
        <f>CT200*VLOOKUP('Données projet'!$B$13,Paramètres!$A$1:$I$89,3,0)*VLOOKUP('Données projet'!$B$13,Paramètres!$A$1:$I$89,5,0)</f>
        <v>-4.0702161641092972E-13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260.20517190557814</v>
      </c>
      <c r="CZ200" s="59">
        <f t="shared" si="208"/>
        <v>307.22009971147133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0.11947379866505593</v>
      </c>
      <c r="DG200" s="21">
        <f>EXP(-LN(2)/25)*DG199+(1-EXP(-LN(2)/25))/(LN(2)/25)*Calculateur!DB200*Calculateur!DD200*VLOOKUP('Données projet'!$B$13,Paramètres!$A$1:$I$89,3,0)*0.475*44/12</f>
        <v>0.20011911666163165</v>
      </c>
      <c r="DH200" s="21">
        <f>EXP(-LN(2)/2)*DH199+(1-EXP(-LN(2)/2))/(LN(2)/2)*DB200*DE200*VLOOKUP('Données projet'!$B$13,Paramètres!$A$1:$I$89,3,0)*0.475*44/12</f>
        <v>1.7575689775075378E-24</v>
      </c>
      <c r="DI200" s="22">
        <f t="shared" si="175"/>
        <v>0.3195929153266876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-3.4106051316484809E-13</v>
      </c>
      <c r="DP200" s="17">
        <f>DO200*VLOOKUP('Données projet'!$B$14,Paramètres!$A$1:$I$89,3,0)*VLOOKUP('Données projet'!$B$14,Paramètres!$A$1:$I$89,5,0)</f>
        <v>-3.2987372833304104E-13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347.8889410585312</v>
      </c>
      <c r="DU200" s="59">
        <f t="shared" si="209"/>
        <v>254.78167322479203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9.4270705805708926E-2</v>
      </c>
      <c r="EB200" s="21">
        <f>EXP(-LN(2)/25)*EB199+(1-EXP(-LN(2)/25))/(LN(2)/25)*Calculateur!DW200*Calculateur!DY200*VLOOKUP('Données projet'!$B$14,Paramètres!$A$1:$I$89,3,0)*0.475*44/12</f>
        <v>0.11762534846417892</v>
      </c>
      <c r="EC200" s="21">
        <f>EXP(-LN(2)/2)*EC199+(1-EXP(-LN(2)/2))/(LN(2)/2)*DW200*DZ200*VLOOKUP('Données projet'!$B$14,Paramètres!$A$1:$I$89,3,0)*0.475*44/12</f>
        <v>1.6845099200581126E-24</v>
      </c>
      <c r="ED200" s="22">
        <f t="shared" si="178"/>
        <v>0.21189605426988783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-3.4106051316484809E-13</v>
      </c>
      <c r="EK200" s="17">
        <f>EJ200*VLOOKUP('Données projet'!$B$15,Paramètres!$A$1:$I$89,3,0)*VLOOKUP('Données projet'!$B$15,Paramètres!$A$1:$I$89,5,0)</f>
        <v>-3.6711753637064249E-13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399.38728019348088</v>
      </c>
      <c r="EP200" s="59">
        <f t="shared" si="210"/>
        <v>289.54922160039791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0.10491417259022447</v>
      </c>
      <c r="EW200" s="21">
        <f>EXP(-LN(2)/25)*EW199+(1-EXP(-LN(2)/25))/(LN(2)/25)*Calculateur!ER200*Calculateur!ET200*VLOOKUP('Données projet'!$B$15,Paramètres!$A$1:$I$89,3,0)*0.475*44/12</f>
        <v>0.13090562974239289</v>
      </c>
      <c r="EX200" s="21">
        <f>EXP(-LN(2)/2)*EX199+(1-EXP(-LN(2)/2))/(LN(2)/2)*ER200*EU200*VLOOKUP('Données projet'!$B$15,Paramètres!$A$1:$I$89,3,0)*0.475*44/12</f>
        <v>1.8746965239356416E-24</v>
      </c>
      <c r="EY200" s="22">
        <f t="shared" si="181"/>
        <v>0.23581980233261735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-3.0859155231155454E-13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318.40875902853116</v>
      </c>
      <c r="T201" s="59">
        <f t="shared" si="204"/>
        <v>234.87694492493506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8.6459397682743355E-2</v>
      </c>
      <c r="AA201" s="21">
        <f>EXP(-LN(2)/25)*AA200+(1-EXP(-LN(2)/25))/(LN(2)/25)*Calculateur!V201*Calculateur!X201*VLOOKUP('Données projet'!$B$9,Paramètres!$A$1:$I$89,3,0)*0.475*44/12</f>
        <v>0.10702765924575984</v>
      </c>
      <c r="AB201" s="21">
        <f>EXP(-LN(2)/2)*AB200+(1-EXP(-LN(2)/2))/(LN(2)/2)*V201*Y201*VLOOKUP('Données projet'!$B$9,Paramètres!$A$1:$I$89,3,0)*0.475*44/12</f>
        <v>1.1142813947104539E-24</v>
      </c>
      <c r="AC201" s="22">
        <f t="shared" si="163"/>
        <v>0.19348705692850321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243.38048563215585</v>
      </c>
      <c r="AO201" s="59">
        <f t="shared" si="205"/>
        <v>372.1604147006675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0.26235955158901458</v>
      </c>
      <c r="AV201" s="21">
        <f>EXP(-LN(2)/25)*AV200+(1-EXP(-LN(2)/25))/(LN(2)/25)*Calculateur!AQ201*Calculateur!AS201*VLOOKUP('Données projet'!$B$10,Paramètres!$A$1:$I$89,3,0)*0.475*44/12</f>
        <v>0.18367001309319136</v>
      </c>
      <c r="AW201" s="21">
        <f>EXP(-LN(2)/2)*AW200+(1-EXP(-LN(2)/2))/(LN(2)/2)*AQ201*AT201*VLOOKUP('Données projet'!$B$10,Paramètres!$A$1:$I$89,3,0)*0.475*44/12</f>
        <v>1.5155468359561405E-24</v>
      </c>
      <c r="AX201" s="21">
        <f t="shared" si="166"/>
        <v>0.44602956468220595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-5.1159076974727213E-13</v>
      </c>
      <c r="BE201" s="13">
        <f>BD201*VLOOKUP('Données projet'!$B$11,Paramètres!$A$1:$I$89,3,0)*VLOOKUP('Données projet'!$B$11,Paramètres!$A$1:$I$89,5,0)</f>
        <v>-3.4317508834647017E-13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207.93042467236967</v>
      </c>
      <c r="BJ201" s="59">
        <f t="shared" si="206"/>
        <v>250.70954318710835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9.8757501663478409E-2</v>
      </c>
      <c r="BQ201" s="21">
        <f>EXP(-LN(2)/25)*BQ200+(1-EXP(-LN(2)/25))/(LN(2)/25)*Calculateur!BL201*Calculateur!BN201*VLOOKUP('Données projet'!$B$11,Paramètres!$A$1:$I$89,3,0)*0.475*44/12</f>
        <v>0.1641140098507185</v>
      </c>
      <c r="BR201" s="21">
        <f>EXP(-LN(2)/2)*BR200+(1-EXP(-LN(2)/2))/(LN(2)/2)*BL201*BO201*VLOOKUP('Données projet'!$B$11,Paramètres!$A$1:$I$89,3,0)*0.475*44/12</f>
        <v>1.0478416573165396E-24</v>
      </c>
      <c r="BS201" s="22">
        <f t="shared" si="169"/>
        <v>0.26287151151419691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1.7053025658242404E-13</v>
      </c>
      <c r="BZ201" s="13">
        <f>BY201*VLOOKUP('Données projet'!$B$12,Paramètres!$A$1:$I$89,3,0)*VLOOKUP('Données projet'!$B$12,Paramètres!$A$1:$I$89,5,0)</f>
        <v>1.3301360013429075E-13</v>
      </c>
      <c r="CA201" s="13">
        <f t="shared" si="170"/>
        <v>1.9329766731057041E-12</v>
      </c>
      <c r="CB201" s="20">
        <f t="shared" si="171"/>
        <v>3.5982663925596575E-12</v>
      </c>
      <c r="CC201" s="59">
        <f t="shared" si="195"/>
        <v>293.3333333333369</v>
      </c>
      <c r="CD201" s="59">
        <f ca="1">AVERAGE(OFFSET($CC$3,0,0,'Données projet'!$E$12+1,1))-AVERAGE(OFFSET($H$3,0,0,'Données projet'!$E$12+1,1))</f>
        <v>266.30229009596883</v>
      </c>
      <c r="CE201" s="59">
        <f t="shared" si="207"/>
        <v>270.19195828386046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5.1907581736868713E-2</v>
      </c>
      <c r="CL201" s="21">
        <f>EXP(-LN(2)/25)*CL200+(1-EXP(-LN(2)/25))/(LN(2)/25)*Calculateur!CG201*Calculateur!CI201*VLOOKUP('Données projet'!$B$12,Paramètres!$A$1:$I$89,3,0)*0.475*44/12</f>
        <v>7.9403816214902889E-2</v>
      </c>
      <c r="CM201" s="21">
        <f>EXP(-LN(2)/2)*CM200+(1-EXP(-LN(2)/2))/(LN(2)/2)*CG201*CJ201*VLOOKUP('Données projet'!$B$12,Paramètres!$A$1:$I$89,3,0)*0.475*44/12</f>
        <v>6.7576414659940384E-25</v>
      </c>
      <c r="CN201" s="22">
        <f t="shared" si="172"/>
        <v>0.1313113979517716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-5.1159076974727213E-13</v>
      </c>
      <c r="CU201" s="17">
        <f>CT201*VLOOKUP('Données projet'!$B$13,Paramètres!$A$1:$I$89,3,0)*VLOOKUP('Données projet'!$B$13,Paramètres!$A$1:$I$89,5,0)</f>
        <v>-4.0702161641092972E-13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260.20517190557814</v>
      </c>
      <c r="CZ201" s="59">
        <f t="shared" si="208"/>
        <v>307.22009971147133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0.11713099034505588</v>
      </c>
      <c r="DG201" s="21">
        <f>EXP(-LN(2)/25)*DG200+(1-EXP(-LN(2)/25))/(LN(2)/25)*Calculateur!DB201*Calculateur!DD201*VLOOKUP('Données projet'!$B$13,Paramètres!$A$1:$I$89,3,0)*0.475*44/12</f>
        <v>0.19464684889271236</v>
      </c>
      <c r="DH201" s="21">
        <f>EXP(-LN(2)/2)*DH200+(1-EXP(-LN(2)/2))/(LN(2)/2)*DB201*DE201*VLOOKUP('Données projet'!$B$13,Paramètres!$A$1:$I$89,3,0)*0.475*44/12</f>
        <v>1.2427889423986866E-24</v>
      </c>
      <c r="DI201" s="22">
        <f t="shared" si="175"/>
        <v>0.31177783923776825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-3.4106051316484809E-13</v>
      </c>
      <c r="DP201" s="17">
        <f>DO201*VLOOKUP('Données projet'!$B$14,Paramètres!$A$1:$I$89,3,0)*VLOOKUP('Données projet'!$B$14,Paramètres!$A$1:$I$89,5,0)</f>
        <v>-3.2987372833304104E-13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347.8889410585312</v>
      </c>
      <c r="DU201" s="59">
        <f t="shared" si="209"/>
        <v>254.78167322479203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9.2422114764311919E-2</v>
      </c>
      <c r="EB201" s="21">
        <f>EXP(-LN(2)/25)*EB200+(1-EXP(-LN(2)/25))/(LN(2)/25)*Calculateur!DW201*Calculateur!DY201*VLOOKUP('Données projet'!$B$14,Paramètres!$A$1:$I$89,3,0)*0.475*44/12</f>
        <v>0.11440887712477771</v>
      </c>
      <c r="EC201" s="21">
        <f>EXP(-LN(2)/2)*EC200+(1-EXP(-LN(2)/2))/(LN(2)/2)*DW201*DZ201*VLOOKUP('Données projet'!$B$14,Paramètres!$A$1:$I$89,3,0)*0.475*44/12</f>
        <v>1.1911283874491005E-24</v>
      </c>
      <c r="ED201" s="22">
        <f t="shared" si="178"/>
        <v>0.20683099188908963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-3.4106051316484809E-13</v>
      </c>
      <c r="EK201" s="17">
        <f>EJ201*VLOOKUP('Données projet'!$B$15,Paramètres!$A$1:$I$89,3,0)*VLOOKUP('Données projet'!$B$15,Paramètres!$A$1:$I$89,5,0)</f>
        <v>-3.6711753637064249E-13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399.38728019348088</v>
      </c>
      <c r="EP201" s="59">
        <f t="shared" si="210"/>
        <v>289.54922160039791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0.10285686965705683</v>
      </c>
      <c r="EW201" s="21">
        <f>EXP(-LN(2)/25)*EW200+(1-EXP(-LN(2)/25))/(LN(2)/25)*Calculateur!ER201*Calculateur!ET201*VLOOKUP('Données projet'!$B$15,Paramètres!$A$1:$I$89,3,0)*0.475*44/12</f>
        <v>0.12732600841305927</v>
      </c>
      <c r="EX201" s="21">
        <f>EXP(-LN(2)/2)*EX200+(1-EXP(-LN(2)/2))/(LN(2)/2)*ER201*EU201*VLOOKUP('Données projet'!$B$15,Paramètres!$A$1:$I$89,3,0)*0.475*44/12</f>
        <v>1.325610624741741E-24</v>
      </c>
      <c r="EY201" s="22">
        <f t="shared" si="181"/>
        <v>0.23018287807011611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-3.0859155231155454E-13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318.40875902853116</v>
      </c>
      <c r="T202" s="59">
        <f t="shared" si="204"/>
        <v>234.87694492493506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8.47639816292102E-2</v>
      </c>
      <c r="AA202" s="21">
        <f>EXP(-LN(2)/25)*AA201+(1-EXP(-LN(2)/25))/(LN(2)/25)*Calculateur!V202*Calculateur!X202*VLOOKUP('Données projet'!$B$9,Paramètres!$A$1:$I$89,3,0)*0.475*44/12</f>
        <v>0.10410098227534455</v>
      </c>
      <c r="AB202" s="21">
        <f>EXP(-LN(2)/2)*AB201+(1-EXP(-LN(2)/2))/(LN(2)/2)*V202*Y202*VLOOKUP('Données projet'!$B$9,Paramètres!$A$1:$I$89,3,0)*0.475*44/12</f>
        <v>7.8791593034976596E-25</v>
      </c>
      <c r="AC202" s="22">
        <f t="shared" si="163"/>
        <v>0.18886496390455476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243.38048563215585</v>
      </c>
      <c r="AO202" s="59">
        <f t="shared" si="205"/>
        <v>372.1604147006675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0.25721484080587947</v>
      </c>
      <c r="AV202" s="21">
        <f>EXP(-LN(2)/25)*AV201+(1-EXP(-LN(2)/25))/(LN(2)/25)*Calculateur!AQ202*Calculateur!AS202*VLOOKUP('Données projet'!$B$10,Paramètres!$A$1:$I$89,3,0)*0.475*44/12</f>
        <v>0.17864754692637183</v>
      </c>
      <c r="AW202" s="21">
        <f>EXP(-LN(2)/2)*AW201+(1-EXP(-LN(2)/2))/(LN(2)/2)*AQ202*AT202*VLOOKUP('Données projet'!$B$10,Paramètres!$A$1:$I$89,3,0)*0.475*44/12</f>
        <v>1.0716534449104031E-24</v>
      </c>
      <c r="AX202" s="21">
        <f t="shared" si="166"/>
        <v>0.43586238773225128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-5.1159076974727213E-13</v>
      </c>
      <c r="BE202" s="13">
        <f>BD202*VLOOKUP('Données projet'!$B$11,Paramètres!$A$1:$I$89,3,0)*VLOOKUP('Données projet'!$B$11,Paramètres!$A$1:$I$89,5,0)</f>
        <v>-3.4317508834647017E-13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207.93042467236967</v>
      </c>
      <c r="BJ202" s="59">
        <f t="shared" si="206"/>
        <v>250.70954318710835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9.6820927291985784E-2</v>
      </c>
      <c r="BQ202" s="21">
        <f>EXP(-LN(2)/25)*BQ201+(1-EXP(-LN(2)/25))/(LN(2)/25)*Calculateur!BL202*Calculateur!BN202*VLOOKUP('Données projet'!$B$11,Paramètres!$A$1:$I$89,3,0)*0.475*44/12</f>
        <v>0.15962630362096991</v>
      </c>
      <c r="BR202" s="21">
        <f>EXP(-LN(2)/2)*BR201+(1-EXP(-LN(2)/2))/(LN(2)/2)*BL202*BO202*VLOOKUP('Données projet'!$B$11,Paramètres!$A$1:$I$89,3,0)*0.475*44/12</f>
        <v>7.4093594149827571E-25</v>
      </c>
      <c r="BS202" s="22">
        <f t="shared" si="169"/>
        <v>0.25644723091295568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1.7053025658242404E-13</v>
      </c>
      <c r="BZ202" s="13">
        <f>BY202*VLOOKUP('Données projet'!$B$12,Paramètres!$A$1:$I$89,3,0)*VLOOKUP('Données projet'!$B$12,Paramètres!$A$1:$I$89,5,0)</f>
        <v>1.3301360013429075E-13</v>
      </c>
      <c r="CA202" s="13">
        <f t="shared" si="170"/>
        <v>1.9329766731057041E-12</v>
      </c>
      <c r="CB202" s="20">
        <f t="shared" si="171"/>
        <v>3.5982663925596575E-12</v>
      </c>
      <c r="CC202" s="59">
        <f t="shared" si="195"/>
        <v>293.3333333333369</v>
      </c>
      <c r="CD202" s="59">
        <f ca="1">AVERAGE(OFFSET($CC$3,0,0,'Données projet'!$E$12+1,1))-AVERAGE(OFFSET($H$3,0,0,'Données projet'!$E$12+1,1))</f>
        <v>266.30229009596883</v>
      </c>
      <c r="CE202" s="59">
        <f t="shared" si="207"/>
        <v>270.19195828386046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5.0889705719507364E-2</v>
      </c>
      <c r="CL202" s="21">
        <f>EXP(-LN(2)/25)*CL201+(1-EXP(-LN(2)/25))/(LN(2)/25)*Calculateur!CG202*Calculateur!CI202*VLOOKUP('Données projet'!$B$12,Paramètres!$A$1:$I$89,3,0)*0.475*44/12</f>
        <v>7.7232514684841158E-2</v>
      </c>
      <c r="CM202" s="21">
        <f>EXP(-LN(2)/2)*CM201+(1-EXP(-LN(2)/2))/(LN(2)/2)*CG202*CJ202*VLOOKUP('Données projet'!$B$12,Paramètres!$A$1:$I$89,3,0)*0.475*44/12</f>
        <v>4.7783741054317866E-25</v>
      </c>
      <c r="CN202" s="22">
        <f t="shared" si="172"/>
        <v>0.12812222040434851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-5.1159076974727213E-13</v>
      </c>
      <c r="CU202" s="17">
        <f>CT202*VLOOKUP('Données projet'!$B$13,Paramètres!$A$1:$I$89,3,0)*VLOOKUP('Données projet'!$B$13,Paramètres!$A$1:$I$89,5,0)</f>
        <v>-4.0702161641092972E-13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260.20517190557814</v>
      </c>
      <c r="CZ202" s="59">
        <f t="shared" si="208"/>
        <v>307.22009971147133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0.11483412306723904</v>
      </c>
      <c r="DG202" s="21">
        <f>EXP(-LN(2)/25)*DG201+(1-EXP(-LN(2)/25))/(LN(2)/25)*Calculateur!DB202*Calculateur!DD202*VLOOKUP('Données projet'!$B$13,Paramètres!$A$1:$I$89,3,0)*0.475*44/12</f>
        <v>0.18932422057370824</v>
      </c>
      <c r="DH202" s="21">
        <f>EXP(-LN(2)/2)*DH201+(1-EXP(-LN(2)/2))/(LN(2)/2)*DB202*DE202*VLOOKUP('Données projet'!$B$13,Paramètres!$A$1:$I$89,3,0)*0.475*44/12</f>
        <v>8.7878448875376891E-25</v>
      </c>
      <c r="DI202" s="22">
        <f t="shared" si="175"/>
        <v>0.30415834364094729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-3.4106051316484809E-13</v>
      </c>
      <c r="DP202" s="17">
        <f>DO202*VLOOKUP('Données projet'!$B$14,Paramètres!$A$1:$I$89,3,0)*VLOOKUP('Données projet'!$B$14,Paramètres!$A$1:$I$89,5,0)</f>
        <v>-3.2987372833304104E-13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347.8889410585312</v>
      </c>
      <c r="DU202" s="59">
        <f t="shared" si="209"/>
        <v>254.78167322479203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9.0609773465707505E-2</v>
      </c>
      <c r="EB202" s="21">
        <f>EXP(-LN(2)/25)*EB201+(1-EXP(-LN(2)/25))/(LN(2)/25)*Calculateur!DW202*Calculateur!DY202*VLOOKUP('Données projet'!$B$14,Paramètres!$A$1:$I$89,3,0)*0.475*44/12</f>
        <v>0.1112803603632993</v>
      </c>
      <c r="EC202" s="21">
        <f>EXP(-LN(2)/2)*EC201+(1-EXP(-LN(2)/2))/(LN(2)/2)*DW202*DZ202*VLOOKUP('Données projet'!$B$14,Paramètres!$A$1:$I$89,3,0)*0.475*44/12</f>
        <v>8.4225496002905628E-25</v>
      </c>
      <c r="ED202" s="22">
        <f t="shared" si="178"/>
        <v>0.20189013382900681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-3.4106051316484809E-13</v>
      </c>
      <c r="EK202" s="17">
        <f>EJ202*VLOOKUP('Données projet'!$B$15,Paramètres!$A$1:$I$89,3,0)*VLOOKUP('Données projet'!$B$15,Paramètres!$A$1:$I$89,5,0)</f>
        <v>-3.6711753637064249E-13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399.38728019348088</v>
      </c>
      <c r="EP202" s="59">
        <f t="shared" si="210"/>
        <v>289.54922160039791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0.10083990917957772</v>
      </c>
      <c r="EW202" s="21">
        <f>EXP(-LN(2)/25)*EW201+(1-EXP(-LN(2)/25))/(LN(2)/25)*Calculateur!ER202*Calculateur!ET202*VLOOKUP('Données projet'!$B$15,Paramètres!$A$1:$I$89,3,0)*0.475*44/12</f>
        <v>0.1238442720172204</v>
      </c>
      <c r="EX202" s="21">
        <f>EXP(-LN(2)/2)*EX201+(1-EXP(-LN(2)/2))/(LN(2)/2)*ER202*EU202*VLOOKUP('Données projet'!$B$15,Paramètres!$A$1:$I$89,3,0)*0.475*44/12</f>
        <v>9.3734826196782078E-25</v>
      </c>
      <c r="EY202" s="22">
        <f t="shared" si="181"/>
        <v>0.22468418119679812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-3.0859155231155454E-13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318.40875902853116</v>
      </c>
      <c r="T203" s="59">
        <f t="shared" si="204"/>
        <v>234.87694492493506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8.3101811650385146E-2</v>
      </c>
      <c r="AA203" s="21">
        <f>EXP(-LN(2)/25)*AA202+(1-EXP(-LN(2)/25))/(LN(2)/25)*Calculateur!V203*Calculateur!X203*VLOOKUP('Données projet'!$B$9,Paramètres!$A$1:$I$89,3,0)*0.475*44/12</f>
        <v>0.10125433544059252</v>
      </c>
      <c r="AB203" s="21">
        <f>EXP(-LN(2)/2)*AB202+(1-EXP(-LN(2)/2))/(LN(2)/2)*V203*Y203*VLOOKUP('Données projet'!$B$9,Paramètres!$A$1:$I$89,3,0)*0.475*44/12</f>
        <v>5.5714069735522697E-25</v>
      </c>
      <c r="AC203" s="22">
        <f t="shared" si="163"/>
        <v>0.18435614709097767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243.38048563215585</v>
      </c>
      <c r="AO203" s="59">
        <f t="shared" si="205"/>
        <v>372.1604147006675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0.25217101466323788</v>
      </c>
      <c r="AV203" s="21">
        <f>EXP(-LN(2)/25)*AV202+(1-EXP(-LN(2)/25))/(LN(2)/25)*Calculateur!AQ203*Calculateur!AS203*VLOOKUP('Données projet'!$B$10,Paramètres!$A$1:$I$89,3,0)*0.475*44/12</f>
        <v>0.17376242036100401</v>
      </c>
      <c r="AW203" s="21">
        <f>EXP(-LN(2)/2)*AW202+(1-EXP(-LN(2)/2))/(LN(2)/2)*AQ203*AT203*VLOOKUP('Données projet'!$B$10,Paramètres!$A$1:$I$89,3,0)*0.475*44/12</f>
        <v>7.5777341797807027E-25</v>
      </c>
      <c r="AX203" s="21">
        <f t="shared" si="166"/>
        <v>0.42593343502424186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-5.1159076974727213E-13</v>
      </c>
      <c r="BE203" s="13">
        <f>BD203*VLOOKUP('Données projet'!$B$11,Paramètres!$A$1:$I$89,3,0)*VLOOKUP('Données projet'!$B$11,Paramètres!$A$1:$I$89,5,0)</f>
        <v>-3.4317508834647017E-13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207.93042467236967</v>
      </c>
      <c r="BJ203" s="59">
        <f t="shared" si="206"/>
        <v>250.70954318710835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9.4922327962724401E-2</v>
      </c>
      <c r="BQ203" s="21">
        <f>EXP(-LN(2)/25)*BQ202+(1-EXP(-LN(2)/25))/(LN(2)/25)*Calculateur!BL203*Calculateur!BN203*VLOOKUP('Données projet'!$B$11,Paramètres!$A$1:$I$89,3,0)*0.475*44/12</f>
        <v>0.155261313954072</v>
      </c>
      <c r="BR203" s="21">
        <f>EXP(-LN(2)/2)*BR202+(1-EXP(-LN(2)/2))/(LN(2)/2)*BL203*BO203*VLOOKUP('Données projet'!$B$11,Paramètres!$A$1:$I$89,3,0)*0.475*44/12</f>
        <v>5.2392082865826981E-25</v>
      </c>
      <c r="BS203" s="22">
        <f t="shared" si="169"/>
        <v>0.25018364191679643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1.7053025658242404E-13</v>
      </c>
      <c r="BZ203" s="13">
        <f>BY203*VLOOKUP('Données projet'!$B$12,Paramètres!$A$1:$I$89,3,0)*VLOOKUP('Données projet'!$B$12,Paramètres!$A$1:$I$89,5,0)</f>
        <v>1.3301360013429075E-13</v>
      </c>
      <c r="CA203" s="13">
        <f t="shared" si="170"/>
        <v>1.9329766731057041E-12</v>
      </c>
      <c r="CB203" s="20">
        <f t="shared" si="171"/>
        <v>3.5982663925596575E-12</v>
      </c>
      <c r="CC203" s="59">
        <f t="shared" si="195"/>
        <v>293.3333333333369</v>
      </c>
      <c r="CD203" s="59">
        <f ca="1">AVERAGE(OFFSET($CC$3,0,0,'Données projet'!$E$12+1,1))-AVERAGE(OFFSET($H$3,0,0,'Données projet'!$E$12+1,1))</f>
        <v>266.30229009596883</v>
      </c>
      <c r="CE203" s="59">
        <f t="shared" si="207"/>
        <v>270.19195828386046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4.9891789630003403E-2</v>
      </c>
      <c r="CL203" s="21">
        <f>EXP(-LN(2)/25)*CL202+(1-EXP(-LN(2)/25))/(LN(2)/25)*Calculateur!CG203*Calculateur!CI203*VLOOKUP('Données projet'!$B$12,Paramètres!$A$1:$I$89,3,0)*0.475*44/12</f>
        <v>7.5120587509302741E-2</v>
      </c>
      <c r="CM203" s="21">
        <f>EXP(-LN(2)/2)*CM202+(1-EXP(-LN(2)/2))/(LN(2)/2)*CG203*CJ203*VLOOKUP('Données projet'!$B$12,Paramètres!$A$1:$I$89,3,0)*0.475*44/12</f>
        <v>3.3788207329970192E-25</v>
      </c>
      <c r="CN203" s="22">
        <f t="shared" si="172"/>
        <v>0.12501237713930613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-5.1159076974727213E-13</v>
      </c>
      <c r="CU203" s="17">
        <f>CT203*VLOOKUP('Données projet'!$B$13,Paramètres!$A$1:$I$89,3,0)*VLOOKUP('Données projet'!$B$13,Paramètres!$A$1:$I$89,5,0)</f>
        <v>-4.0702161641092972E-13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260.20517190557814</v>
      </c>
      <c r="CZ203" s="59">
        <f t="shared" si="208"/>
        <v>307.22009971147133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0.11258229595578949</v>
      </c>
      <c r="DG203" s="21">
        <f>EXP(-LN(2)/25)*DG202+(1-EXP(-LN(2)/25))/(LN(2)/25)*Calculateur!DB203*Calculateur!DD203*VLOOKUP('Données projet'!$B$13,Paramètres!$A$1:$I$89,3,0)*0.475*44/12</f>
        <v>0.18414713980599212</v>
      </c>
      <c r="DH203" s="21">
        <f>EXP(-LN(2)/2)*DH202+(1-EXP(-LN(2)/2))/(LN(2)/2)*DB203*DE203*VLOOKUP('Données projet'!$B$13,Paramètres!$A$1:$I$89,3,0)*0.475*44/12</f>
        <v>6.2139447119934331E-25</v>
      </c>
      <c r="DI203" s="22">
        <f t="shared" si="175"/>
        <v>0.29672943576178162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-3.4106051316484809E-13</v>
      </c>
      <c r="DP203" s="17">
        <f>DO203*VLOOKUP('Données projet'!$B$14,Paramètres!$A$1:$I$89,3,0)*VLOOKUP('Données projet'!$B$14,Paramètres!$A$1:$I$89,5,0)</f>
        <v>-3.2987372833304104E-13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347.8889410585312</v>
      </c>
      <c r="DU203" s="59">
        <f t="shared" si="209"/>
        <v>254.78167322479203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8.8832971074549683E-2</v>
      </c>
      <c r="EB203" s="21">
        <f>EXP(-LN(2)/25)*EB202+(1-EXP(-LN(2)/25))/(LN(2)/25)*Calculateur!DW203*Calculateur!DY203*VLOOKUP('Données projet'!$B$14,Paramètres!$A$1:$I$89,3,0)*0.475*44/12</f>
        <v>0.10823739305718506</v>
      </c>
      <c r="EC203" s="21">
        <f>EXP(-LN(2)/2)*EC202+(1-EXP(-LN(2)/2))/(LN(2)/2)*DW203*DZ203*VLOOKUP('Données projet'!$B$14,Paramètres!$A$1:$I$89,3,0)*0.475*44/12</f>
        <v>5.9556419372455024E-25</v>
      </c>
      <c r="ED203" s="22">
        <f t="shared" si="178"/>
        <v>0.19707036413173473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-3.4106051316484809E-13</v>
      </c>
      <c r="EK203" s="17">
        <f>EJ203*VLOOKUP('Données projet'!$B$15,Paramètres!$A$1:$I$89,3,0)*VLOOKUP('Données projet'!$B$15,Paramètres!$A$1:$I$89,5,0)</f>
        <v>-3.6711753637064249E-13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399.38728019348088</v>
      </c>
      <c r="EP203" s="59">
        <f t="shared" si="210"/>
        <v>289.54922160039791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9.8862500066837555E-2</v>
      </c>
      <c r="EW203" s="21">
        <f>EXP(-LN(2)/25)*EW202+(1-EXP(-LN(2)/25))/(LN(2)/25)*Calculateur!ER203*Calculateur!ET203*VLOOKUP('Données projet'!$B$15,Paramètres!$A$1:$I$89,3,0)*0.475*44/12</f>
        <v>0.1204577438862223</v>
      </c>
      <c r="EX203" s="21">
        <f>EXP(-LN(2)/2)*EX202+(1-EXP(-LN(2)/2))/(LN(2)/2)*ER203*EU203*VLOOKUP('Données projet'!$B$15,Paramètres!$A$1:$I$89,3,0)*0.475*44/12</f>
        <v>6.6280531237087048E-25</v>
      </c>
      <c r="EY203" s="22">
        <f t="shared" si="181"/>
        <v>0.21932024395305985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1.3467943429205997</v>
      </c>
      <c r="BA205" s="82">
        <f>EXP(LN('Données projet'!B88)/'Données projet'!A88)</f>
        <v>1.2709816152101407</v>
      </c>
      <c r="BV205" s="82">
        <f>EXP(LN('Données projet'!B114)/'Données projet'!A114)</f>
        <v>1.2688471048731957</v>
      </c>
      <c r="CQ205" s="82">
        <f>EXP(LN('Données projet'!B140)/'Données projet'!A140)</f>
        <v>1.2709816152101407</v>
      </c>
      <c r="DL205" s="82">
        <f>EXP(LN('Données projet'!B166)/'Données projet'!A166)</f>
        <v>1.2392705892426346</v>
      </c>
      <c r="EG205" s="82">
        <f>EXP(LN('Données projet'!B192)/'Données projet'!A192)</f>
        <v>1.2392705892426346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G16" sqref="G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6.6148000000000007</v>
      </c>
      <c r="C6" s="147">
        <f ca="1">IF(OR('Données projet'!B9="",'Données projet'!C9="",'Données projet'!C9=0%),0,Calculateur!S3)</f>
        <v>318.40875902853116</v>
      </c>
      <c r="D6" s="147">
        <f>IF(OR('Données projet'!B9="",'Données projet'!C9="",'Données projet'!C9=0%),0,Calculateur!T3)</f>
        <v>234.87694492493506</v>
      </c>
      <c r="E6" s="147">
        <f ca="1">MIN(C6,D6)</f>
        <v>234.87694492493506</v>
      </c>
      <c r="F6" s="147">
        <f ca="1">E6*B6</f>
        <v>1553.6640152894606</v>
      </c>
      <c r="G6" s="147">
        <f ca="1">F6*(100%-'Données projet'!$C$24)*(100%-'Données projet'!$C$25)*(100%-'Données projet'!$C$26)*(100%-'Données projet'!$C$27)</f>
        <v>1398.2976137605147</v>
      </c>
      <c r="H6" s="148">
        <f>IF(OR('Données projet'!B9="",'Données projet'!C9="",'Données projet'!C9=0%),0,AVERAGE(Calculateur!$AC$3:$AC$33)*B6)</f>
        <v>9.6385084190295114</v>
      </c>
      <c r="I6" s="149">
        <f>H6*(100%-'Données projet'!$C$24)*(100%-'Données projet'!$C$25)*(100%-'Données projet'!$C$26)*(100%-'Données projet'!$C$27)</f>
        <v>8.6746575771265597</v>
      </c>
      <c r="J6" s="150">
        <f>IF(OR('Données projet'!B9="",'Données projet'!C9="",'Données projet'!C9=0%),0,SUM(Calculateur!$V$3:$V$33)*VLOOKUP('Données projet'!$B$9,Paramètres!$A$1:$I$89,9,0)*B6)</f>
        <v>102.52940000000001</v>
      </c>
      <c r="K6" s="151">
        <f>J6*(100%-'Données projet'!$C$24)*(100%-'Données projet'!$C$25)*(100%-'Données projet'!$C$26)*(100%-'Données projet'!$C$27)</f>
        <v>92.276460000000014</v>
      </c>
      <c r="L6" s="152">
        <f ca="1">G6+I6+K6</f>
        <v>1499.2487313376412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rouge d'Amérique</v>
      </c>
      <c r="B7" s="154">
        <f>'Données projet'!D10</f>
        <v>3.0198</v>
      </c>
      <c r="C7" s="147">
        <f ca="1">IF(OR('Données projet'!B10="",'Données projet'!C10="",'Données projet'!C10=0%),0,Calculateur!AN3)</f>
        <v>243.38048563215585</v>
      </c>
      <c r="D7" s="147">
        <f>IF(OR('Données projet'!B10="",'Données projet'!C10="",'Données projet'!C10=0%),0,Calculateur!AO3)</f>
        <v>372.1604147006675</v>
      </c>
      <c r="E7" s="147">
        <f t="shared" ref="E7:E15" ca="1" si="0">MIN(C7,D7)</f>
        <v>243.38048563215585</v>
      </c>
      <c r="F7" s="147">
        <f t="shared" ref="F7:F15" ca="1" si="1">E7*B7</f>
        <v>734.9603905119842</v>
      </c>
      <c r="G7" s="147">
        <f ca="1">F7*(100%-'Données projet'!$C$24)*(100%-'Données projet'!$C$25)*(100%-'Données projet'!$C$26)*(100%-'Données projet'!$C$27)</f>
        <v>661.46435146078579</v>
      </c>
      <c r="H7" s="155">
        <f>IF(OR('Données projet'!B10="",'Données projet'!C10="",'Données projet'!C10=0%),0,AVERAGE(Calculateur!$AX$3:$AX$33)*B7)</f>
        <v>16.207670463039197</v>
      </c>
      <c r="I7" s="149">
        <f>H7*(100%-'Données projet'!$C$24)*(100%-'Données projet'!$C$25)*(100%-'Données projet'!$C$26)*(100%-'Données projet'!$C$27)</f>
        <v>14.586903416735277</v>
      </c>
      <c r="J7" s="150">
        <f>IF(OR('Données projet'!B10="",'Données projet'!C10="",'Données projet'!C10=0%),0,SUM(Calculateur!$AQ$3:$AQ$33)*VLOOKUP('Données projet'!$B$10,Paramètres!$A$1:$I$89,9,0)*B7)</f>
        <v>114.75239999999999</v>
      </c>
      <c r="K7" s="151">
        <f>J7*(100%-'Données projet'!$C$24)*(100%-'Données projet'!$C$25)*(100%-'Données projet'!$C$26)*(100%-'Données projet'!$C$27)</f>
        <v>103.27715999999999</v>
      </c>
      <c r="L7" s="152">
        <f t="shared" ref="L7:L15" ca="1" si="2">G7+I7+K7</f>
        <v>779.32841487752103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Tilleul</v>
      </c>
      <c r="B8" s="154">
        <f>'Données projet'!D11</f>
        <v>2.4446000000000003</v>
      </c>
      <c r="C8" s="147">
        <f ca="1">IF(OR('Données projet'!B11="",'Données projet'!C11="",'Données projet'!C11=0%),0,Calculateur!BI3)</f>
        <v>207.93042467236967</v>
      </c>
      <c r="D8" s="147">
        <f>IF(OR('Données projet'!B11="",'Données projet'!C11="",'Données projet'!C11=0%),0,Calculateur!BJ3)</f>
        <v>250.70954318710835</v>
      </c>
      <c r="E8" s="147">
        <f t="shared" ca="1" si="0"/>
        <v>207.93042467236967</v>
      </c>
      <c r="F8" s="147">
        <f t="shared" ca="1" si="1"/>
        <v>508.30671615407493</v>
      </c>
      <c r="G8" s="147">
        <f ca="1">F8*(100%-'Données projet'!$C$24)*(100%-'Données projet'!$C$25)*(100%-'Données projet'!$C$26)*(100%-'Données projet'!$C$27)</f>
        <v>457.47604453866745</v>
      </c>
      <c r="H8" s="155">
        <f>IF(OR('Données projet'!B11="",'Données projet'!C11="",'Données projet'!C11=0%),0,AVERAGE(Calculateur!$BS$3:$BS$33)*B8)</f>
        <v>10.523500814741929</v>
      </c>
      <c r="I8" s="149">
        <f>H8*(100%-'Données projet'!$C$24)*(100%-'Données projet'!$C$25)*(100%-'Données projet'!$C$26)*(100%-'Données projet'!$C$27)</f>
        <v>9.471150733267736</v>
      </c>
      <c r="J8" s="150">
        <f>IF(OR('Données projet'!B11="",'Données projet'!C11="",'Données projet'!C11=0%),0,SUM(Calculateur!$BL$3:$BL$33)*VLOOKUP('Données projet'!$B$11,Paramètres!$A$1:$I$89,9,0)*B8)</f>
        <v>83.727550000000008</v>
      </c>
      <c r="K8" s="151">
        <f>J8*(100%-'Données projet'!$C$24)*(100%-'Données projet'!$C$25)*(100%-'Données projet'!$C$26)*(100%-'Données projet'!$C$27)</f>
        <v>75.35479500000001</v>
      </c>
      <c r="L8" s="152">
        <f t="shared" ca="1" si="2"/>
        <v>542.30199027193521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Merisier</v>
      </c>
      <c r="B9" s="154">
        <f>'Données projet'!D12</f>
        <v>0.71900000000000008</v>
      </c>
      <c r="C9" s="147">
        <f ca="1">IF(OR('Données projet'!B12="",'Données projet'!C12="",'Données projet'!C12=0%),0,Calculateur!CD3)</f>
        <v>266.30229009596883</v>
      </c>
      <c r="D9" s="147">
        <f>IF(OR('Données projet'!B12="",'Données projet'!C12="",'Données projet'!C12=0%),0,Calculateur!CE3)</f>
        <v>270.19195828386046</v>
      </c>
      <c r="E9" s="147">
        <f t="shared" ca="1" si="0"/>
        <v>266.30229009596883</v>
      </c>
      <c r="F9" s="147">
        <f t="shared" ca="1" si="1"/>
        <v>191.47134657900162</v>
      </c>
      <c r="G9" s="147">
        <f ca="1">F9*(100%-'Données projet'!$C$24)*(100%-'Données projet'!$C$25)*(100%-'Données projet'!$C$26)*(100%-'Données projet'!$C$27)</f>
        <v>172.32421192110147</v>
      </c>
      <c r="H9" s="155">
        <f>IF(OR('Données projet'!B12="",'Données projet'!C12="",'Données projet'!C12=0%),0,AVERAGE(Calculateur!$CN$3:$CN$33)*B9)</f>
        <v>1.4239241718705133</v>
      </c>
      <c r="I9" s="149">
        <f>H9*(100%-'Données projet'!$C$24)*(100%-'Données projet'!$C$25)*(100%-'Données projet'!$C$26)*(100%-'Données projet'!$C$27)</f>
        <v>1.2815317546834621</v>
      </c>
      <c r="J9" s="150">
        <f>IF(OR('Données projet'!B12="",'Données projet'!C12="",'Données projet'!C12=0%),0,SUM(Calculateur!$CG$3:$CG$33)*VLOOKUP('Données projet'!$B$12,Paramètres!$A$1:$I$89,9,0)*B9)</f>
        <v>11.863500000000002</v>
      </c>
      <c r="K9" s="151">
        <f>J9*(100%-'Données projet'!$C$24)*(100%-'Données projet'!$C$25)*(100%-'Données projet'!$C$26)*(100%-'Données projet'!$C$27)</f>
        <v>10.677150000000003</v>
      </c>
      <c r="L9" s="152">
        <f t="shared" ca="1" si="2"/>
        <v>184.28289367578495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Erable plane</v>
      </c>
      <c r="B10" s="154">
        <f>'Données projet'!D13</f>
        <v>0.71900000000000008</v>
      </c>
      <c r="C10" s="147">
        <f ca="1">IF(OR('Données projet'!B13="",'Données projet'!C13="",'Données projet'!C13=0%),0,Calculateur!CY3)</f>
        <v>260.20517190557814</v>
      </c>
      <c r="D10" s="147">
        <f>IF(OR('Données projet'!B13="",'Données projet'!C13="",'Données projet'!C13=0%),0,Calculateur!CZ3)</f>
        <v>307.22009971147133</v>
      </c>
      <c r="E10" s="147">
        <f t="shared" ca="1" si="0"/>
        <v>260.20517190557814</v>
      </c>
      <c r="F10" s="147">
        <f t="shared" ca="1" si="1"/>
        <v>187.08751860011071</v>
      </c>
      <c r="G10" s="147">
        <f ca="1">F10*(100%-'Données projet'!$C$24)*(100%-'Données projet'!$C$25)*(100%-'Données projet'!$C$26)*(100%-'Données projet'!$C$27)</f>
        <v>168.37876674009965</v>
      </c>
      <c r="H10" s="155">
        <f>IF(OR('Données projet'!B13="",'Données projet'!C13="",'Données projet'!C13=0%),0,AVERAGE(Calculateur!$DI$3:$DI$33)*B10)</f>
        <v>3.6709886563053242</v>
      </c>
      <c r="I10" s="149">
        <f>H10*(100%-'Données projet'!$C$24)*(100%-'Données projet'!$C$25)*(100%-'Données projet'!$C$26)*(100%-'Données projet'!$C$27)</f>
        <v>3.3038897906747917</v>
      </c>
      <c r="J10" s="150">
        <f>IF(OR('Données projet'!B13="",'Données projet'!C13="",'Données projet'!C13=0%),0,SUM(Calculateur!$DB$3:$DB$33)*VLOOKUP('Données projet'!$B$13,Paramètres!$A$1:$I$89,9,0)*B10)</f>
        <v>24.625750000000004</v>
      </c>
      <c r="K10" s="151">
        <f>J10*(100%-'Données projet'!$C$24)*(100%-'Données projet'!$C$25)*(100%-'Données projet'!$C$26)*(100%-'Données projet'!$C$27)</f>
        <v>22.163175000000003</v>
      </c>
      <c r="L10" s="152">
        <f t="shared" ca="1" si="2"/>
        <v>193.84583153077443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Alisier torminal</v>
      </c>
      <c r="B11" s="154">
        <f>'Données projet'!D14</f>
        <v>0.43140000000000001</v>
      </c>
      <c r="C11" s="147">
        <f ca="1">IF(OR('Données projet'!B14="",'Données projet'!C14="",'Données projet'!C14=0%),0,Calculateur!DT3)</f>
        <v>347.8889410585312</v>
      </c>
      <c r="D11" s="147">
        <f>IF(OR('Données projet'!B14="",'Données projet'!C14="",'Données projet'!C14=0%),0,Calculateur!DU3)</f>
        <v>254.78167322479203</v>
      </c>
      <c r="E11" s="147">
        <f t="shared" ca="1" si="0"/>
        <v>254.78167322479203</v>
      </c>
      <c r="F11" s="147">
        <f t="shared" ca="1" si="1"/>
        <v>109.91281382917528</v>
      </c>
      <c r="G11" s="147">
        <f ca="1">F11*(100%-'Données projet'!$C$24)*(100%-'Données projet'!$C$25)*(100%-'Données projet'!$C$26)*(100%-'Données projet'!$C$27)</f>
        <v>98.921532446257757</v>
      </c>
      <c r="H11" s="155">
        <f>IF(OR('Données projet'!B14="",'Données projet'!C14="",'Données projet'!C14=0%),0,AVERAGE(Calculateur!$ED$3:$ED$33)*B11)</f>
        <v>0.67194998723369159</v>
      </c>
      <c r="I11" s="149">
        <f>H11*(100%-'Données projet'!$C$24)*(100%-'Données projet'!$C$25)*(100%-'Données projet'!$C$26)*(100%-'Données projet'!$C$27)</f>
        <v>0.6047549885103225</v>
      </c>
      <c r="J11" s="150">
        <f>IF(OR('Données projet'!B14="",'Données projet'!C14="",'Données projet'!C14=0%),0,SUM(Calculateur!$DW$3:$DW$33)*VLOOKUP('Données projet'!$B$14,Paramètres!$A$1:$I$89,9,0)*B11)</f>
        <v>6.6867000000000001</v>
      </c>
      <c r="K11" s="151">
        <f>J11*(100%-'Données projet'!$C$24)*(100%-'Données projet'!$C$25)*(100%-'Données projet'!$C$26)*(100%-'Données projet'!$C$27)</f>
        <v>6.0180300000000004</v>
      </c>
      <c r="L11" s="152">
        <f t="shared" ca="1" si="2"/>
        <v>105.54431743476808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Cormier</v>
      </c>
      <c r="B12" s="154">
        <f>'Données projet'!D15</f>
        <v>0.43140000000000001</v>
      </c>
      <c r="C12" s="147">
        <f ca="1">IF(OR('Données projet'!B15="",'Données projet'!C15="",'Données projet'!C15=0%),0,Calculateur!EO3)</f>
        <v>399.38728019348088</v>
      </c>
      <c r="D12" s="147">
        <f>IF(OR('Données projet'!B15="",'Données projet'!C15="",'Données projet'!C15=0%),0,Calculateur!EP3)</f>
        <v>289.54922160039791</v>
      </c>
      <c r="E12" s="147">
        <f t="shared" ca="1" si="0"/>
        <v>289.54922160039791</v>
      </c>
      <c r="F12" s="147">
        <f t="shared" ca="1" si="1"/>
        <v>124.91153419841166</v>
      </c>
      <c r="G12" s="147">
        <f ca="1">F12*(100%-'Données projet'!$C$24)*(100%-'Données projet'!$C$25)*(100%-'Données projet'!$C$26)*(100%-'Données projet'!$C$27)</f>
        <v>112.42038077857049</v>
      </c>
      <c r="H12" s="155">
        <f>IF(OR('Données projet'!B15="",'Données projet'!C15="",'Données projet'!C15=0%),0,AVERAGE(Calculateur!$EY$3:$EY$33)*B12)</f>
        <v>0.74781530837297927</v>
      </c>
      <c r="I12" s="149">
        <f>H12*(100%-'Données projet'!$C$24)*(100%-'Données projet'!$C$25)*(100%-'Données projet'!$C$26)*(100%-'Données projet'!$C$27)</f>
        <v>0.67303377753568139</v>
      </c>
      <c r="J12" s="150">
        <f>IF(OR('Données projet'!B15="",'Données projet'!C15="",'Données projet'!C15=0%),0,SUM(Calculateur!$ER$3:$ER$33)*VLOOKUP('Données projet'!$B$15,Paramètres!$A$1:$I$89,9,0)*B12)</f>
        <v>6.6867000000000001</v>
      </c>
      <c r="K12" s="151">
        <f>J12*(100%-'Données projet'!$C$24)*(100%-'Données projet'!$C$25)*(100%-'Données projet'!$C$26)*(100%-'Données projet'!$C$27)</f>
        <v>6.0180300000000004</v>
      </c>
      <c r="L12" s="152">
        <f t="shared" ca="1" si="2"/>
        <v>119.11144455610616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3410.3143351622189</v>
      </c>
      <c r="G16" s="166">
        <f t="shared" ca="1" si="3"/>
        <v>3069.2829016459978</v>
      </c>
      <c r="H16" s="167">
        <f t="shared" si="3"/>
        <v>42.884357820593138</v>
      </c>
      <c r="I16" s="167">
        <f t="shared" si="3"/>
        <v>38.595922038533828</v>
      </c>
      <c r="J16" s="168">
        <f t="shared" si="3"/>
        <v>350.87199999999996</v>
      </c>
      <c r="K16" s="168">
        <f t="shared" si="3"/>
        <v>315.78480000000008</v>
      </c>
      <c r="L16" s="169">
        <f t="shared" ca="1" si="3"/>
        <v>3423.6636236845311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Tilleul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Merisier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Erable plane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Alisier torminal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Cormier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C1" zoomScale="80" zoomScaleNormal="80" workbookViewId="0">
      <selection activeCell="I30" sqref="I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-1764.9670352075691</v>
      </c>
      <c r="U10" s="178">
        <f>'Données projet'!D9</f>
        <v>6.6148000000000007</v>
      </c>
      <c r="V10" s="177">
        <f>U10*T10</f>
        <v>-11674.903944491029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-384.23754231631881</v>
      </c>
      <c r="U11" s="178">
        <f>'Données projet'!D10</f>
        <v>3.0198</v>
      </c>
      <c r="V11" s="177">
        <f t="shared" ref="V11" si="0">U11*T11</f>
        <v>-1160.3205302868196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Tilleul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-1747.7255079064726</v>
      </c>
      <c r="U12" s="178">
        <f>'Données projet'!D11</f>
        <v>2.4446000000000003</v>
      </c>
      <c r="V12" s="177">
        <f t="shared" ref="V12:V19" si="1">U12*T12</f>
        <v>-4272.4897766281638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Merisier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-157.83482033590099</v>
      </c>
      <c r="U13" s="178">
        <f>'Données projet'!D12</f>
        <v>0.71900000000000008</v>
      </c>
      <c r="V13" s="177">
        <f t="shared" si="1"/>
        <v>-113.48323582151282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plane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47.963392817869817</v>
      </c>
      <c r="U14" s="178">
        <f>'Données projet'!D13</f>
        <v>0.71900000000000008</v>
      </c>
      <c r="V14" s="177">
        <f t="shared" si="1"/>
        <v>34.4856794360484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Alisier torminal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-2500.9802476674281</v>
      </c>
      <c r="U15" s="178">
        <f>'Données projet'!D14</f>
        <v>0.43140000000000001</v>
      </c>
      <c r="V15" s="177">
        <f t="shared" si="1"/>
        <v>-1078.9228788437285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>Cormier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-2983.9802476674272</v>
      </c>
      <c r="U16" s="178">
        <f>'Données projet'!D15</f>
        <v>0.43140000000000001</v>
      </c>
      <c r="V16" s="177">
        <f t="shared" si="1"/>
        <v>-1287.289078843728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3405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149.99999999999997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1110+1789</f>
        <v>2899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1376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6</v>
      </c>
      <c r="C23" s="191">
        <v>10</v>
      </c>
      <c r="D23" s="182">
        <f>B23*C23</f>
        <v>60</v>
      </c>
      <c r="E23" s="193"/>
      <c r="F23" s="230"/>
      <c r="H23" s="190">
        <v>3</v>
      </c>
      <c r="I23" s="191">
        <v>900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-113590.19122000142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56</v>
      </c>
      <c r="C24" s="191">
        <v>15</v>
      </c>
      <c r="D24" s="182">
        <f t="shared" ref="D24:D42" si="2">B24*C24</f>
        <v>840</v>
      </c>
      <c r="E24" s="193"/>
      <c r="F24" s="233"/>
      <c r="H24" s="190">
        <v>5</v>
      </c>
      <c r="I24" s="191">
        <v>1000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575.91903344860543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56</v>
      </c>
      <c r="C25" s="191">
        <v>20</v>
      </c>
      <c r="D25" s="182">
        <f t="shared" si="2"/>
        <v>1120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-114166.11025345002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56</v>
      </c>
      <c r="C26" s="191">
        <v>35</v>
      </c>
      <c r="D26" s="182">
        <f t="shared" si="2"/>
        <v>1960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56</v>
      </c>
      <c r="C27" s="191">
        <v>45</v>
      </c>
      <c r="D27" s="182">
        <f t="shared" si="2"/>
        <v>2520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56</v>
      </c>
      <c r="C28" s="191">
        <v>55</v>
      </c>
      <c r="D28" s="182">
        <f t="shared" si="2"/>
        <v>3080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56</v>
      </c>
      <c r="C29" s="191">
        <v>70</v>
      </c>
      <c r="D29" s="182">
        <f t="shared" si="2"/>
        <v>3920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56</v>
      </c>
      <c r="C30" s="191">
        <v>90</v>
      </c>
      <c r="D30" s="182">
        <f t="shared" si="2"/>
        <v>5040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55</v>
      </c>
      <c r="C31" s="191">
        <v>110</v>
      </c>
      <c r="D31" s="182">
        <f t="shared" si="2"/>
        <v>6050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51</v>
      </c>
      <c r="C32" s="193">
        <v>130</v>
      </c>
      <c r="D32" s="182">
        <f t="shared" si="2"/>
        <v>6630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352</v>
      </c>
      <c r="C33" s="193">
        <v>180</v>
      </c>
      <c r="D33" s="182">
        <f t="shared" si="2"/>
        <v>63360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3001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15</v>
      </c>
      <c r="B54" s="181">
        <f>'Données projet'!D62</f>
        <v>21</v>
      </c>
      <c r="C54" s="191">
        <v>10</v>
      </c>
      <c r="D54" s="179">
        <f>B54*C54</f>
        <v>210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43</v>
      </c>
      <c r="C55" s="191">
        <v>20</v>
      </c>
      <c r="D55" s="179">
        <f t="shared" ref="D55:D73" si="4">B55*C55</f>
        <v>860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88</v>
      </c>
      <c r="C56" s="191">
        <v>25</v>
      </c>
      <c r="D56" s="179">
        <f t="shared" si="4"/>
        <v>2200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81</v>
      </c>
      <c r="C57" s="191">
        <v>35</v>
      </c>
      <c r="D57" s="179">
        <f t="shared" si="4"/>
        <v>2835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69</v>
      </c>
      <c r="C58" s="191">
        <v>45</v>
      </c>
      <c r="D58" s="179">
        <f t="shared" si="4"/>
        <v>3105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55</v>
      </c>
      <c r="C59" s="191">
        <v>55</v>
      </c>
      <c r="D59" s="179">
        <f t="shared" si="4"/>
        <v>3025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272</v>
      </c>
      <c r="C60" s="191">
        <v>70</v>
      </c>
      <c r="D60" s="179">
        <f t="shared" si="4"/>
        <v>19040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Tilleul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3277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/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20</v>
      </c>
      <c r="B86" s="181">
        <f>'Données projet'!D89</f>
        <v>67</v>
      </c>
      <c r="C86" s="191">
        <v>10</v>
      </c>
      <c r="D86" s="179">
        <f t="shared" ref="D86:D104" si="6">B86*C86</f>
        <v>670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30</v>
      </c>
      <c r="B87" s="181">
        <f>'Données projet'!D90</f>
        <v>70</v>
      </c>
      <c r="C87" s="191">
        <v>15</v>
      </c>
      <c r="D87" s="179">
        <f t="shared" si="6"/>
        <v>1050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40</v>
      </c>
      <c r="B88" s="181">
        <f>'Données projet'!D91</f>
        <v>70</v>
      </c>
      <c r="C88" s="191">
        <v>20</v>
      </c>
      <c r="D88" s="179">
        <f t="shared" si="6"/>
        <v>1400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50</v>
      </c>
      <c r="B89" s="181">
        <f>'Données projet'!D92</f>
        <v>43</v>
      </c>
      <c r="C89" s="191">
        <v>25</v>
      </c>
      <c r="D89" s="179">
        <f t="shared" si="6"/>
        <v>1075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60</v>
      </c>
      <c r="B90" s="181">
        <f>'Données projet'!D93</f>
        <v>30</v>
      </c>
      <c r="C90" s="191">
        <v>30</v>
      </c>
      <c r="D90" s="179">
        <f t="shared" si="6"/>
        <v>900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70</v>
      </c>
      <c r="B91" s="181">
        <f>'Données projet'!D94</f>
        <v>26</v>
      </c>
      <c r="C91" s="191">
        <v>35</v>
      </c>
      <c r="D91" s="179">
        <f t="shared" si="6"/>
        <v>910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80</v>
      </c>
      <c r="B92" s="181">
        <f>'Données projet'!D95</f>
        <v>342</v>
      </c>
      <c r="C92" s="191">
        <v>50</v>
      </c>
      <c r="D92" s="179">
        <f t="shared" si="6"/>
        <v>17100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Merisier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3722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27</v>
      </c>
      <c r="C116" s="191">
        <v>10</v>
      </c>
      <c r="D116" s="179">
        <f>B116*C116</f>
        <v>270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39</v>
      </c>
      <c r="C117" s="191">
        <v>20</v>
      </c>
      <c r="D117" s="179">
        <f t="shared" ref="D117:D135" si="8">B117*C117</f>
        <v>780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61</v>
      </c>
      <c r="C118" s="191">
        <v>30</v>
      </c>
      <c r="D118" s="179">
        <f t="shared" si="8"/>
        <v>1830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71</v>
      </c>
      <c r="C119" s="191">
        <v>40</v>
      </c>
      <c r="D119" s="179">
        <f t="shared" si="8"/>
        <v>2840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72</v>
      </c>
      <c r="C120" s="191">
        <v>60</v>
      </c>
      <c r="D120" s="179">
        <f t="shared" si="8"/>
        <v>4320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69</v>
      </c>
      <c r="C121" s="191">
        <v>90</v>
      </c>
      <c r="D121" s="179">
        <f t="shared" si="8"/>
        <v>6210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380</v>
      </c>
      <c r="C122" s="191">
        <v>180</v>
      </c>
      <c r="D122" s="179">
        <f t="shared" si="8"/>
        <v>68400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Erable plane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2862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10</v>
      </c>
      <c r="B147" s="175">
        <f>'Données projet'!D140</f>
        <v>0</v>
      </c>
      <c r="C147" s="191">
        <v>0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67</v>
      </c>
      <c r="C148" s="191">
        <v>10</v>
      </c>
      <c r="D148" s="182">
        <f t="shared" ref="D148:D166" si="10">B148*C148</f>
        <v>670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30</v>
      </c>
      <c r="B149" s="175">
        <f>'Données projet'!D142</f>
        <v>70</v>
      </c>
      <c r="C149" s="191">
        <v>20</v>
      </c>
      <c r="D149" s="182">
        <f t="shared" si="10"/>
        <v>1400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40</v>
      </c>
      <c r="B150" s="175">
        <f>'Données projet'!D143</f>
        <v>70</v>
      </c>
      <c r="C150" s="191">
        <v>30</v>
      </c>
      <c r="D150" s="182">
        <f t="shared" si="10"/>
        <v>2100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50</v>
      </c>
      <c r="B151" s="175">
        <f>'Données projet'!D144</f>
        <v>43</v>
      </c>
      <c r="C151" s="191">
        <v>40</v>
      </c>
      <c r="D151" s="182">
        <f t="shared" si="10"/>
        <v>1720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60</v>
      </c>
      <c r="B152" s="175">
        <f>'Données projet'!D145</f>
        <v>30</v>
      </c>
      <c r="C152" s="191">
        <v>50</v>
      </c>
      <c r="D152" s="182">
        <f t="shared" si="10"/>
        <v>1500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70</v>
      </c>
      <c r="B153" s="175">
        <f>'Données projet'!D146</f>
        <v>26</v>
      </c>
      <c r="C153" s="191">
        <v>70</v>
      </c>
      <c r="D153" s="182">
        <f t="shared" si="10"/>
        <v>1820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80</v>
      </c>
      <c r="B154" s="175">
        <f>'Données projet'!D147</f>
        <v>342</v>
      </c>
      <c r="C154" s="191">
        <v>150</v>
      </c>
      <c r="D154" s="182">
        <f t="shared" si="10"/>
        <v>51300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Alisier torminal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4461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6</v>
      </c>
      <c r="C178" s="191">
        <v>10</v>
      </c>
      <c r="D178" s="179">
        <f>B178*C178</f>
        <v>60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56</v>
      </c>
      <c r="C179" s="191">
        <v>20</v>
      </c>
      <c r="D179" s="179">
        <f t="shared" ref="D179:D197" si="11">B179*C179</f>
        <v>1120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56</v>
      </c>
      <c r="C180" s="191">
        <v>25</v>
      </c>
      <c r="D180" s="179">
        <f t="shared" si="11"/>
        <v>1400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56</v>
      </c>
      <c r="C181" s="191">
        <v>40</v>
      </c>
      <c r="D181" s="179">
        <f t="shared" si="11"/>
        <v>2240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56</v>
      </c>
      <c r="C182" s="191">
        <v>50</v>
      </c>
      <c r="D182" s="179">
        <f t="shared" si="11"/>
        <v>2800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56</v>
      </c>
      <c r="C183" s="191">
        <v>60</v>
      </c>
      <c r="D183" s="179">
        <f t="shared" si="11"/>
        <v>3360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56</v>
      </c>
      <c r="C184" s="191">
        <v>70</v>
      </c>
      <c r="D184" s="179">
        <f t="shared" si="11"/>
        <v>3920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90</v>
      </c>
      <c r="B185" s="181">
        <f>'Données projet'!D173</f>
        <v>56</v>
      </c>
      <c r="C185" s="193">
        <v>90</v>
      </c>
      <c r="D185" s="179">
        <f t="shared" si="11"/>
        <v>5040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100</v>
      </c>
      <c r="B186" s="181">
        <f>'Données projet'!D174</f>
        <v>55</v>
      </c>
      <c r="C186" s="193">
        <v>110</v>
      </c>
      <c r="D186" s="179">
        <f t="shared" si="11"/>
        <v>6050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110</v>
      </c>
      <c r="B187" s="181">
        <f>'Données projet'!D175</f>
        <v>51</v>
      </c>
      <c r="C187" s="193">
        <v>150</v>
      </c>
      <c r="D187" s="179">
        <f t="shared" si="11"/>
        <v>7650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120</v>
      </c>
      <c r="B188" s="181">
        <f>'Données projet'!D176</f>
        <v>352</v>
      </c>
      <c r="C188" s="193">
        <v>250</v>
      </c>
      <c r="D188" s="179">
        <f t="shared" si="11"/>
        <v>88000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Cormier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4944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6</v>
      </c>
      <c r="C209" s="193">
        <v>10</v>
      </c>
      <c r="D209" s="179">
        <f>B209*C209</f>
        <v>60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56</v>
      </c>
      <c r="C210" s="193">
        <v>20</v>
      </c>
      <c r="D210" s="179">
        <f t="shared" ref="D210:D228" si="12">B210*C210</f>
        <v>1120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56</v>
      </c>
      <c r="C211" s="193">
        <v>25</v>
      </c>
      <c r="D211" s="179">
        <f t="shared" si="12"/>
        <v>1400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56</v>
      </c>
      <c r="C212" s="193">
        <v>40</v>
      </c>
      <c r="D212" s="179">
        <f t="shared" si="12"/>
        <v>2240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56</v>
      </c>
      <c r="C213" s="193">
        <v>50</v>
      </c>
      <c r="D213" s="179">
        <f t="shared" si="12"/>
        <v>2800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56</v>
      </c>
      <c r="C214" s="193">
        <v>60</v>
      </c>
      <c r="D214" s="179">
        <f t="shared" si="12"/>
        <v>3360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56</v>
      </c>
      <c r="C215" s="193">
        <v>70</v>
      </c>
      <c r="D215" s="179">
        <f t="shared" si="12"/>
        <v>3920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90</v>
      </c>
      <c r="B216" s="181">
        <f>'Données projet'!D199</f>
        <v>56</v>
      </c>
      <c r="C216" s="193">
        <v>90</v>
      </c>
      <c r="D216" s="179">
        <f t="shared" si="12"/>
        <v>5040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100</v>
      </c>
      <c r="B217" s="181">
        <f>'Données projet'!D200</f>
        <v>55</v>
      </c>
      <c r="C217" s="193">
        <v>110</v>
      </c>
      <c r="D217" s="179">
        <f t="shared" si="12"/>
        <v>6050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110</v>
      </c>
      <c r="B218" s="181">
        <f>'Données projet'!D201</f>
        <v>51</v>
      </c>
      <c r="C218" s="193">
        <v>150</v>
      </c>
      <c r="D218" s="179">
        <f t="shared" si="12"/>
        <v>7650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120</v>
      </c>
      <c r="B219" s="181">
        <f>'Données projet'!D202</f>
        <v>352</v>
      </c>
      <c r="C219" s="193">
        <v>250</v>
      </c>
      <c r="D219" s="179">
        <f t="shared" si="12"/>
        <v>88000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Francois LEGRON</cp:lastModifiedBy>
  <dcterms:created xsi:type="dcterms:W3CDTF">2021-02-01T08:22:39Z</dcterms:created>
  <dcterms:modified xsi:type="dcterms:W3CDTF">2025-07-16T09:09:35Z</dcterms:modified>
</cp:coreProperties>
</file>