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GRAND OUEST (PB)/2ROCH-124/Dossier octobre 2024/"/>
    </mc:Choice>
  </mc:AlternateContent>
  <xr:revisionPtr revIDLastSave="90" documentId="8_{18CBCB2D-E654-4020-ADFF-DB83E6FF1CCC}" xr6:coauthVersionLast="47" xr6:coauthVersionMax="47" xr10:uidLastSave="{7D76A3C6-831F-48DF-BA1A-EAD6AF07759D}"/>
  <bookViews>
    <workbookView xWindow="-96" yWindow="-96" windowWidth="23232" windowHeight="12432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8" i="6" l="1"/>
  <c r="E79" i="6"/>
  <c r="E110" i="6"/>
  <c r="E141" i="6"/>
  <c r="E17" i="6"/>
  <c r="E175" i="6" l="1"/>
  <c r="E174" i="6"/>
  <c r="E173" i="6"/>
  <c r="E144" i="6"/>
  <c r="E143" i="6"/>
  <c r="E142" i="6"/>
  <c r="E113" i="6"/>
  <c r="E112" i="6"/>
  <c r="E111" i="6"/>
  <c r="E82" i="6"/>
  <c r="E81" i="6"/>
  <c r="E80" i="6"/>
  <c r="E51" i="6"/>
  <c r="E50" i="6"/>
  <c r="E49" i="6"/>
  <c r="E19" i="6" l="1"/>
  <c r="E18" i="6"/>
  <c r="E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I20" i="6" l="1"/>
  <c r="I24" i="6"/>
  <c r="I22" i="6"/>
  <c r="U30" i="6"/>
  <c r="V10" i="6"/>
  <c r="P67" i="6"/>
  <c r="H19" i="2"/>
  <c r="D20" i="2"/>
  <c r="G20" i="2" s="1"/>
  <c r="P40" i="6"/>
  <c r="U31" i="6" l="1"/>
  <c r="U33" i="6" s="1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G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X130" i="2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A155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D155" i="2" l="1"/>
  <c r="EB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X157" i="2"/>
  <c r="HH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ED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EB161" i="2"/>
  <c r="ED161" i="2" s="1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C162" i="2"/>
  <c r="EW162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HG163" i="2"/>
  <c r="HH163" i="2"/>
  <c r="EA163" i="2"/>
  <c r="ED163" i="2" s="1"/>
  <c r="EV163" i="2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DI163" i="2"/>
  <c r="FS164" i="2"/>
  <c r="EX164" i="2"/>
  <c r="DH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EA165" i="2"/>
  <c r="ED165" i="2" s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HH167" i="2"/>
  <c r="FR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H168" i="2"/>
  <c r="EB168" i="2"/>
  <c r="EW168" i="2"/>
  <c r="DI167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D171" i="2"/>
  <c r="EA172" i="2"/>
  <c r="ED172" i="2" s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ED178" i="2" s="1"/>
  <c r="HG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A179" i="2"/>
  <c r="EV179" i="2"/>
  <c r="EY179" i="2" s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V192" i="2"/>
  <c r="HH192" i="2"/>
  <c r="EB192" i="2"/>
  <c r="ED192" i="2" s="1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DN187" i="2" a="1"/>
  <c r="DN187" i="2" s="1"/>
  <c r="HJ202" i="2"/>
  <c r="EY202" i="2"/>
  <c r="AX200" i="2"/>
  <c r="CS116" i="2" l="1" a="1"/>
  <c r="CS116" i="2" s="1"/>
  <c r="CS24" i="2" a="1"/>
  <c r="CS24" i="2" s="1"/>
  <c r="CS56" i="2" a="1"/>
  <c r="CS56" i="2" s="1"/>
  <c r="FY24" i="2" a="1"/>
  <c r="FY24" i="2" s="1"/>
  <c r="FD48" i="2" a="1"/>
  <c r="FD48" i="2" s="1"/>
  <c r="FY92" i="2" a="1"/>
  <c r="FY92" i="2" s="1"/>
  <c r="CS38" i="2" a="1"/>
  <c r="CS38" i="2" s="1"/>
  <c r="FY18" i="2" a="1"/>
  <c r="FY18" i="2" s="1"/>
  <c r="BX107" i="2" a="1"/>
  <c r="BX107" i="2" s="1"/>
  <c r="FD194" i="2" a="1"/>
  <c r="FD194" i="2" s="1"/>
  <c r="FY121" i="2" a="1"/>
  <c r="FY121" i="2" s="1"/>
  <c r="AH62" i="2" a="1"/>
  <c r="AH62" i="2" s="1"/>
  <c r="AH151" i="2" a="1"/>
  <c r="AH151" i="2" s="1"/>
  <c r="FY190" i="2" a="1"/>
  <c r="FY190" i="2" s="1"/>
  <c r="FY186" i="2" a="1"/>
  <c r="FY186" i="2" s="1"/>
  <c r="FY35" i="2" a="1"/>
  <c r="FY35" i="2" s="1"/>
  <c r="CS72" i="2" a="1"/>
  <c r="CS72" i="2" s="1"/>
  <c r="FD159" i="2" a="1"/>
  <c r="FD159" i="2" s="1"/>
  <c r="FY30" i="2" a="1"/>
  <c r="FY30" i="2" s="1"/>
  <c r="AH90" i="2" a="1"/>
  <c r="AH90" i="2" s="1"/>
  <c r="CS66" i="2" a="1"/>
  <c r="CS66" i="2" s="1"/>
  <c r="FD59" i="2" a="1"/>
  <c r="FD59" i="2" s="1"/>
  <c r="FY55" i="2" a="1"/>
  <c r="FY55" i="2" s="1"/>
  <c r="FY191" i="2" a="1"/>
  <c r="FY191" i="2" s="1"/>
  <c r="FY22" i="2" a="1"/>
  <c r="FY22" i="2" s="1"/>
  <c r="FD43" i="2" a="1"/>
  <c r="FD43" i="2" s="1"/>
  <c r="FY182" i="2" a="1"/>
  <c r="FY182" i="2" s="1"/>
  <c r="FY104" i="2" a="1"/>
  <c r="FY104" i="2" s="1"/>
  <c r="FY78" i="2" a="1"/>
  <c r="FY78" i="2" s="1"/>
  <c r="FY69" i="2" a="1"/>
  <c r="FY69" i="2" s="1"/>
  <c r="FY50" i="2" a="1"/>
  <c r="FY5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Y24" i="2" l="1"/>
  <c r="CY187" i="2"/>
  <c r="CY7" i="2"/>
  <c r="CY94" i="2"/>
  <c r="CY35" i="2"/>
  <c r="CY89" i="2"/>
  <c r="CY56" i="2"/>
  <c r="CY95" i="2"/>
  <c r="CY134" i="2"/>
  <c r="CY28" i="2"/>
  <c r="CY188" i="2"/>
  <c r="CY92" i="2"/>
  <c r="CY91" i="2"/>
  <c r="CY127" i="2"/>
  <c r="CY191" i="2"/>
  <c r="CY166" i="2"/>
  <c r="CY97" i="2"/>
  <c r="CY183" i="2"/>
  <c r="CY48" i="2"/>
  <c r="CY200" i="2"/>
  <c r="CY132" i="2"/>
  <c r="CY124" i="2"/>
  <c r="CY83" i="2"/>
  <c r="CY26" i="2"/>
  <c r="CY21" i="2"/>
  <c r="CY185" i="2"/>
  <c r="CY68" i="2"/>
  <c r="CY55" i="2"/>
  <c r="CY130" i="2"/>
  <c r="CY12" i="2"/>
  <c r="CY100" i="2"/>
  <c r="CY120" i="2"/>
  <c r="CY84" i="2"/>
  <c r="CY104" i="2"/>
  <c r="CY175" i="2"/>
  <c r="CY174" i="2"/>
  <c r="CY16" i="2"/>
  <c r="CY39" i="2"/>
  <c r="CY146" i="2"/>
  <c r="CY90" i="2"/>
  <c r="CY46" i="2"/>
  <c r="CY182" i="2"/>
  <c r="CY102" i="2"/>
  <c r="CY122" i="2"/>
  <c r="CY5" i="2"/>
  <c r="CY44" i="2"/>
  <c r="CY162" i="2"/>
  <c r="CY126" i="2"/>
  <c r="CY142" i="2"/>
  <c r="CY192" i="2"/>
  <c r="CY189" i="2"/>
  <c r="CY196" i="2"/>
  <c r="CY110" i="2"/>
  <c r="CY151" i="2"/>
  <c r="CY62" i="2"/>
  <c r="CY106" i="2"/>
  <c r="CY154" i="2"/>
  <c r="CY9" i="2"/>
  <c r="CY43" i="2"/>
  <c r="CY112" i="2"/>
  <c r="CY13" i="2"/>
  <c r="CY78" i="2"/>
  <c r="CY82" i="2"/>
  <c r="CY109" i="2"/>
  <c r="CY190" i="2"/>
  <c r="CY25" i="2"/>
  <c r="CY137" i="2"/>
  <c r="CY3" i="2"/>
  <c r="C10" i="4" s="1"/>
  <c r="E10" i="4" s="1"/>
  <c r="F10" i="4" s="1"/>
  <c r="G10" i="4" s="1"/>
  <c r="L10" i="4" s="1"/>
  <c r="CY67" i="2"/>
  <c r="CY199" i="2"/>
  <c r="CY53" i="2"/>
  <c r="CY45" i="2"/>
  <c r="CY165" i="2"/>
  <c r="CY148" i="2"/>
  <c r="CY79" i="2"/>
  <c r="CY50" i="2"/>
  <c r="CY77" i="2"/>
  <c r="CY99" i="2"/>
  <c r="CY32" i="2"/>
  <c r="CY69" i="2"/>
  <c r="CY144" i="2"/>
  <c r="CY74" i="2"/>
  <c r="CY186" i="2"/>
  <c r="CY98" i="2"/>
  <c r="CY37" i="2"/>
  <c r="CY203" i="2"/>
  <c r="CY40" i="2"/>
  <c r="CY179" i="2"/>
  <c r="CY80" i="2"/>
  <c r="CY168" i="2"/>
  <c r="CY145" i="2"/>
  <c r="CY57" i="2"/>
  <c r="CY139" i="2"/>
  <c r="CY75" i="2"/>
  <c r="CY52" i="2"/>
  <c r="CY103" i="2"/>
  <c r="CY141" i="2"/>
  <c r="CY171" i="2"/>
  <c r="CY153" i="2"/>
  <c r="CY160" i="2"/>
  <c r="CY155" i="2"/>
  <c r="CY31" i="2"/>
  <c r="CY131" i="2"/>
  <c r="CY51" i="2"/>
  <c r="CY10" i="2"/>
  <c r="CY19" i="2"/>
  <c r="CY149" i="2"/>
  <c r="CY86" i="2"/>
  <c r="CY22" i="2"/>
  <c r="CY59" i="2"/>
  <c r="CY58" i="2"/>
  <c r="CY129" i="2"/>
  <c r="CY20" i="2"/>
  <c r="CY15" i="2"/>
  <c r="CY118" i="2"/>
  <c r="CY161" i="2"/>
  <c r="CY101" i="2"/>
  <c r="CY47" i="2"/>
  <c r="CY73" i="2"/>
  <c r="CY156" i="2"/>
  <c r="CY202" i="2"/>
  <c r="CY119" i="2"/>
  <c r="CY105" i="2"/>
  <c r="CY177" i="2"/>
  <c r="CY23" i="2"/>
  <c r="CY76" i="2"/>
  <c r="CY138" i="2"/>
  <c r="CY136" i="2"/>
  <c r="CY96" i="2"/>
  <c r="CY65" i="2"/>
  <c r="CY159" i="2"/>
  <c r="CY193" i="2"/>
  <c r="CY6" i="2"/>
  <c r="CY63" i="2"/>
  <c r="CY34" i="2"/>
  <c r="CY125" i="2"/>
  <c r="CY170" i="2"/>
  <c r="CY184" i="2"/>
  <c r="CY157" i="2"/>
  <c r="CY147" i="2"/>
  <c r="CY85" i="2"/>
  <c r="CY30" i="2"/>
  <c r="CY116" i="2"/>
  <c r="CY181" i="2"/>
  <c r="CY61" i="2"/>
  <c r="CY11" i="2"/>
  <c r="CY180" i="2"/>
  <c r="CY93" i="2"/>
  <c r="CY87" i="2"/>
  <c r="CY88" i="2"/>
  <c r="CY123" i="2"/>
  <c r="CY70" i="2"/>
  <c r="CY115" i="2"/>
  <c r="CY178" i="2"/>
  <c r="CY41" i="2"/>
  <c r="CY29" i="2"/>
  <c r="CY33" i="2"/>
  <c r="CY140" i="2"/>
  <c r="CY133" i="2"/>
  <c r="CY121" i="2"/>
  <c r="CY64" i="2"/>
  <c r="CY135" i="2"/>
  <c r="CY201" i="2"/>
  <c r="CY173" i="2"/>
  <c r="CY81" i="2"/>
  <c r="CY71" i="2"/>
  <c r="CY60" i="2"/>
  <c r="CY150" i="2"/>
  <c r="CY114" i="2"/>
  <c r="CY36" i="2"/>
  <c r="CY164" i="2"/>
  <c r="CY143" i="2"/>
  <c r="CY42" i="2"/>
  <c r="CY27" i="2"/>
  <c r="CY111" i="2"/>
  <c r="CY167" i="2"/>
  <c r="CY18" i="2"/>
  <c r="CY163" i="2"/>
  <c r="CY17" i="2"/>
  <c r="CY194" i="2"/>
  <c r="CY128" i="2"/>
  <c r="CY198" i="2"/>
  <c r="CY108" i="2"/>
  <c r="CY54" i="2"/>
  <c r="CY72" i="2"/>
  <c r="CY169" i="2"/>
  <c r="CY195" i="2"/>
  <c r="CY4" i="2"/>
  <c r="CY117" i="2"/>
  <c r="CY38" i="2"/>
  <c r="CY113" i="2"/>
  <c r="CY152" i="2"/>
  <c r="CY14" i="2"/>
  <c r="CY8" i="2"/>
  <c r="CY172" i="2"/>
  <c r="CY49" i="2"/>
  <c r="CY66" i="2"/>
  <c r="CY158" i="2"/>
  <c r="CY107" i="2"/>
  <c r="CY197" i="2"/>
  <c r="CY176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140" i="2" l="1"/>
  <c r="CD170" i="2"/>
  <c r="CD122" i="2"/>
  <c r="CD103" i="2"/>
  <c r="CD181" i="2"/>
  <c r="CD194" i="2"/>
  <c r="CD15" i="2"/>
  <c r="CD117" i="2"/>
  <c r="CD127" i="2"/>
  <c r="CD162" i="2"/>
  <c r="CD176" i="2"/>
  <c r="CD104" i="2"/>
  <c r="CD92" i="2"/>
  <c r="CD141" i="2"/>
  <c r="CD128" i="2"/>
  <c r="CD63" i="2"/>
  <c r="CD184" i="2"/>
  <c r="CD129" i="2"/>
  <c r="CD175" i="2"/>
  <c r="CD78" i="2"/>
  <c r="CD189" i="2"/>
  <c r="CD114" i="2"/>
  <c r="CD134" i="2"/>
  <c r="CD8" i="2"/>
  <c r="CD118" i="2"/>
  <c r="CD159" i="2"/>
  <c r="CD145" i="2"/>
  <c r="CD113" i="2"/>
  <c r="CD163" i="2"/>
  <c r="CD193" i="2"/>
  <c r="CD133" i="2"/>
  <c r="CD160" i="2"/>
  <c r="CD7" i="2"/>
  <c r="CD136" i="2"/>
  <c r="CD110" i="2"/>
  <c r="CD156" i="2"/>
  <c r="CD174" i="2"/>
  <c r="CD35" i="2"/>
  <c r="CD177" i="2"/>
  <c r="CD52" i="2"/>
  <c r="CD75" i="2"/>
  <c r="CD23" i="2"/>
  <c r="CD47" i="2"/>
  <c r="CD154" i="2"/>
  <c r="CD85" i="2"/>
  <c r="CD120" i="2"/>
  <c r="CD39" i="2"/>
  <c r="CD97" i="2"/>
  <c r="CD21" i="2"/>
  <c r="CD172" i="2"/>
  <c r="CD87" i="2"/>
  <c r="CD150" i="2"/>
  <c r="CD137" i="2"/>
  <c r="CD77" i="2"/>
  <c r="CD203" i="2"/>
  <c r="CD152" i="2"/>
  <c r="CD190" i="2"/>
  <c r="CD60" i="2"/>
  <c r="CD27" i="2"/>
  <c r="CD19" i="2"/>
  <c r="CD6" i="2"/>
  <c r="CD58" i="2"/>
  <c r="CD155" i="2"/>
  <c r="CD32" i="2"/>
  <c r="CD89" i="2"/>
  <c r="CD153" i="2"/>
  <c r="CD44" i="2"/>
  <c r="CD202" i="2"/>
  <c r="CD28" i="2"/>
  <c r="CD188" i="2"/>
  <c r="CD72" i="2"/>
  <c r="CD132" i="2"/>
  <c r="CD182" i="2"/>
  <c r="CD83" i="2"/>
  <c r="CD37" i="2"/>
  <c r="CD139" i="2"/>
  <c r="CD187" i="2"/>
  <c r="CD102" i="2"/>
  <c r="CD11" i="2"/>
  <c r="CD108" i="2"/>
  <c r="CD198" i="2"/>
  <c r="CD86" i="2"/>
  <c r="CD45" i="2"/>
  <c r="CD17" i="2"/>
  <c r="CD40" i="2"/>
  <c r="CD158" i="2"/>
  <c r="CD99" i="2"/>
  <c r="CD56" i="2"/>
  <c r="CD148" i="2"/>
  <c r="CD166" i="2"/>
  <c r="CD94" i="2"/>
  <c r="CD131" i="2"/>
  <c r="CD121" i="2"/>
  <c r="CD25" i="2"/>
  <c r="CD61" i="2"/>
  <c r="CD69" i="2"/>
  <c r="CD24" i="2"/>
  <c r="CD68" i="2"/>
  <c r="CD196" i="2"/>
  <c r="CD36" i="2"/>
  <c r="CD161" i="2"/>
  <c r="CD49" i="2"/>
  <c r="CD4" i="2"/>
  <c r="CD197" i="2"/>
  <c r="CD195" i="2"/>
  <c r="CD50" i="2"/>
  <c r="CD169" i="2"/>
  <c r="CD142" i="2"/>
  <c r="CD183" i="2"/>
  <c r="CD51" i="2"/>
  <c r="CD180" i="2"/>
  <c r="CD168" i="2"/>
  <c r="CD18" i="2"/>
  <c r="CD16" i="2"/>
  <c r="CD192" i="2"/>
  <c r="CD43" i="2"/>
  <c r="CD185" i="2"/>
  <c r="CD67" i="2"/>
  <c r="CD82" i="2"/>
  <c r="CD62" i="2"/>
  <c r="CD96" i="2"/>
  <c r="CD80" i="2"/>
  <c r="CD95" i="2"/>
  <c r="CD53" i="2"/>
  <c r="CD20" i="2"/>
  <c r="CD115" i="2"/>
  <c r="CD167" i="2"/>
  <c r="CD171" i="2"/>
  <c r="CD3" i="2"/>
  <c r="C9" i="4" s="1"/>
  <c r="E9" i="4" s="1"/>
  <c r="F9" i="4" s="1"/>
  <c r="G9" i="4" s="1"/>
  <c r="L9" i="4" s="1"/>
  <c r="CD147" i="2"/>
  <c r="CD107" i="2"/>
  <c r="CD135" i="2"/>
  <c r="CD116" i="2"/>
  <c r="CD10" i="2"/>
  <c r="CD73" i="2"/>
  <c r="CD151" i="2"/>
  <c r="CD149" i="2"/>
  <c r="CD165" i="2"/>
  <c r="CD130" i="2"/>
  <c r="CD173" i="2"/>
  <c r="CD70" i="2"/>
  <c r="CD186" i="2"/>
  <c r="CD157" i="2"/>
  <c r="CD64" i="2"/>
  <c r="CD119" i="2"/>
  <c r="CD79" i="2"/>
  <c r="CD109" i="2"/>
  <c r="CD93" i="2"/>
  <c r="CD13" i="2"/>
  <c r="CD106" i="2"/>
  <c r="CD76" i="2"/>
  <c r="CD5" i="2"/>
  <c r="CD33" i="2"/>
  <c r="CD59" i="2"/>
  <c r="CD29" i="2"/>
  <c r="CD22" i="2"/>
  <c r="CD74" i="2"/>
  <c r="CD179" i="2"/>
  <c r="CD101" i="2"/>
  <c r="CD91" i="2"/>
  <c r="CD124" i="2"/>
  <c r="CD112" i="2"/>
  <c r="CD199" i="2"/>
  <c r="CD138" i="2"/>
  <c r="CD65" i="2"/>
  <c r="CD38" i="2"/>
  <c r="CD81" i="2"/>
  <c r="CD30" i="2"/>
  <c r="CD105" i="2"/>
  <c r="CD201" i="2"/>
  <c r="CD41" i="2"/>
  <c r="CD100" i="2"/>
  <c r="CD98" i="2"/>
  <c r="CD164" i="2"/>
  <c r="CD123" i="2"/>
  <c r="CD46" i="2"/>
  <c r="CD12" i="2"/>
  <c r="CD178" i="2"/>
  <c r="CD42" i="2"/>
  <c r="CD9" i="2"/>
  <c r="CD84" i="2"/>
  <c r="CD14" i="2"/>
  <c r="CD71" i="2"/>
  <c r="CD191" i="2"/>
  <c r="CD34" i="2"/>
  <c r="CD200" i="2"/>
  <c r="CD26" i="2"/>
  <c r="CD126" i="2"/>
  <c r="CD111" i="2"/>
  <c r="CD54" i="2"/>
  <c r="CD57" i="2"/>
  <c r="CD88" i="2"/>
  <c r="CD125" i="2"/>
  <c r="CD55" i="2"/>
  <c r="CD90" i="2"/>
  <c r="CD66" i="2"/>
  <c r="CD146" i="2"/>
  <c r="CD143" i="2"/>
  <c r="CD48" i="2"/>
  <c r="CD31" i="2"/>
  <c r="CD144" i="2"/>
  <c r="DT76" i="2"/>
  <c r="DT111" i="2"/>
  <c r="DT60" i="2"/>
  <c r="DT143" i="2"/>
  <c r="DT104" i="2"/>
  <c r="DT34" i="2"/>
  <c r="DT65" i="2"/>
  <c r="DT161" i="2"/>
  <c r="DT114" i="2"/>
  <c r="DT172" i="2"/>
  <c r="DT107" i="2"/>
  <c r="DT183" i="2"/>
  <c r="DT142" i="2"/>
  <c r="DT40" i="2"/>
  <c r="DT116" i="2"/>
  <c r="DT23" i="2"/>
  <c r="DT184" i="2"/>
  <c r="DT80" i="2"/>
  <c r="DT109" i="2"/>
  <c r="DT24" i="2"/>
  <c r="DT193" i="2"/>
  <c r="DT173" i="2"/>
  <c r="DT181" i="2"/>
  <c r="DT130" i="2"/>
  <c r="DT91" i="2"/>
  <c r="DT138" i="2"/>
  <c r="DT88" i="2"/>
  <c r="DT14" i="2"/>
  <c r="DT141" i="2"/>
  <c r="DT199" i="2"/>
  <c r="DT38" i="2"/>
  <c r="DT42" i="2"/>
  <c r="DT17" i="2"/>
  <c r="DT75" i="2"/>
  <c r="DT194" i="2"/>
  <c r="DT145" i="2"/>
  <c r="DT155" i="2"/>
  <c r="DT48" i="2"/>
  <c r="DT140" i="2"/>
  <c r="DT123" i="2"/>
  <c r="DT86" i="2"/>
  <c r="DT62" i="2"/>
  <c r="DT63" i="2"/>
  <c r="DT16" i="2"/>
  <c r="DT169" i="2"/>
  <c r="DT125" i="2"/>
  <c r="DT19" i="2"/>
  <c r="DT95" i="2"/>
  <c r="DT3" i="2"/>
  <c r="C11" i="4" s="1"/>
  <c r="E11" i="4" s="1"/>
  <c r="F11" i="4" s="1"/>
  <c r="G11" i="4" s="1"/>
  <c r="L11" i="4" s="1"/>
  <c r="DT174" i="2"/>
  <c r="DT70" i="2"/>
  <c r="DT203" i="2"/>
  <c r="DT152" i="2"/>
  <c r="DT47" i="2"/>
  <c r="DT121" i="2"/>
  <c r="DT164" i="2"/>
  <c r="DT108" i="2"/>
  <c r="DT166" i="2"/>
  <c r="DT68" i="2"/>
  <c r="DT89" i="2"/>
  <c r="DT41" i="2"/>
  <c r="DT50" i="2"/>
  <c r="DT43" i="2"/>
  <c r="DT37" i="2"/>
  <c r="DT135" i="2"/>
  <c r="DT84" i="2"/>
  <c r="DT59" i="2"/>
  <c r="DT28" i="2"/>
  <c r="DT90" i="2"/>
  <c r="DT162" i="2"/>
  <c r="DT154" i="2"/>
  <c r="DT30" i="2"/>
  <c r="DT178" i="2"/>
  <c r="DT45" i="2"/>
  <c r="DT112" i="2"/>
  <c r="DT55" i="2"/>
  <c r="DT96" i="2"/>
  <c r="DT61" i="2"/>
  <c r="DT159" i="2"/>
  <c r="DT31" i="2"/>
  <c r="DT49" i="2"/>
  <c r="DT148" i="2"/>
  <c r="DT79" i="2"/>
  <c r="DT185" i="2"/>
  <c r="DT97" i="2"/>
  <c r="DT85" i="2"/>
  <c r="DT35" i="2"/>
  <c r="DT78" i="2"/>
  <c r="DT9" i="2"/>
  <c r="DT180" i="2"/>
  <c r="DT67" i="2"/>
  <c r="DT158" i="2"/>
  <c r="DT73" i="2"/>
  <c r="DT122" i="2"/>
  <c r="DT13" i="2"/>
  <c r="DT44" i="2"/>
  <c r="DT22" i="2"/>
  <c r="DT186" i="2"/>
  <c r="DT11" i="2"/>
  <c r="DT32" i="2"/>
  <c r="DT167" i="2"/>
  <c r="DT110" i="2"/>
  <c r="DT160" i="2"/>
  <c r="DT171" i="2"/>
  <c r="DT52" i="2"/>
  <c r="DT126" i="2"/>
  <c r="DT187" i="2"/>
  <c r="DT25" i="2"/>
  <c r="DT101" i="2"/>
  <c r="DT4" i="2"/>
  <c r="DT118" i="2"/>
  <c r="DT98" i="2"/>
  <c r="DT53" i="2"/>
  <c r="DT137" i="2"/>
  <c r="DT102" i="2"/>
  <c r="DT56" i="2"/>
  <c r="DT197" i="2"/>
  <c r="DT72" i="2"/>
  <c r="DT189" i="2"/>
  <c r="DT179" i="2"/>
  <c r="DT120" i="2"/>
  <c r="DT124" i="2"/>
  <c r="DT29" i="2"/>
  <c r="DT168" i="2"/>
  <c r="DT99" i="2"/>
  <c r="DT156" i="2"/>
  <c r="DT105" i="2"/>
  <c r="DT176" i="2"/>
  <c r="DT93" i="2"/>
  <c r="DT66" i="2"/>
  <c r="DT74" i="2"/>
  <c r="DT77" i="2"/>
  <c r="DT131" i="2"/>
  <c r="DT58" i="2"/>
  <c r="DT81" i="2"/>
  <c r="DT149" i="2"/>
  <c r="DT103" i="2"/>
  <c r="DT12" i="2"/>
  <c r="DT196" i="2"/>
  <c r="DT136" i="2"/>
  <c r="DT94" i="2"/>
  <c r="DT87" i="2"/>
  <c r="DT113" i="2"/>
  <c r="DT153" i="2"/>
  <c r="DT27" i="2"/>
  <c r="DT147" i="2"/>
  <c r="DT92" i="2"/>
  <c r="DT182" i="2"/>
  <c r="DT71" i="2"/>
  <c r="DT54" i="2"/>
  <c r="DT83" i="2"/>
  <c r="DT202" i="2"/>
  <c r="DT33" i="2"/>
  <c r="DT128" i="2"/>
  <c r="DT198" i="2"/>
  <c r="DT200" i="2"/>
  <c r="DT163" i="2"/>
  <c r="DT165" i="2"/>
  <c r="DT15" i="2"/>
  <c r="DT188" i="2"/>
  <c r="DT150" i="2"/>
  <c r="DT151" i="2"/>
  <c r="DT106" i="2"/>
  <c r="DT117" i="2"/>
  <c r="DT100" i="2"/>
  <c r="DT39" i="2"/>
  <c r="DT190" i="2"/>
  <c r="DT191" i="2"/>
  <c r="DT119" i="2"/>
  <c r="DT26" i="2"/>
  <c r="DT51" i="2"/>
  <c r="DT195" i="2"/>
  <c r="DT46" i="2"/>
  <c r="DT10" i="2"/>
  <c r="DT7" i="2"/>
  <c r="DT170" i="2"/>
  <c r="DT201" i="2"/>
  <c r="DT64" i="2"/>
  <c r="DT192" i="2"/>
  <c r="DT5" i="2"/>
  <c r="DT36" i="2"/>
  <c r="DT133" i="2"/>
  <c r="DT20" i="2"/>
  <c r="DT21" i="2"/>
  <c r="DT177" i="2"/>
  <c r="DT146" i="2"/>
  <c r="DT57" i="2"/>
  <c r="DT134" i="2"/>
  <c r="DT144" i="2"/>
  <c r="DT132" i="2"/>
  <c r="DT139" i="2"/>
  <c r="DT157" i="2"/>
  <c r="DT127" i="2"/>
  <c r="DT175" i="2"/>
  <c r="DT82" i="2"/>
  <c r="DT18" i="2"/>
  <c r="DT129" i="2"/>
  <c r="DT8" i="2"/>
  <c r="DT69" i="2"/>
  <c r="DT6" i="2"/>
  <c r="DT11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tc={2CAA118F-90E1-43F0-A9DA-810A8623D999}</author>
    <author>tc={2311EB51-06CB-4BC1-97CC-E67DF9C08E24}</author>
    <author>tc={C0FC1202-C7E0-4274-AAFD-C12879A96718}</author>
    <author>tc={A381A131-E41B-4562-A414-DA4B5C884694}</author>
    <author>tc={7F9810CA-98E7-4B5C-93AE-D1FDCF90D1D3}</author>
    <author>tc={780AF31F-7158-4E2A-BEA7-8FA664AB5387}</author>
    <author>tc={E904B95B-9970-478B-B8D2-1756F22A0B96}</author>
    <author>tc={2440C543-BD9E-4B6F-8092-2304BC1F6816}</author>
    <author>tc={F186C5A3-215B-430E-BAF5-968A45F5570F}</author>
    <author>tc={C7F252CC-5CF9-452F-9E85-E33F28393010}</author>
    <author>tc={B8307710-4DF8-4FFB-AA98-239E0E36B0E2}</author>
    <author>tc={3AF72111-0B01-451A-BECC-D848F30B4175}</author>
    <author>tc={F5C463C8-31A7-4E5E-9934-708ED537BB7D}</author>
    <author>tc={962D06AF-667D-4A1A-8683-49822758C667}</author>
    <author>tc={6F190185-E9AF-47FF-8728-D976A80137EB}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2CAA118F-90E1-43F0-A9DA-810A8623D99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2311EB51-06CB-4BC1-97CC-E67DF9C08E24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C0FC1202-C7E0-4274-AAFD-C12879A9671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A381A131-E41B-4562-A414-DA4B5C88469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7F9810CA-98E7-4B5C-93AE-D1FDCF90D1D3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780AF31F-7158-4E2A-BEA7-8FA664AB538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1" authorId="13" shapeId="0" xr:uid="{E904B95B-9970-478B-B8D2-1756F22A0B9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4" shapeId="0" xr:uid="{2440C543-BD9E-4B6F-8092-2304BC1F6816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3" authorId="15" shapeId="0" xr:uid="{F186C5A3-215B-430E-BAF5-968A45F5570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2" authorId="16" shapeId="0" xr:uid="{C7F252CC-5CF9-452F-9E85-E33F2839301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3" authorId="17" shapeId="0" xr:uid="{B8307710-4DF8-4FFB-AA98-239E0E36B0E2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44" authorId="18" shapeId="0" xr:uid="{3AF72111-0B01-451A-BECC-D848F30B417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73" authorId="19" shapeId="0" xr:uid="{F5C463C8-31A7-4E5E-9934-708ED537BB7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74" authorId="20" shapeId="0" xr:uid="{962D06AF-667D-4A1A-8683-49822758C667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75" authorId="21" shapeId="0" xr:uid="{6F190185-E9AF-47FF-8728-D976A80137E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<sst xmlns="http://schemas.openxmlformats.org/spreadsheetml/2006/main" count="1180" uniqueCount="329">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</sst>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9"/>
      <color indexed="81"/>
      <name val="Tahoma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595.82145440707143</c:v>
                </c:pt>
                <c:pt idx="86">
                  <c:v>613.55789548994426</c:v>
                </c:pt>
                <c:pt idx="87">
                  <c:v>631.2837063358362</c:v>
                </c:pt>
                <c:pt idx="88">
                  <c:v>648.99922722644521</c:v>
                </c:pt>
                <c:pt idx="89">
                  <c:v>666.70477836698205</c:v>
                </c:pt>
                <c:pt idx="90">
                  <c:v>684.40066158324714</c:v>
                </c:pt>
                <c:pt idx="91">
                  <c:v>702.08716183420108</c:v>
                </c:pt>
                <c:pt idx="92">
                  <c:v>719.76454856432804</c:v>
                </c:pt>
                <c:pt idx="93">
                  <c:v>737.43307691635209</c:v>
                </c:pt>
                <c:pt idx="94">
                  <c:v>755.09298882179371</c:v>
                </c:pt>
                <c:pt idx="95">
                  <c:v>640.33183130100645</c:v>
                </c:pt>
                <c:pt idx="96">
                  <c:v>657.52115573561741</c:v>
                </c:pt>
                <c:pt idx="97">
                  <c:v>674.70122757316892</c:v>
                </c:pt>
                <c:pt idx="98">
                  <c:v>691.87231540164976</c:v>
                </c:pt>
                <c:pt idx="99">
                  <c:v>709.0346734017312</c:v>
                </c:pt>
                <c:pt idx="100">
                  <c:v>726.18854245672571</c:v>
                </c:pt>
                <c:pt idx="101">
                  <c:v>743.33415115230719</c:v>
                </c:pt>
                <c:pt idx="102">
                  <c:v>760.4717166792833</c:v>
                </c:pt>
                <c:pt idx="103">
                  <c:v>777.60144565083658</c:v>
                </c:pt>
                <c:pt idx="104">
                  <c:v>794.72353484408177</c:v>
                </c:pt>
                <c:pt idx="105">
                  <c:v>683.39563744279849</c:v>
                </c:pt>
                <c:pt idx="106">
                  <c:v>700.32340506833361</c:v>
                </c:pt>
                <c:pt idx="107">
                  <c:v>717.24280108580388</c:v>
                </c:pt>
                <c:pt idx="108">
                  <c:v>734.15405061955198</c:v>
                </c:pt>
                <c:pt idx="109">
                  <c:v>751.05736758627074</c:v>
                </c:pt>
                <c:pt idx="110">
                  <c:v>767.95295549779041</c:v>
                </c:pt>
                <c:pt idx="111">
                  <c:v>784.84100818961235</c:v>
                </c:pt>
                <c:pt idx="112">
                  <c:v>801.7217104835396</c:v>
                </c:pt>
                <c:pt idx="113">
                  <c:v>818.59523879165329</c:v>
                </c:pt>
                <c:pt idx="114">
                  <c:v>835.46176166795476</c:v>
                </c:pt>
                <c:pt idx="115">
                  <c:v>733.15686072460585</c:v>
                </c:pt>
                <c:pt idx="116">
                  <c:v>750.18203757377194</c:v>
                </c:pt>
                <c:pt idx="117">
                  <c:v>767.199363469898</c:v>
                </c:pt>
                <c:pt idx="118">
                  <c:v>784.20903691748515</c:v>
                </c:pt>
                <c:pt idx="119">
                  <c:v>801.21124711630875</c:v>
                </c:pt>
                <c:pt idx="120">
                  <c:v>818.20617458978086</c:v>
                </c:pt>
                <c:pt idx="121">
                  <c:v>835.19399175844899</c:v>
                </c:pt>
                <c:pt idx="122">
                  <c:v>852.17486346445639</c:v>
                </c:pt>
                <c:pt idx="123">
                  <c:v>869.14894745207482</c:v>
                </c:pt>
                <c:pt idx="124">
                  <c:v>886.1163948087933</c:v>
                </c:pt>
                <c:pt idx="125">
                  <c:v>791.63883779902199</c:v>
                </c:pt>
                <c:pt idx="126">
                  <c:v>808.80371461740867</c:v>
                </c:pt>
                <c:pt idx="127">
                  <c:v>825.96124536678508</c:v>
                </c:pt>
                <c:pt idx="128">
                  <c:v>843.1116039792995</c:v>
                </c:pt>
                <c:pt idx="129">
                  <c:v>860.25495674174408</c:v>
                </c:pt>
                <c:pt idx="130">
                  <c:v>877.39146278036435</c:v>
                </c:pt>
                <c:pt idx="131">
                  <c:v>894.52127450587011</c:v>
                </c:pt>
                <c:pt idx="132">
                  <c:v>911.64453802262517</c:v>
                </c:pt>
                <c:pt idx="133">
                  <c:v>928.76139350553524</c:v>
                </c:pt>
                <c:pt idx="134">
                  <c:v>945.87197554774275</c:v>
                </c:pt>
                <c:pt idx="135">
                  <c:v>846.57269862596866</c:v>
                </c:pt>
                <c:pt idx="136">
                  <c:v>863.90366853717831</c:v>
                </c:pt>
                <c:pt idx="137">
                  <c:v>881.22767358744534</c:v>
                </c:pt>
                <c:pt idx="138">
                  <c:v>898.54486982875926</c:v>
                </c:pt>
                <c:pt idx="139">
                  <c:v>915.85540681479506</c:v>
                </c:pt>
                <c:pt idx="140">
                  <c:v>933.15942799170989</c:v>
                </c:pt>
                <c:pt idx="141">
                  <c:v>950.45707105848317</c:v>
                </c:pt>
                <c:pt idx="142">
                  <c:v>967.74846829969408</c:v>
                </c:pt>
                <c:pt idx="143">
                  <c:v>985.03374689331122</c:v>
                </c:pt>
                <c:pt idx="144">
                  <c:v>1002.3130291957826</c:v>
                </c:pt>
                <c:pt idx="145">
                  <c:v>901.23767646995248</c:v>
                </c:pt>
                <c:pt idx="146">
                  <c:v>918.89929586045457</c:v>
                </c:pt>
                <c:pt idx="147">
                  <c:v>936.55415722524458</c:v>
                </c:pt>
                <c:pt idx="148">
                  <c:v>954.20240574592299</c:v>
                </c:pt>
                <c:pt idx="149">
                  <c:v>971.84418080275736</c:v>
                </c:pt>
                <c:pt idx="150">
                  <c:v>989.47961630972395</c:v>
                </c:pt>
                <c:pt idx="151">
                  <c:v>1007.108841024456</c:v>
                </c:pt>
                <c:pt idx="152">
                  <c:v>1024.7319788353882</c:v>
                </c:pt>
                <c:pt idx="153">
                  <c:v>1042.349149028156</c:v>
                </c:pt>
                <c:pt idx="154">
                  <c:v>1059.9604665330687</c:v>
                </c:pt>
                <c:pt idx="155">
                  <c:v>961.1178977893378</c:v>
                </c:pt>
                <c:pt idx="156">
                  <c:v>979.00714902772279</c:v>
                </c:pt>
                <c:pt idx="157">
                  <c:v>996.88993412159937</c:v>
                </c:pt>
                <c:pt idx="158">
                  <c:v>1014.7663852488846</c:v>
                </c:pt>
                <c:pt idx="159">
                  <c:v>1032.6366295572141</c:v>
                </c:pt>
                <c:pt idx="160">
                  <c:v>1050.5007894408673</c:v>
                </c:pt>
                <c:pt idx="161">
                  <c:v>1068.3589827979044</c:v>
                </c:pt>
                <c:pt idx="162">
                  <c:v>1086.211323269242</c:v>
                </c:pt>
                <c:pt idx="163">
                  <c:v>1104.0579204612179</c:v>
                </c:pt>
                <c:pt idx="164">
                  <c:v>1121.8988801530404</c:v>
                </c:pt>
                <c:pt idx="165">
                  <c:v>1013.9704095406892</c:v>
                </c:pt>
                <c:pt idx="166">
                  <c:v>1032.0589003654065</c:v>
                </c:pt>
                <c:pt idx="167">
                  <c:v>1050.1411534158851</c:v>
                </c:pt>
                <c:pt idx="168">
                  <c:v>1068.2172910777583</c:v>
                </c:pt>
                <c:pt idx="169">
                  <c:v>1086.2874312629961</c:v>
                </c:pt>
                <c:pt idx="170">
                  <c:v>1104.3516876466244</c:v>
                </c:pt>
                <c:pt idx="171">
                  <c:v>1122.4101698871759</c:v>
                </c:pt>
                <c:pt idx="172">
                  <c:v>1140.4629838322371</c:v>
                </c:pt>
                <c:pt idx="173">
                  <c:v>1158.510231710324</c:v>
                </c:pt>
                <c:pt idx="174">
                  <c:v>1176.5520123102044</c:v>
                </c:pt>
                <c:pt idx="175">
                  <c:v>732.67672240369313</c:v>
                </c:pt>
                <c:pt idx="176">
                  <c:v>744.15284084631367</c:v>
                </c:pt>
                <c:pt idx="177">
                  <c:v>755.62535991176446</c:v>
                </c:pt>
                <c:pt idx="178">
                  <c:v>516.39182276754491</c:v>
                </c:pt>
                <c:pt idx="179">
                  <c:v>523.38068013229065</c:v>
                </c:pt>
                <c:pt idx="180">
                  <c:v>530.36757109014115</c:v>
                </c:pt>
                <c:pt idx="181">
                  <c:v>367.24151226883578</c:v>
                </c:pt>
                <c:pt idx="182">
                  <c:v>371.46425432265534</c:v>
                </c:pt>
                <c:pt idx="183">
                  <c:v>375.68594961378062</c:v>
                </c:pt>
                <c:pt idx="184">
                  <c:v>1.1507534481029384E-11</c:v>
                </c:pt>
                <c:pt idx="185">
                  <c:v>1.1507534481029384E-11</c:v>
                </c:pt>
                <c:pt idx="186">
                  <c:v>1.1507534481029384E-11</c:v>
                </c:pt>
                <c:pt idx="187">
                  <c:v>1.1507534481029384E-11</c:v>
                </c:pt>
                <c:pt idx="188">
                  <c:v>1.1507534481029384E-11</c:v>
                </c:pt>
                <c:pt idx="189">
                  <c:v>1.1507534481029384E-11</c:v>
                </c:pt>
                <c:pt idx="190">
                  <c:v>1.1507534481029384E-11</c:v>
                </c:pt>
                <c:pt idx="191">
                  <c:v>1.1507534481029384E-11</c:v>
                </c:pt>
                <c:pt idx="192">
                  <c:v>1.1507534481029384E-11</c:v>
                </c:pt>
                <c:pt idx="193">
                  <c:v>1.1507534481029384E-11</c:v>
                </c:pt>
                <c:pt idx="194">
                  <c:v>1.1507534481029384E-11</c:v>
                </c:pt>
                <c:pt idx="195">
                  <c:v>1.1507534481029384E-11</c:v>
                </c:pt>
                <c:pt idx="196">
                  <c:v>1.1507534481029384E-11</c:v>
                </c:pt>
                <c:pt idx="197">
                  <c:v>1.1507534481029384E-11</c:v>
                </c:pt>
                <c:pt idx="198">
                  <c:v>1.1507534481029384E-11</c:v>
                </c:pt>
                <c:pt idx="199">
                  <c:v>1.1507534481029384E-11</c:v>
                </c:pt>
                <c:pt idx="200">
                  <c:v>1.1507534481029384E-11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11.20539188542012</c:v>
                </c:pt>
                <c:pt idx="2">
                  <c:v>21.927523777049117</c:v>
                </c:pt>
                <c:pt idx="3">
                  <c:v>32.493586948817772</c:v>
                </c:pt>
                <c:pt idx="4">
                  <c:v>42.963445730345995</c:v>
                </c:pt>
                <c:pt idx="5">
                  <c:v>53.364232598299985</c:v>
                </c:pt>
                <c:pt idx="6">
                  <c:v>63.71142505018269</c:v>
                </c:pt>
                <c:pt idx="7">
                  <c:v>74.015000830188157</c:v>
                </c:pt>
                <c:pt idx="8">
                  <c:v>84.28190983106856</c:v>
                </c:pt>
                <c:pt idx="9">
                  <c:v>94.517260312406492</c:v>
                </c:pt>
                <c:pt idx="10">
                  <c:v>104.7249587701631</c:v>
                </c:pt>
                <c:pt idx="11">
                  <c:v>114.90808518941105</c:v>
                </c:pt>
                <c:pt idx="12">
                  <c:v>125.0691274383351</c:v>
                </c:pt>
                <c:pt idx="13">
                  <c:v>135.21013509563227</c:v>
                </c:pt>
                <c:pt idx="14">
                  <c:v>145.33282450800652</c:v>
                </c:pt>
                <c:pt idx="15">
                  <c:v>155.43865293601846</c:v>
                </c:pt>
                <c:pt idx="16">
                  <c:v>165.52887234629307</c:v>
                </c:pt>
                <c:pt idx="17">
                  <c:v>175.60456936445431</c:v>
                </c:pt>
                <c:pt idx="18">
                  <c:v>185.66669555613839</c:v>
                </c:pt>
                <c:pt idx="19">
                  <c:v>195.71609078597473</c:v>
                </c:pt>
                <c:pt idx="20">
                  <c:v>205.75350151859661</c:v>
                </c:pt>
                <c:pt idx="21">
                  <c:v>215.779595355433</c:v>
                </c:pt>
                <c:pt idx="22">
                  <c:v>225.79497272413494</c:v>
                </c:pt>
                <c:pt idx="23">
                  <c:v>235.80017638257266</c:v>
                </c:pt>
                <c:pt idx="24">
                  <c:v>245.79569922332504</c:v>
                </c:pt>
                <c:pt idx="25">
                  <c:v>255.78199074076778</c:v>
                </c:pt>
                <c:pt idx="26">
                  <c:v>265.75946243430144</c:v>
                </c:pt>
                <c:pt idx="27">
                  <c:v>275.72849235693155</c:v>
                </c:pt>
                <c:pt idx="28">
                  <c:v>285.68942897104239</c:v>
                </c:pt>
                <c:pt idx="29">
                  <c:v>295.64259443786659</c:v>
                </c:pt>
                <c:pt idx="30">
                  <c:v>305.58828744048856</c:v>
                </c:pt>
                <c:pt idx="31">
                  <c:v>315.52678561987216</c:v>
                </c:pt>
                <c:pt idx="32">
                  <c:v>325.4583476877346</c:v>
                </c:pt>
                <c:pt idx="33">
                  <c:v>335.38321526789008</c:v>
                </c:pt>
                <c:pt idx="34">
                  <c:v>345.30161450813017</c:v>
                </c:pt>
                <c:pt idx="35">
                  <c:v>355.21375749714207</c:v>
                </c:pt>
                <c:pt idx="36">
                  <c:v>365.1198435149422</c:v>
                </c:pt>
                <c:pt idx="37">
                  <c:v>375.02006014046651</c:v>
                </c:pt>
                <c:pt idx="38">
                  <c:v>384.91458423605405</c:v>
                </c:pt>
                <c:pt idx="39">
                  <c:v>394.80358282538549</c:v>
                </c:pt>
                <c:pt idx="40">
                  <c:v>404.6872138788429</c:v>
                </c:pt>
                <c:pt idx="41">
                  <c:v>414.56562701812322</c:v>
                </c:pt>
                <c:pt idx="42">
                  <c:v>424.43896415017292</c:v>
                </c:pt>
                <c:pt idx="43">
                  <c:v>260.23313016156169</c:v>
                </c:pt>
                <c:pt idx="44">
                  <c:v>278.44681281239997</c:v>
                </c:pt>
                <c:pt idx="45">
                  <c:v>296.63377132490763</c:v>
                </c:pt>
                <c:pt idx="46">
                  <c:v>314.79587436452249</c:v>
                </c:pt>
                <c:pt idx="47">
                  <c:v>332.9347573633475</c:v>
                </c:pt>
                <c:pt idx="48">
                  <c:v>351.05186301791537</c:v>
                </c:pt>
                <c:pt idx="49">
                  <c:v>369.14847298502383</c:v>
                </c:pt>
                <c:pt idx="50">
                  <c:v>285.89441593904411</c:v>
                </c:pt>
                <c:pt idx="51">
                  <c:v>302.88566086690889</c:v>
                </c:pt>
                <c:pt idx="52">
                  <c:v>319.85570298158433</c:v>
                </c:pt>
                <c:pt idx="53">
                  <c:v>336.80582532791021</c:v>
                </c:pt>
                <c:pt idx="54">
                  <c:v>353.7371712740657</c:v>
                </c:pt>
                <c:pt idx="55">
                  <c:v>370.650765814566</c:v>
                </c:pt>
                <c:pt idx="56">
                  <c:v>387.54753278046701</c:v>
                </c:pt>
                <c:pt idx="57">
                  <c:v>324.84229047858202</c:v>
                </c:pt>
                <c:pt idx="58">
                  <c:v>341.43839219104871</c:v>
                </c:pt>
                <c:pt idx="59">
                  <c:v>358.01676189115318</c:v>
                </c:pt>
                <c:pt idx="60">
                  <c:v>374.57833607948623</c:v>
                </c:pt>
                <c:pt idx="61">
                  <c:v>391.12396169935806</c:v>
                </c:pt>
                <c:pt idx="62">
                  <c:v>407.6544082061323</c:v>
                </c:pt>
                <c:pt idx="63">
                  <c:v>424.17037757659017</c:v>
                </c:pt>
                <c:pt idx="64">
                  <c:v>361.34408218599697</c:v>
                </c:pt>
                <c:pt idx="65">
                  <c:v>377.35815934709927</c:v>
                </c:pt>
                <c:pt idx="66">
                  <c:v>393.35744559771814</c:v>
                </c:pt>
                <c:pt idx="67">
                  <c:v>409.34262709633504</c:v>
                </c:pt>
                <c:pt idx="68">
                  <c:v>425.31433205072511</c:v>
                </c:pt>
                <c:pt idx="69">
                  <c:v>441.27313764989566</c:v>
                </c:pt>
                <c:pt idx="70">
                  <c:v>457.21957594103316</c:v>
                </c:pt>
                <c:pt idx="71">
                  <c:v>473.15413884394314</c:v>
                </c:pt>
                <c:pt idx="72">
                  <c:v>397.90541663949875</c:v>
                </c:pt>
                <c:pt idx="73">
                  <c:v>412.95607714276122</c:v>
                </c:pt>
                <c:pt idx="74">
                  <c:v>427.99490547956322</c:v>
                </c:pt>
                <c:pt idx="75">
                  <c:v>443.02237586841375</c:v>
                </c:pt>
                <c:pt idx="76">
                  <c:v>458.03892773940169</c:v>
                </c:pt>
                <c:pt idx="77">
                  <c:v>473.0449693668516</c:v>
                </c:pt>
                <c:pt idx="78">
                  <c:v>488.04088101709573</c:v>
                </c:pt>
                <c:pt idx="79">
                  <c:v>503.02701768929575</c:v>
                </c:pt>
                <c:pt idx="80">
                  <c:v>429.78258246574592</c:v>
                </c:pt>
                <c:pt idx="81">
                  <c:v>443.91184644806668</c:v>
                </c:pt>
                <c:pt idx="82">
                  <c:v>458.03147922778635</c:v>
                </c:pt>
                <c:pt idx="83">
                  <c:v>472.141819469442</c:v>
                </c:pt>
                <c:pt idx="84">
                  <c:v>486.24318394824201</c:v>
                </c:pt>
                <c:pt idx="85">
                  <c:v>500.33586957190164</c:v>
                </c:pt>
                <c:pt idx="86">
                  <c:v>514.42015516287267</c:v>
                </c:pt>
                <c:pt idx="87">
                  <c:v>528.49630303527977</c:v>
                </c:pt>
                <c:pt idx="88">
                  <c:v>453.66372147844731</c:v>
                </c:pt>
                <c:pt idx="89">
                  <c:v>466.73207202169948</c:v>
                </c:pt>
                <c:pt idx="90">
                  <c:v>479.79262513581756</c:v>
                </c:pt>
                <c:pt idx="91">
                  <c:v>492.84562295362815</c:v>
                </c:pt>
                <c:pt idx="92">
                  <c:v>505.89129373820555</c:v>
                </c:pt>
                <c:pt idx="93">
                  <c:v>518.92985302204045</c:v>
                </c:pt>
                <c:pt idx="94">
                  <c:v>531.96150462578419</c:v>
                </c:pt>
                <c:pt idx="95">
                  <c:v>544.98644157199533</c:v>
                </c:pt>
                <c:pt idx="96">
                  <c:v>286.04163182227154</c:v>
                </c:pt>
                <c:pt idx="97">
                  <c:v>294.78943542966084</c:v>
                </c:pt>
                <c:pt idx="98">
                  <c:v>303.53144827169496</c:v>
                </c:pt>
                <c:pt idx="99">
                  <c:v>312.26786078543915</c:v>
                </c:pt>
                <c:pt idx="100">
                  <c:v>320.99885187362952</c:v>
                </c:pt>
                <c:pt idx="101">
                  <c:v>329.72458990487462</c:v>
                </c:pt>
                <c:pt idx="102">
                  <c:v>338.44523360238071</c:v>
                </c:pt>
                <c:pt idx="103">
                  <c:v>347.1609328362394</c:v>
                </c:pt>
                <c:pt idx="104">
                  <c:v>355.87182933195271</c:v>
                </c:pt>
                <c:pt idx="105">
                  <c:v>364.57805730592491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2.5675797982049122</c:v>
                </c:pt>
                <c:pt idx="2">
                  <c:v>2.9513921466174744</c:v>
                </c:pt>
                <c:pt idx="3">
                  <c:v>3.392784472566003</c:v>
                </c:pt>
                <c:pt idx="4">
                  <c:v>3.9004242257474648</c:v>
                </c:pt>
                <c:pt idx="5">
                  <c:v>4.4842876885209009</c:v>
                </c:pt>
                <c:pt idx="6">
                  <c:v>5.1558581986636129</c:v>
                </c:pt>
                <c:pt idx="7">
                  <c:v>5.9283544746526475</c:v>
                </c:pt>
                <c:pt idx="8">
                  <c:v>6.8169936263382001</c:v>
                </c:pt>
                <c:pt idx="9">
                  <c:v>7.8392941331761046</c:v>
                </c:pt>
                <c:pt idx="10">
                  <c:v>9.0154248784159332</c:v>
                </c:pt>
                <c:pt idx="11">
                  <c:v>10.36860725718026</c:v>
                </c:pt>
                <c:pt idx="12">
                  <c:v>11.925578448114692</c:v>
                </c:pt>
                <c:pt idx="13">
                  <c:v>13.71712517403193</c:v>
                </c:pt>
                <c:pt idx="14">
                  <c:v>15.778698701858156</c:v>
                </c:pt>
                <c:pt idx="15">
                  <c:v>18.151123475217556</c:v>
                </c:pt>
                <c:pt idx="16">
                  <c:v>20.881413667616549</c:v>
                </c:pt>
                <c:pt idx="17">
                  <c:v>24.023714129008514</c:v>
                </c:pt>
                <c:pt idx="18">
                  <c:v>27.640384718056396</c:v>
                </c:pt>
                <c:pt idx="19">
                  <c:v>31.803249918031625</c:v>
                </c:pt>
                <c:pt idx="20">
                  <c:v>36.595038985255101</c:v>
                </c:pt>
                <c:pt idx="21">
                  <c:v>31.254630959890918</c:v>
                </c:pt>
                <c:pt idx="22">
                  <c:v>38.725039702709346</c:v>
                </c:pt>
                <c:pt idx="23">
                  <c:v>46.156170515974388</c:v>
                </c:pt>
                <c:pt idx="24">
                  <c:v>53.555277555038906</c:v>
                </c:pt>
                <c:pt idx="25">
                  <c:v>60.927428772583717</c:v>
                </c:pt>
                <c:pt idx="26">
                  <c:v>53.203584393114966</c:v>
                </c:pt>
                <c:pt idx="27">
                  <c:v>60.226370757776941</c:v>
                </c:pt>
                <c:pt idx="28">
                  <c:v>67.227816227910168</c:v>
                </c:pt>
                <c:pt idx="29">
                  <c:v>74.21046338498094</c:v>
                </c:pt>
                <c:pt idx="30">
                  <c:v>81.17633515945586</c:v>
                </c:pt>
                <c:pt idx="31">
                  <c:v>72.81533455992809</c:v>
                </c:pt>
                <c:pt idx="32">
                  <c:v>79.088230949980755</c:v>
                </c:pt>
                <c:pt idx="33">
                  <c:v>85.348503397841185</c:v>
                </c:pt>
                <c:pt idx="34">
                  <c:v>91.59721076805323</c:v>
                </c:pt>
                <c:pt idx="35">
                  <c:v>97.835255201378175</c:v>
                </c:pt>
                <c:pt idx="36">
                  <c:v>88.682525926489731</c:v>
                </c:pt>
                <c:pt idx="37">
                  <c:v>94.093662054289368</c:v>
                </c:pt>
                <c:pt idx="38">
                  <c:v>99.49703458666302</c:v>
                </c:pt>
                <c:pt idx="39">
                  <c:v>104.89312570851204</c:v>
                </c:pt>
                <c:pt idx="40">
                  <c:v>110.28236380022066</c:v>
                </c:pt>
                <c:pt idx="41">
                  <c:v>100.39687657546528</c:v>
                </c:pt>
                <c:pt idx="42">
                  <c:v>105.03139518225908</c:v>
                </c:pt>
                <c:pt idx="43">
                  <c:v>109.66086573657429</c:v>
                </c:pt>
                <c:pt idx="44">
                  <c:v>114.28553201480615</c:v>
                </c:pt>
                <c:pt idx="45">
                  <c:v>118.90561639582138</c:v>
                </c:pt>
                <c:pt idx="46">
                  <c:v>109.72992534605908</c:v>
                </c:pt>
                <c:pt idx="47">
                  <c:v>113.6645792735887</c:v>
                </c:pt>
                <c:pt idx="48">
                  <c:v>117.59589648919798</c:v>
                </c:pt>
                <c:pt idx="49">
                  <c:v>121.5240046220497</c:v>
                </c:pt>
                <c:pt idx="50">
                  <c:v>125.44902235171242</c:v>
                </c:pt>
                <c:pt idx="51">
                  <c:v>118.83669258349437</c:v>
                </c:pt>
                <c:pt idx="52">
                  <c:v>122.21282451790842</c:v>
                </c:pt>
                <c:pt idx="53">
                  <c:v>125.58668753729637</c:v>
                </c:pt>
                <c:pt idx="54">
                  <c:v>128.95835139442124</c:v>
                </c:pt>
                <c:pt idx="55">
                  <c:v>132.32788188533968</c:v>
                </c:pt>
                <c:pt idx="56">
                  <c:v>127.3071947526514</c:v>
                </c:pt>
                <c:pt idx="57">
                  <c:v>130.19638263819348</c:v>
                </c:pt>
                <c:pt idx="58">
                  <c:v>133.08402028499577</c:v>
                </c:pt>
                <c:pt idx="59">
                  <c:v>135.97014619084746</c:v>
                </c:pt>
                <c:pt idx="60">
                  <c:v>138.85479708045685</c:v>
                </c:pt>
                <c:pt idx="61">
                  <c:v>134.73341780477696</c:v>
                </c:pt>
                <c:pt idx="62">
                  <c:v>137.13791865288678</c:v>
                </c:pt>
                <c:pt idx="63">
                  <c:v>139.54140520419151</c:v>
                </c:pt>
                <c:pt idx="64">
                  <c:v>141.94389745669375</c:v>
                </c:pt>
                <c:pt idx="65">
                  <c:v>144.34541467387581</c:v>
                </c:pt>
                <c:pt idx="66">
                  <c:v>140.57116535223903</c:v>
                </c:pt>
                <c:pt idx="67">
                  <c:v>142.63014390170619</c:v>
                </c:pt>
                <c:pt idx="68">
                  <c:v>144.68841005840565</c:v>
                </c:pt>
                <c:pt idx="69">
                  <c:v>146.74597542375011</c:v>
                </c:pt>
                <c:pt idx="70">
                  <c:v>148.80285124612769</c:v>
                </c:pt>
                <c:pt idx="71">
                  <c:v>145.44293145958267</c:v>
                </c:pt>
                <c:pt idx="72">
                  <c:v>147.22597438484175</c:v>
                </c:pt>
                <c:pt idx="73">
                  <c:v>149.00850132641671</c:v>
                </c:pt>
                <c:pt idx="74">
                  <c:v>150.7905193509788</c:v>
                </c:pt>
                <c:pt idx="75">
                  <c:v>152.57203534394554</c:v>
                </c:pt>
                <c:pt idx="76">
                  <c:v>149.69395272118416</c:v>
                </c:pt>
                <c:pt idx="77">
                  <c:v>151.27020737601404</c:v>
                </c:pt>
                <c:pt idx="78">
                  <c:v>152.84607059840036</c:v>
                </c:pt>
                <c:pt idx="79">
                  <c:v>154.42154700889486</c:v>
                </c:pt>
                <c:pt idx="80">
                  <c:v>155.99664112573228</c:v>
                </c:pt>
                <c:pt idx="81">
                  <c:v>1.8249355616270061E-12</c:v>
                </c:pt>
                <c:pt idx="82">
                  <c:v>1.8249355616270061E-12</c:v>
                </c:pt>
                <c:pt idx="83">
                  <c:v>1.8249355616270061E-12</c:v>
                </c:pt>
                <c:pt idx="84">
                  <c:v>1.8249355616270061E-12</c:v>
                </c:pt>
                <c:pt idx="85">
                  <c:v>1.8249355616270061E-12</c:v>
                </c:pt>
                <c:pt idx="86">
                  <c:v>1.8249355616270061E-12</c:v>
                </c:pt>
                <c:pt idx="87">
                  <c:v>1.8249355616270061E-12</c:v>
                </c:pt>
                <c:pt idx="88">
                  <c:v>1.8249355616270061E-12</c:v>
                </c:pt>
                <c:pt idx="89">
                  <c:v>1.8249355616270061E-12</c:v>
                </c:pt>
                <c:pt idx="90">
                  <c:v>1.8249355616270061E-12</c:v>
                </c:pt>
                <c:pt idx="91">
                  <c:v>1.8249355616270061E-12</c:v>
                </c:pt>
                <c:pt idx="92">
                  <c:v>1.8249355616270061E-12</c:v>
                </c:pt>
                <c:pt idx="93">
                  <c:v>1.8249355616270061E-12</c:v>
                </c:pt>
                <c:pt idx="94">
                  <c:v>1.8249355616270061E-12</c:v>
                </c:pt>
                <c:pt idx="95">
                  <c:v>1.8249355616270061E-12</c:v>
                </c:pt>
                <c:pt idx="96">
                  <c:v>1.8249355616270061E-12</c:v>
                </c:pt>
                <c:pt idx="97">
                  <c:v>1.8249355616270061E-12</c:v>
                </c:pt>
                <c:pt idx="98">
                  <c:v>1.8249355616270061E-12</c:v>
                </c:pt>
                <c:pt idx="99">
                  <c:v>1.8249355616270061E-12</c:v>
                </c:pt>
                <c:pt idx="100">
                  <c:v>1.8249355616270061E-12</c:v>
                </c:pt>
                <c:pt idx="101">
                  <c:v>1.8249355616270061E-12</c:v>
                </c:pt>
                <c:pt idx="102">
                  <c:v>1.8249355616270061E-12</c:v>
                </c:pt>
                <c:pt idx="103">
                  <c:v>1.8249355616270061E-12</c:v>
                </c:pt>
                <c:pt idx="104">
                  <c:v>1.8249355616270061E-12</c:v>
                </c:pt>
                <c:pt idx="105">
                  <c:v>1.8249355616270061E-12</c:v>
                </c:pt>
                <c:pt idx="106">
                  <c:v>1.8249355616270061E-12</c:v>
                </c:pt>
                <c:pt idx="107">
                  <c:v>1.8249355616270061E-12</c:v>
                </c:pt>
                <c:pt idx="108">
                  <c:v>1.8249355616270061E-12</c:v>
                </c:pt>
                <c:pt idx="109">
                  <c:v>1.8249355616270061E-12</c:v>
                </c:pt>
                <c:pt idx="110">
                  <c:v>1.8249355616270061E-12</c:v>
                </c:pt>
                <c:pt idx="111">
                  <c:v>1.8249355616270061E-12</c:v>
                </c:pt>
                <c:pt idx="112">
                  <c:v>1.8249355616270061E-12</c:v>
                </c:pt>
                <c:pt idx="113">
                  <c:v>1.8249355616270061E-12</c:v>
                </c:pt>
                <c:pt idx="114">
                  <c:v>1.8249355616270061E-12</c:v>
                </c:pt>
                <c:pt idx="115">
                  <c:v>1.8249355616270061E-12</c:v>
                </c:pt>
                <c:pt idx="116">
                  <c:v>1.8249355616270061E-12</c:v>
                </c:pt>
                <c:pt idx="117">
                  <c:v>1.8249355616270061E-12</c:v>
                </c:pt>
                <c:pt idx="118">
                  <c:v>1.8249355616270061E-12</c:v>
                </c:pt>
                <c:pt idx="119">
                  <c:v>1.8249355616270061E-12</c:v>
                </c:pt>
                <c:pt idx="120">
                  <c:v>1.8249355616270061E-12</c:v>
                </c:pt>
                <c:pt idx="121">
                  <c:v>1.8249355616270061E-12</c:v>
                </c:pt>
                <c:pt idx="122">
                  <c:v>1.8249355616270061E-12</c:v>
                </c:pt>
                <c:pt idx="123">
                  <c:v>1.8249355616270061E-12</c:v>
                </c:pt>
                <c:pt idx="124">
                  <c:v>1.8249355616270061E-12</c:v>
                </c:pt>
                <c:pt idx="125">
                  <c:v>1.8249355616270061E-12</c:v>
                </c:pt>
                <c:pt idx="126">
                  <c:v>1.8249355616270061E-12</c:v>
                </c:pt>
                <c:pt idx="127">
                  <c:v>1.8249355616270061E-12</c:v>
                </c:pt>
                <c:pt idx="128">
                  <c:v>1.8249355616270061E-12</c:v>
                </c:pt>
                <c:pt idx="129">
                  <c:v>1.8249355616270061E-12</c:v>
                </c:pt>
                <c:pt idx="130">
                  <c:v>1.8249355616270061E-12</c:v>
                </c:pt>
                <c:pt idx="131">
                  <c:v>1.8249355616270061E-12</c:v>
                </c:pt>
                <c:pt idx="132">
                  <c:v>1.8249355616270061E-12</c:v>
                </c:pt>
                <c:pt idx="133">
                  <c:v>1.8249355616270061E-12</c:v>
                </c:pt>
                <c:pt idx="134">
                  <c:v>1.8249355616270061E-12</c:v>
                </c:pt>
                <c:pt idx="135">
                  <c:v>1.8249355616270061E-12</c:v>
                </c:pt>
                <c:pt idx="136">
                  <c:v>1.8249355616270061E-12</c:v>
                </c:pt>
                <c:pt idx="137">
                  <c:v>1.8249355616270061E-12</c:v>
                </c:pt>
                <c:pt idx="138">
                  <c:v>1.8249355616270061E-12</c:v>
                </c:pt>
                <c:pt idx="139">
                  <c:v>1.8249355616270061E-12</c:v>
                </c:pt>
                <c:pt idx="140">
                  <c:v>1.8249355616270061E-12</c:v>
                </c:pt>
                <c:pt idx="141">
                  <c:v>1.8249355616270061E-12</c:v>
                </c:pt>
                <c:pt idx="142">
                  <c:v>1.8249355616270061E-12</c:v>
                </c:pt>
                <c:pt idx="143">
                  <c:v>1.8249355616270061E-12</c:v>
                </c:pt>
                <c:pt idx="144">
                  <c:v>1.8249355616270061E-12</c:v>
                </c:pt>
                <c:pt idx="145">
                  <c:v>1.8249355616270061E-12</c:v>
                </c:pt>
                <c:pt idx="146">
                  <c:v>1.8249355616270061E-12</c:v>
                </c:pt>
                <c:pt idx="147">
                  <c:v>1.8249355616270061E-12</c:v>
                </c:pt>
                <c:pt idx="148">
                  <c:v>1.8249355616270061E-12</c:v>
                </c:pt>
                <c:pt idx="149">
                  <c:v>1.8249355616270061E-12</c:v>
                </c:pt>
                <c:pt idx="150">
                  <c:v>1.8249355616270061E-12</c:v>
                </c:pt>
                <c:pt idx="151">
                  <c:v>1.8249355616270061E-12</c:v>
                </c:pt>
                <c:pt idx="152">
                  <c:v>1.8249355616270061E-12</c:v>
                </c:pt>
                <c:pt idx="153">
                  <c:v>1.8249355616270061E-12</c:v>
                </c:pt>
                <c:pt idx="154">
                  <c:v>1.8249355616270061E-12</c:v>
                </c:pt>
                <c:pt idx="155">
                  <c:v>1.8249355616270061E-12</c:v>
                </c:pt>
                <c:pt idx="156">
                  <c:v>1.8249355616270061E-12</c:v>
                </c:pt>
                <c:pt idx="157">
                  <c:v>1.8249355616270061E-12</c:v>
                </c:pt>
                <c:pt idx="158">
                  <c:v>1.8249355616270061E-12</c:v>
                </c:pt>
                <c:pt idx="159">
                  <c:v>1.8249355616270061E-12</c:v>
                </c:pt>
                <c:pt idx="160">
                  <c:v>1.8249355616270061E-12</c:v>
                </c:pt>
                <c:pt idx="161">
                  <c:v>1.8249355616270061E-12</c:v>
                </c:pt>
                <c:pt idx="162">
                  <c:v>1.8249355616270061E-12</c:v>
                </c:pt>
                <c:pt idx="163">
                  <c:v>1.8249355616270061E-12</c:v>
                </c:pt>
                <c:pt idx="164">
                  <c:v>1.8249355616270061E-12</c:v>
                </c:pt>
                <c:pt idx="165">
                  <c:v>1.8249355616270061E-12</c:v>
                </c:pt>
                <c:pt idx="166">
                  <c:v>1.8249355616270061E-12</c:v>
                </c:pt>
                <c:pt idx="167">
                  <c:v>1.8249355616270061E-12</c:v>
                </c:pt>
                <c:pt idx="168">
                  <c:v>1.8249355616270061E-12</c:v>
                </c:pt>
                <c:pt idx="169">
                  <c:v>1.8249355616270061E-12</c:v>
                </c:pt>
                <c:pt idx="170">
                  <c:v>1.8249355616270061E-12</c:v>
                </c:pt>
                <c:pt idx="171">
                  <c:v>1.8249355616270061E-12</c:v>
                </c:pt>
                <c:pt idx="172">
                  <c:v>1.8249355616270061E-12</c:v>
                </c:pt>
                <c:pt idx="173">
                  <c:v>1.8249355616270061E-12</c:v>
                </c:pt>
                <c:pt idx="174">
                  <c:v>1.8249355616270061E-12</c:v>
                </c:pt>
                <c:pt idx="175">
                  <c:v>1.8249355616270061E-12</c:v>
                </c:pt>
                <c:pt idx="176">
                  <c:v>1.8249355616270061E-12</c:v>
                </c:pt>
                <c:pt idx="177">
                  <c:v>1.8249355616270061E-12</c:v>
                </c:pt>
                <c:pt idx="178">
                  <c:v>1.8249355616270061E-12</c:v>
                </c:pt>
                <c:pt idx="179">
                  <c:v>1.8249355616270061E-12</c:v>
                </c:pt>
                <c:pt idx="180">
                  <c:v>1.8249355616270061E-12</c:v>
                </c:pt>
                <c:pt idx="181">
                  <c:v>1.8249355616270061E-12</c:v>
                </c:pt>
                <c:pt idx="182">
                  <c:v>1.8249355616270061E-12</c:v>
                </c:pt>
                <c:pt idx="183">
                  <c:v>1.8249355616270061E-12</c:v>
                </c:pt>
                <c:pt idx="184">
                  <c:v>1.8249355616270061E-12</c:v>
                </c:pt>
                <c:pt idx="185">
                  <c:v>1.8249355616270061E-12</c:v>
                </c:pt>
                <c:pt idx="186">
                  <c:v>1.8249355616270061E-12</c:v>
                </c:pt>
                <c:pt idx="187">
                  <c:v>1.8249355616270061E-12</c:v>
                </c:pt>
                <c:pt idx="188">
                  <c:v>1.8249355616270061E-12</c:v>
                </c:pt>
                <c:pt idx="189">
                  <c:v>1.8249355616270061E-12</c:v>
                </c:pt>
                <c:pt idx="190">
                  <c:v>1.8249355616270061E-12</c:v>
                </c:pt>
                <c:pt idx="191">
                  <c:v>1.8249355616270061E-12</c:v>
                </c:pt>
                <c:pt idx="192">
                  <c:v>1.8249355616270061E-12</c:v>
                </c:pt>
                <c:pt idx="193">
                  <c:v>1.8249355616270061E-12</c:v>
                </c:pt>
                <c:pt idx="194">
                  <c:v>1.8249355616270061E-12</c:v>
                </c:pt>
                <c:pt idx="195">
                  <c:v>1.8249355616270061E-12</c:v>
                </c:pt>
                <c:pt idx="196">
                  <c:v>1.8249355616270061E-12</c:v>
                </c:pt>
                <c:pt idx="197">
                  <c:v>1.8249355616270061E-12</c:v>
                </c:pt>
                <c:pt idx="198">
                  <c:v>1.8249355616270061E-12</c:v>
                </c:pt>
                <c:pt idx="199">
                  <c:v>1.8249355616270061E-12</c:v>
                </c:pt>
                <c:pt idx="200">
                  <c:v>1.8249355616270061E-12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8.8223922602156453</c:v>
                </c:pt>
                <c:pt idx="2">
                  <c:v>17.25634488779632</c:v>
                </c:pt>
                <c:pt idx="3">
                  <c:v>25.564851012485708</c:v>
                </c:pt>
                <c:pt idx="4">
                  <c:v>33.796028993974772</c:v>
                </c:pt>
                <c:pt idx="5">
                  <c:v>41.971687650299579</c:v>
                </c:pt>
                <c:pt idx="6">
                  <c:v>50.104267641811497</c:v>
                </c:pt>
                <c:pt idx="7">
                  <c:v>58.201788981213895</c:v>
                </c:pt>
                <c:pt idx="8">
                  <c:v>66.269837923984596</c:v>
                </c:pt>
                <c:pt idx="9">
                  <c:v>74.312520438962665</c:v>
                </c:pt>
                <c:pt idx="10">
                  <c:v>82.33297652920136</c:v>
                </c:pt>
                <c:pt idx="11">
                  <c:v>90.33368185642631</c:v>
                </c:pt>
                <c:pt idx="12">
                  <c:v>98.316636144629001</c:v>
                </c:pt>
                <c:pt idx="13">
                  <c:v>106.2834868250191</c:v>
                </c:pt>
                <c:pt idx="14">
                  <c:v>114.2356134802058</c:v>
                </c:pt>
                <c:pt idx="15">
                  <c:v>122.17418744190309</c:v>
                </c:pt>
                <c:pt idx="16">
                  <c:v>130.1002150285774</c:v>
                </c:pt>
                <c:pt idx="17">
                  <c:v>138.01456965922401</c:v>
                </c:pt>
                <c:pt idx="18">
                  <c:v>145.91801619294748</c:v>
                </c:pt>
                <c:pt idx="19">
                  <c:v>153.81122970468115</c:v>
                </c:pt>
                <c:pt idx="20">
                  <c:v>161.69481019535974</c:v>
                </c:pt>
                <c:pt idx="21">
                  <c:v>169.56929427644934</c:v>
                </c:pt>
                <c:pt idx="22">
                  <c:v>177.4351645657938</c:v>
                </c:pt>
                <c:pt idx="23">
                  <c:v>185.29285732683388</c:v>
                </c:pt>
                <c:pt idx="24">
                  <c:v>193.14276874177958</c:v>
                </c:pt>
                <c:pt idx="25">
                  <c:v>200.9852601097916</c:v>
                </c:pt>
                <c:pt idx="26">
                  <c:v>208.82066219004287</c:v>
                </c:pt>
                <c:pt idx="27">
                  <c:v>216.64927885782325</c:v>
                </c:pt>
                <c:pt idx="28">
                  <c:v>224.47139020377185</c:v>
                </c:pt>
                <c:pt idx="29">
                  <c:v>232.28725517792088</c:v>
                </c:pt>
                <c:pt idx="30">
                  <c:v>240.09711385879723</c:v>
                </c:pt>
                <c:pt idx="31">
                  <c:v>247.90118941147867</c:v>
                </c:pt>
                <c:pt idx="32">
                  <c:v>255.69968978590032</c:v>
                </c:pt>
                <c:pt idx="33">
                  <c:v>263.49280919690904</c:v>
                </c:pt>
                <c:pt idx="34">
                  <c:v>271.28072941987642</c:v>
                </c:pt>
                <c:pt idx="35">
                  <c:v>279.06362092960472</c:v>
                </c:pt>
                <c:pt idx="36">
                  <c:v>286.84164390541218</c:v>
                </c:pt>
                <c:pt idx="37">
                  <c:v>294.61494912140364</c:v>
                </c:pt>
                <c:pt idx="38">
                  <c:v>302.3836787377885</c:v>
                </c:pt>
                <c:pt idx="39">
                  <c:v>179.20812908551628</c:v>
                </c:pt>
                <c:pt idx="40">
                  <c:v>197.66143416228397</c:v>
                </c:pt>
                <c:pt idx="41">
                  <c:v>216.07475671599317</c:v>
                </c:pt>
                <c:pt idx="42">
                  <c:v>234.45198381763205</c:v>
                </c:pt>
                <c:pt idx="43">
                  <c:v>252.79634286680525</c:v>
                </c:pt>
                <c:pt idx="44">
                  <c:v>271.11055433572227</c:v>
                </c:pt>
                <c:pt idx="45">
                  <c:v>289.39694099562195</c:v>
                </c:pt>
                <c:pt idx="46">
                  <c:v>227.75387332648157</c:v>
                </c:pt>
                <c:pt idx="47">
                  <c:v>246.14789945380949</c:v>
                </c:pt>
                <c:pt idx="48">
                  <c:v>264.51071329487849</c:v>
                </c:pt>
                <c:pt idx="49">
                  <c:v>282.84478623893114</c:v>
                </c:pt>
                <c:pt idx="50">
                  <c:v>301.15224303822185</c:v>
                </c:pt>
                <c:pt idx="51">
                  <c:v>319.43492899092462</c:v>
                </c:pt>
                <c:pt idx="52">
                  <c:v>337.69446092320806</c:v>
                </c:pt>
                <c:pt idx="53">
                  <c:v>272.20482423678021</c:v>
                </c:pt>
                <c:pt idx="54">
                  <c:v>290.0787793433305</c:v>
                </c:pt>
                <c:pt idx="55">
                  <c:v>307.92813019502165</c:v>
                </c:pt>
                <c:pt idx="56">
                  <c:v>325.75450336979583</c:v>
                </c:pt>
                <c:pt idx="57">
                  <c:v>343.55933289462251</c:v>
                </c:pt>
                <c:pt idx="58">
                  <c:v>361.3438920454542</c:v>
                </c:pt>
                <c:pt idx="59">
                  <c:v>379.10931855668582</c:v>
                </c:pt>
                <c:pt idx="60">
                  <c:v>319.04240843386697</c:v>
                </c:pt>
                <c:pt idx="61">
                  <c:v>336.43409316757135</c:v>
                </c:pt>
                <c:pt idx="62">
                  <c:v>353.80598651728127</c:v>
                </c:pt>
                <c:pt idx="63">
                  <c:v>371.15919673163449</c:v>
                </c:pt>
                <c:pt idx="64">
                  <c:v>388.49471999245776</c:v>
                </c:pt>
                <c:pt idx="65">
                  <c:v>405.81345634580293</c:v>
                </c:pt>
                <c:pt idx="66">
                  <c:v>423.1162227712253</c:v>
                </c:pt>
                <c:pt idx="67">
                  <c:v>440.40376400170709</c:v>
                </c:pt>
                <c:pt idx="68">
                  <c:v>380.03946712658944</c:v>
                </c:pt>
                <c:pt idx="69">
                  <c:v>397.08017428270824</c:v>
                </c:pt>
                <c:pt idx="70">
                  <c:v>414.10504579250482</c:v>
                </c:pt>
                <c:pt idx="71">
                  <c:v>431.11482410692901</c:v>
                </c:pt>
                <c:pt idx="72">
                  <c:v>448.1101883304936</c:v>
                </c:pt>
                <c:pt idx="73">
                  <c:v>465.09176187318639</c:v>
                </c:pt>
                <c:pt idx="74">
                  <c:v>482.06011892677566</c:v>
                </c:pt>
                <c:pt idx="75">
                  <c:v>499.01578998197124</c:v>
                </c:pt>
                <c:pt idx="76">
                  <c:v>437.04851061482776</c:v>
                </c:pt>
                <c:pt idx="77">
                  <c:v>453.63756355043893</c:v>
                </c:pt>
                <c:pt idx="78">
                  <c:v>470.21365318632894</c:v>
                </c:pt>
                <c:pt idx="79">
                  <c:v>486.7773006552149</c:v>
                </c:pt>
                <c:pt idx="80">
                  <c:v>503.32898874754409</c:v>
                </c:pt>
                <c:pt idx="81">
                  <c:v>519.86916592661407</c:v>
                </c:pt>
                <c:pt idx="82">
                  <c:v>536.39824980628214</c:v>
                </c:pt>
                <c:pt idx="83">
                  <c:v>552.91663017787619</c:v>
                </c:pt>
                <c:pt idx="84">
                  <c:v>479.93542860342876</c:v>
                </c:pt>
                <c:pt idx="85">
                  <c:v>496.04446437994574</c:v>
                </c:pt>
                <c:pt idx="86">
                  <c:v>512.14242037999793</c:v>
                </c:pt>
                <c:pt idx="87">
                  <c:v>528.22969375147147</c:v>
                </c:pt>
                <c:pt idx="88">
                  <c:v>544.30665549099047</c:v>
                </c:pt>
                <c:pt idx="89">
                  <c:v>560.37365290340404</c:v>
                </c:pt>
                <c:pt idx="90">
                  <c:v>576.43101176464631</c:v>
                </c:pt>
                <c:pt idx="91">
                  <c:v>592.4790382311802</c:v>
                </c:pt>
                <c:pt idx="92">
                  <c:v>608.51802053190693</c:v>
                </c:pt>
                <c:pt idx="93">
                  <c:v>624.5482304725241</c:v>
                </c:pt>
                <c:pt idx="94">
                  <c:v>520.94056625260407</c:v>
                </c:pt>
                <c:pt idx="95">
                  <c:v>536.46667903944001</c:v>
                </c:pt>
                <c:pt idx="96">
                  <c:v>551.98334903127727</c:v>
                </c:pt>
                <c:pt idx="97">
                  <c:v>567.49087892896671</c:v>
                </c:pt>
                <c:pt idx="98">
                  <c:v>582.98955354942223</c:v>
                </c:pt>
                <c:pt idx="99">
                  <c:v>598.47964133939422</c:v>
                </c:pt>
                <c:pt idx="100">
                  <c:v>613.9613957244519</c:v>
                </c:pt>
                <c:pt idx="101">
                  <c:v>629.43505631490018</c:v>
                </c:pt>
                <c:pt idx="102">
                  <c:v>644.90084998701843</c:v>
                </c:pt>
                <c:pt idx="103">
                  <c:v>660.35899185525079</c:v>
                </c:pt>
                <c:pt idx="104">
                  <c:v>556.93298354315027</c:v>
                </c:pt>
                <c:pt idx="105">
                  <c:v>571.92513161986471</c:v>
                </c:pt>
                <c:pt idx="106">
                  <c:v>586.90907372369782</c:v>
                </c:pt>
                <c:pt idx="107">
                  <c:v>601.88504875941476</c:v>
                </c:pt>
                <c:pt idx="108">
                  <c:v>616.85328278006489</c:v>
                </c:pt>
                <c:pt idx="109">
                  <c:v>631.8139899798548</c:v>
                </c:pt>
                <c:pt idx="110">
                  <c:v>646.76737358814535</c:v>
                </c:pt>
                <c:pt idx="111">
                  <c:v>661.71362667652068</c:v>
                </c:pt>
                <c:pt idx="112">
                  <c:v>676.6529328891969</c:v>
                </c:pt>
                <c:pt idx="113">
                  <c:v>691.58546710561325</c:v>
                </c:pt>
                <c:pt idx="114">
                  <c:v>587.05170100244709</c:v>
                </c:pt>
                <c:pt idx="115">
                  <c:v>601.8970954790808</c:v>
                </c:pt>
                <c:pt idx="116">
                  <c:v>616.73488349455454</c:v>
                </c:pt>
                <c:pt idx="117">
                  <c:v>631.56527372816129</c:v>
                </c:pt>
                <c:pt idx="118">
                  <c:v>646.38846426544126</c:v>
                </c:pt>
                <c:pt idx="119">
                  <c:v>661.20464337160729</c:v>
                </c:pt>
                <c:pt idx="120">
                  <c:v>676.01399019208782</c:v>
                </c:pt>
                <c:pt idx="121">
                  <c:v>690.81667538853105</c:v>
                </c:pt>
                <c:pt idx="122">
                  <c:v>705.61286171750055</c:v>
                </c:pt>
                <c:pt idx="123">
                  <c:v>720.40270455814596</c:v>
                </c:pt>
                <c:pt idx="124">
                  <c:v>375.83439386361852</c:v>
                </c:pt>
                <c:pt idx="125">
                  <c:v>384.11683809279111</c:v>
                </c:pt>
                <c:pt idx="126">
                  <c:v>266.28582149154744</c:v>
                </c:pt>
                <c:pt idx="127">
                  <c:v>271.98597818705349</c:v>
                </c:pt>
                <c:pt idx="128">
                  <c:v>195.12930428534472</c:v>
                </c:pt>
                <c:pt idx="129">
                  <c:v>199.38175458791338</c:v>
                </c:pt>
                <c:pt idx="130">
                  <c:v>203.63210168973379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2CAA118F-90E1-43F0-A9DA-810A8623D999}">
    <text>A recopier sur toutes les essences.
Correspond aux frais fixes d’entretien mécanique + répulsif gibier</text>
  </threadedComment>
  <threadedComment ref="E50" dT="2024-11-27T17:08:05.48" personId="{44BC7BF0-8157-4572-8E12-7E0C99523682}" id="{2311EB51-06CB-4BC1-97CC-E67DF9C08E24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C0FC1202-C7E0-4274-AAFD-C12879A96718}">
    <text>A recopier sur toutes les essences.
Correspond aux frais fixes d’entretien mécanique + répulsif gibier</text>
  </threadedComment>
  <threadedComment ref="E80" dT="2024-11-27T17:07:34.75" personId="{44BC7BF0-8157-4572-8E12-7E0C99523682}" id="{A381A131-E41B-4562-A414-DA4B5C884694}">
    <text>A recopier sur toutes les essences.
Correspond aux frais fixes d’entretien mécanique + répulsif gibier</text>
  </threadedComment>
  <threadedComment ref="E81" dT="2024-11-27T17:08:05.48" personId="{44BC7BF0-8157-4572-8E12-7E0C99523682}" id="{7F9810CA-98E7-4B5C-93AE-D1FDCF90D1D3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780AF31F-7158-4E2A-BEA7-8FA664AB5387}">
    <text>A recopier sur toutes les essences.
Correspond aux frais fixes d’entretien mécanique + répulsif gibier</text>
  </threadedComment>
  <threadedComment ref="E111" dT="2024-11-27T17:07:34.75" personId="{44BC7BF0-8157-4572-8E12-7E0C99523682}" id="{E904B95B-9970-478B-B8D2-1756F22A0B96}">
    <text>A recopier sur toutes les essences.
Correspond aux frais fixes d’entretien mécanique + répulsif gibier</text>
  </threadedComment>
  <threadedComment ref="E112" dT="2024-11-27T17:08:05.48" personId="{44BC7BF0-8157-4572-8E12-7E0C99523682}" id="{2440C543-BD9E-4B6F-8092-2304BC1F6816}">
    <text xml:space="preserve">A recopier sur toutes les essences
Correspond aux frais fixes entretien manuel + répulsif gibier + regarnis
</text>
  </threadedComment>
  <threadedComment ref="E113" dT="2024-11-27T17:07:34.75" personId="{44BC7BF0-8157-4572-8E12-7E0C99523682}" id="{F186C5A3-215B-430E-BAF5-968A45F5570F}">
    <text>A recopier sur toutes les essences.
Correspond aux frais fixes d’entretien mécanique + répulsif gibier</text>
  </threadedComment>
  <threadedComment ref="E142" dT="2024-11-27T17:07:34.75" personId="{44BC7BF0-8157-4572-8E12-7E0C99523682}" id="{C7F252CC-5CF9-452F-9E85-E33F28393010}">
    <text>A recopier sur toutes les essences.
Correspond aux frais fixes d’entretien mécanique + répulsif gibier</text>
  </threadedComment>
  <threadedComment ref="E143" dT="2024-11-27T17:08:05.48" personId="{44BC7BF0-8157-4572-8E12-7E0C99523682}" id="{B8307710-4DF8-4FFB-AA98-239E0E36B0E2}">
    <text xml:space="preserve">A recopier sur toutes les essences
Correspond aux frais fixes entretien manuel + répulsif gibier + regarnis
</text>
  </threadedComment>
  <threadedComment ref="E144" dT="2024-11-27T17:07:34.75" personId="{44BC7BF0-8157-4572-8E12-7E0C99523682}" id="{3AF72111-0B01-451A-BECC-D848F30B4175}">
    <text>A recopier sur toutes les essences.
Correspond aux frais fixes d’entretien mécanique + répulsif gibier</text>
  </threadedComment>
  <threadedComment ref="E173" dT="2024-11-27T17:07:34.75" personId="{44BC7BF0-8157-4572-8E12-7E0C99523682}" id="{F5C463C8-31A7-4E5E-9934-708ED537BB7D}">
    <text>A recopier sur toutes les essences.
Correspond aux frais fixes d’entretien mécanique + répulsif gibier</text>
  </threadedComment>
  <threadedComment ref="E174" dT="2024-11-27T17:08:05.48" personId="{44BC7BF0-8157-4572-8E12-7E0C99523682}" id="{962D06AF-667D-4A1A-8683-49822758C667}">
    <text xml:space="preserve">A recopier sur toutes les essences
Correspond aux frais fixes entretien manuel + répulsif gibier + regarnis
</text>
  </threadedComment>
  <threadedComment ref="E175" dT="2024-11-27T17:07:34.75" personId="{44BC7BF0-8157-4572-8E12-7E0C99523682}" id="{6F190185-E9AF-47FF-8728-D976A80137EB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70" t="s">
        <v>190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6" t="s">
        <v>231</v>
      </c>
      <c r="B5" s="276"/>
      <c r="C5" s="24">
        <v>6.71</v>
      </c>
      <c r="D5" s="277" t="s">
        <v>229</v>
      </c>
      <c r="E5" s="278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12</v>
      </c>
      <c r="C9" s="32">
        <v>0.42580000000000001</v>
      </c>
      <c r="D9" s="33">
        <f t="shared" ref="D9:D18" si="0">C9*$C$5</f>
        <v>2.8571180000000003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164</v>
      </c>
      <c r="C10" s="32">
        <v>0.31119999999999998</v>
      </c>
      <c r="D10" s="33">
        <f t="shared" si="0"/>
        <v>2.088152</v>
      </c>
      <c r="E10" s="34">
        <v>105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21</v>
      </c>
      <c r="C11" s="32">
        <v>4.1700000000000001E-2</v>
      </c>
      <c r="D11" s="33">
        <f t="shared" si="0"/>
        <v>0.27980700000000003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14</v>
      </c>
      <c r="C12" s="32">
        <v>0.19670000000000001</v>
      </c>
      <c r="D12" s="33">
        <f t="shared" si="0"/>
        <v>1.3198570000000001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6</v>
      </c>
      <c r="C13" s="32">
        <v>2.46E-2</v>
      </c>
      <c r="D13" s="33">
        <f t="shared" si="0"/>
        <v>0.16506599999999999</v>
      </c>
      <c r="E13" s="34">
        <v>130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>C14*$C$5</f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>C15*$C$5</f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0.99999999999999989</v>
      </c>
      <c r="D19" s="38">
        <f>SUM(D9:D18)</f>
        <v>6.7100000000000009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pubescent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42</v>
      </c>
      <c r="B36" s="258">
        <v>163.26</v>
      </c>
      <c r="C36" s="258">
        <v>1</v>
      </c>
      <c r="D36" s="259">
        <v>43.21</v>
      </c>
      <c r="E36" s="260">
        <v>0.3</v>
      </c>
      <c r="F36" s="260">
        <v>0</v>
      </c>
      <c r="G36" s="260">
        <v>0</v>
      </c>
      <c r="H36" s="260">
        <v>0.7</v>
      </c>
      <c r="I36" s="49">
        <f>IFERROR(B36/A36,"")</f>
        <v>3.887142857142857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50</v>
      </c>
      <c r="B37" s="262">
        <v>195.02</v>
      </c>
      <c r="C37" s="262">
        <v>2</v>
      </c>
      <c r="D37" s="262">
        <v>35.58</v>
      </c>
      <c r="E37" s="263">
        <v>0.3</v>
      </c>
      <c r="F37" s="263">
        <v>0</v>
      </c>
      <c r="G37" s="263">
        <v>0</v>
      </c>
      <c r="H37" s="263">
        <v>0.7</v>
      </c>
      <c r="I37" s="53">
        <f t="shared" ref="I37:I55" si="1">IF(A37&lt;&gt;0,(B37-(B36-D36))/(A37-A36),"")</f>
        <v>9.3712500000000034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58</v>
      </c>
      <c r="B38" s="262">
        <v>235.87</v>
      </c>
      <c r="C38" s="262">
        <v>3</v>
      </c>
      <c r="D38" s="262">
        <v>44.93</v>
      </c>
      <c r="E38" s="263">
        <v>0.3</v>
      </c>
      <c r="F38" s="263">
        <v>0</v>
      </c>
      <c r="G38" s="263">
        <v>0</v>
      </c>
      <c r="H38" s="263">
        <v>0.7</v>
      </c>
      <c r="I38" s="53">
        <f t="shared" si="1"/>
        <v>9.5537500000000009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66</v>
      </c>
      <c r="B39" s="262">
        <v>264.95999999999998</v>
      </c>
      <c r="C39" s="262">
        <v>4</v>
      </c>
      <c r="D39" s="262">
        <v>49.91</v>
      </c>
      <c r="E39" s="263">
        <v>0.6</v>
      </c>
      <c r="F39" s="263">
        <v>0</v>
      </c>
      <c r="G39" s="263">
        <v>0</v>
      </c>
      <c r="H39" s="263">
        <v>0.4</v>
      </c>
      <c r="I39" s="49">
        <f t="shared" si="1"/>
        <v>9.2524999999999977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74</v>
      </c>
      <c r="B40" s="262">
        <v>285.98</v>
      </c>
      <c r="C40" s="262">
        <v>5</v>
      </c>
      <c r="D40" s="262">
        <v>47.4</v>
      </c>
      <c r="E40" s="263">
        <v>0.6</v>
      </c>
      <c r="F40" s="263">
        <v>0</v>
      </c>
      <c r="G40" s="263">
        <v>0</v>
      </c>
      <c r="H40" s="263">
        <v>0.4</v>
      </c>
      <c r="I40" s="49">
        <f t="shared" si="1"/>
        <v>8.8662500000000044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84</v>
      </c>
      <c r="B41" s="262">
        <v>325.35000000000002</v>
      </c>
      <c r="C41" s="262">
        <v>6</v>
      </c>
      <c r="D41" s="262">
        <v>61.47</v>
      </c>
      <c r="E41" s="263">
        <v>0.6</v>
      </c>
      <c r="F41" s="263">
        <v>0</v>
      </c>
      <c r="G41" s="263">
        <v>0</v>
      </c>
      <c r="H41" s="263">
        <v>0.4</v>
      </c>
      <c r="I41" s="53">
        <f t="shared" si="1"/>
        <v>8.6770000000000014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94</v>
      </c>
      <c r="B42" s="262">
        <v>346.79</v>
      </c>
      <c r="C42" s="262">
        <v>7</v>
      </c>
      <c r="D42" s="262">
        <v>61.85</v>
      </c>
      <c r="E42" s="263">
        <v>0.6</v>
      </c>
      <c r="F42" s="263">
        <v>0</v>
      </c>
      <c r="G42" s="263">
        <v>0</v>
      </c>
      <c r="H42" s="263">
        <v>0.4</v>
      </c>
      <c r="I42" s="53">
        <f t="shared" si="1"/>
        <v>8.2910000000000021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>
        <v>104</v>
      </c>
      <c r="B43" s="262">
        <v>365.41</v>
      </c>
      <c r="C43" s="262">
        <v>8</v>
      </c>
      <c r="D43" s="262">
        <v>60.19</v>
      </c>
      <c r="E43" s="263">
        <v>0.6</v>
      </c>
      <c r="F43" s="263">
        <v>0</v>
      </c>
      <c r="G43" s="263">
        <v>0</v>
      </c>
      <c r="H43" s="263">
        <v>0.4</v>
      </c>
      <c r="I43" s="49">
        <f t="shared" si="1"/>
        <v>8.0470000000000024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>
        <v>114</v>
      </c>
      <c r="B44" s="262">
        <v>384.57</v>
      </c>
      <c r="C44" s="262">
        <v>9</v>
      </c>
      <c r="D44" s="262">
        <v>56.07</v>
      </c>
      <c r="E44" s="263">
        <v>0.6</v>
      </c>
      <c r="F44" s="263">
        <v>0</v>
      </c>
      <c r="G44" s="263">
        <v>0</v>
      </c>
      <c r="H44" s="263">
        <v>0.4</v>
      </c>
      <c r="I44" s="49">
        <f t="shared" si="1"/>
        <v>7.9349999999999969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>
        <v>124</v>
      </c>
      <c r="B45" s="262">
        <v>408.42</v>
      </c>
      <c r="C45" s="262">
        <v>10</v>
      </c>
      <c r="D45" s="262">
        <v>52.53</v>
      </c>
      <c r="E45" s="263">
        <v>0.6</v>
      </c>
      <c r="F45" s="263">
        <v>0</v>
      </c>
      <c r="G45" s="263">
        <v>0</v>
      </c>
      <c r="H45" s="263">
        <v>0.4</v>
      </c>
      <c r="I45" s="49">
        <f t="shared" si="1"/>
        <v>7.9920000000000018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>
        <v>134</v>
      </c>
      <c r="B46" s="262">
        <v>436.59</v>
      </c>
      <c r="C46" s="262">
        <v>11</v>
      </c>
      <c r="D46" s="262">
        <v>54.95</v>
      </c>
      <c r="E46" s="263">
        <v>0.6</v>
      </c>
      <c r="F46" s="263">
        <v>0</v>
      </c>
      <c r="G46" s="263">
        <v>0</v>
      </c>
      <c r="H46" s="263">
        <v>0.4</v>
      </c>
      <c r="I46" s="49">
        <f t="shared" si="1"/>
        <v>8.0699999999999985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>
        <v>144</v>
      </c>
      <c r="B47" s="262">
        <v>463.23</v>
      </c>
      <c r="C47" s="262">
        <v>12</v>
      </c>
      <c r="D47" s="262">
        <v>56.01</v>
      </c>
      <c r="E47" s="263">
        <v>0.6</v>
      </c>
      <c r="F47" s="263">
        <v>0</v>
      </c>
      <c r="G47" s="263">
        <v>0</v>
      </c>
      <c r="H47" s="263">
        <v>0.4</v>
      </c>
      <c r="I47" s="49">
        <f t="shared" si="1"/>
        <v>8.1590000000000025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>
        <v>154</v>
      </c>
      <c r="B48" s="262">
        <v>490.47</v>
      </c>
      <c r="C48" s="262">
        <v>13</v>
      </c>
      <c r="D48" s="262">
        <v>55.13</v>
      </c>
      <c r="E48" s="263">
        <v>0.6</v>
      </c>
      <c r="F48" s="263">
        <v>0</v>
      </c>
      <c r="G48" s="263">
        <v>0</v>
      </c>
      <c r="H48" s="263">
        <v>0.4</v>
      </c>
      <c r="I48" s="49">
        <f t="shared" si="1"/>
        <v>8.3249999999999993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>
        <v>164</v>
      </c>
      <c r="B49" s="262">
        <v>519.77</v>
      </c>
      <c r="C49" s="262">
        <v>14</v>
      </c>
      <c r="D49" s="262">
        <v>59.58</v>
      </c>
      <c r="E49" s="263">
        <v>0.6</v>
      </c>
      <c r="F49" s="263">
        <v>0</v>
      </c>
      <c r="G49" s="263">
        <v>0</v>
      </c>
      <c r="H49" s="263">
        <v>0.4</v>
      </c>
      <c r="I49" s="49">
        <f t="shared" si="1"/>
        <v>8.4429999999999943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174</v>
      </c>
      <c r="B50" s="262">
        <v>545.65</v>
      </c>
      <c r="C50" s="262">
        <v>15</v>
      </c>
      <c r="D50" s="262">
        <v>214.77</v>
      </c>
      <c r="E50" s="263">
        <v>0.6</v>
      </c>
      <c r="F50" s="263">
        <v>0</v>
      </c>
      <c r="G50" s="263">
        <v>0</v>
      </c>
      <c r="H50" s="263">
        <v>0.4</v>
      </c>
      <c r="I50" s="49">
        <f t="shared" si="1"/>
        <v>8.5459999999999976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177</v>
      </c>
      <c r="B51" s="262">
        <v>347.04</v>
      </c>
      <c r="C51" s="262">
        <v>16</v>
      </c>
      <c r="D51" s="262">
        <v>115.19</v>
      </c>
      <c r="E51" s="263">
        <v>0.6</v>
      </c>
      <c r="F51" s="263">
        <v>0</v>
      </c>
      <c r="G51" s="263">
        <v>0</v>
      </c>
      <c r="H51" s="263">
        <v>0.4</v>
      </c>
      <c r="I51" s="49">
        <f t="shared" si="1"/>
        <v>5.3866666666666747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180</v>
      </c>
      <c r="B52" s="262">
        <v>241.62</v>
      </c>
      <c r="C52" s="262">
        <v>17</v>
      </c>
      <c r="D52" s="262">
        <v>77.72</v>
      </c>
      <c r="E52" s="263">
        <v>0.6</v>
      </c>
      <c r="F52" s="263">
        <v>0</v>
      </c>
      <c r="G52" s="263">
        <v>0</v>
      </c>
      <c r="H52" s="263">
        <v>0.4</v>
      </c>
      <c r="I52" s="49">
        <f t="shared" si="1"/>
        <v>3.2566666666666606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183</v>
      </c>
      <c r="B53" s="262">
        <v>169.76</v>
      </c>
      <c r="C53" s="262">
        <v>18</v>
      </c>
      <c r="D53" s="262">
        <v>169.76</v>
      </c>
      <c r="E53" s="263">
        <v>0.6</v>
      </c>
      <c r="F53" s="263">
        <v>0</v>
      </c>
      <c r="G53" s="263">
        <v>0</v>
      </c>
      <c r="H53" s="263">
        <v>0.4</v>
      </c>
      <c r="I53" s="49">
        <f t="shared" si="1"/>
        <v>1.9533333333333285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42</v>
      </c>
      <c r="B62" s="60">
        <v>416.76</v>
      </c>
      <c r="C62" s="60">
        <v>1</v>
      </c>
      <c r="D62" s="60">
        <v>182.39</v>
      </c>
      <c r="E62" s="51">
        <v>0.5</v>
      </c>
      <c r="F62" s="51">
        <v>0.5</v>
      </c>
      <c r="G62" s="51">
        <v>0</v>
      </c>
      <c r="H62" s="51">
        <v>0</v>
      </c>
      <c r="I62" s="53">
        <f>IFERROR(B62/A62,"")</f>
        <v>9.9228571428571435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49</v>
      </c>
      <c r="B63" s="60">
        <v>361.26</v>
      </c>
      <c r="C63" s="60">
        <v>2</v>
      </c>
      <c r="D63" s="60">
        <v>100.16</v>
      </c>
      <c r="E63" s="51">
        <v>0.5</v>
      </c>
      <c r="F63" s="51">
        <v>0.5</v>
      </c>
      <c r="G63" s="51">
        <v>0</v>
      </c>
      <c r="H63" s="51">
        <v>0</v>
      </c>
      <c r="I63" s="49">
        <f>IF(A63&lt;&gt;0,(B63-(B62-D62))/(A63-A62),"")</f>
        <v>18.127142857142854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56</v>
      </c>
      <c r="B64" s="60">
        <v>379.71</v>
      </c>
      <c r="C64" s="60">
        <v>3</v>
      </c>
      <c r="D64" s="60">
        <v>79.39</v>
      </c>
      <c r="E64" s="51">
        <v>0.7</v>
      </c>
      <c r="F64" s="51">
        <v>0.3</v>
      </c>
      <c r="G64" s="51">
        <v>0</v>
      </c>
      <c r="H64" s="51">
        <v>0</v>
      </c>
      <c r="I64" s="49">
        <f>IF(A64&lt;&gt;0,(B64-(B63-D63))/(A64-A63),"")</f>
        <v>16.944285714285709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63</v>
      </c>
      <c r="B65" s="60">
        <v>416.49</v>
      </c>
      <c r="C65" s="60">
        <v>4</v>
      </c>
      <c r="D65" s="60">
        <v>79.099999999999994</v>
      </c>
      <c r="E65" s="51">
        <v>0.7</v>
      </c>
      <c r="F65" s="51">
        <v>0.3</v>
      </c>
      <c r="G65" s="51">
        <v>0</v>
      </c>
      <c r="H65" s="51">
        <v>0</v>
      </c>
      <c r="I65" s="49">
        <f>IF(A65&lt;&gt;0,(B65-(B64-D64))/(A65-A64),"")</f>
        <v>16.595714285714287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71</v>
      </c>
      <c r="B66" s="60">
        <v>465.79</v>
      </c>
      <c r="C66" s="60">
        <v>5</v>
      </c>
      <c r="D66" s="60">
        <v>90.8</v>
      </c>
      <c r="E66" s="51">
        <v>0.7</v>
      </c>
      <c r="F66" s="51">
        <v>0.3</v>
      </c>
      <c r="G66" s="51">
        <v>0</v>
      </c>
      <c r="H66" s="51">
        <v>0</v>
      </c>
      <c r="I66" s="49">
        <f t="shared" ref="I66:I81" si="2">IF(A66&lt;&gt;0,(B66-(B65-D65))/(A66-A65),"")</f>
        <v>16.050000000000004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79</v>
      </c>
      <c r="B67" s="60">
        <v>495.91</v>
      </c>
      <c r="C67" s="60">
        <v>6</v>
      </c>
      <c r="D67" s="60">
        <v>87.99</v>
      </c>
      <c r="E67" s="51">
        <v>0.7</v>
      </c>
      <c r="F67" s="51">
        <v>0.3</v>
      </c>
      <c r="G67" s="51">
        <v>0</v>
      </c>
      <c r="H67" s="51">
        <v>0</v>
      </c>
      <c r="I67" s="49">
        <f t="shared" si="2"/>
        <v>15.115000000000002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87</v>
      </c>
      <c r="B68" s="60">
        <v>521.62</v>
      </c>
      <c r="C68" s="60">
        <v>7</v>
      </c>
      <c r="D68" s="60">
        <v>88.62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14.212499999999999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95</v>
      </c>
      <c r="B69" s="50">
        <v>538.28</v>
      </c>
      <c r="C69" s="50">
        <v>8</v>
      </c>
      <c r="D69" s="50">
        <v>268.81</v>
      </c>
      <c r="E69" s="51">
        <v>0.7</v>
      </c>
      <c r="F69" s="51">
        <v>0.3</v>
      </c>
      <c r="G69" s="51">
        <v>0</v>
      </c>
      <c r="H69" s="51">
        <v>0</v>
      </c>
      <c r="I69" s="49">
        <f t="shared" si="2"/>
        <v>13.159999999999997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105</v>
      </c>
      <c r="B70" s="50">
        <v>356.68</v>
      </c>
      <c r="C70" s="50">
        <v>9</v>
      </c>
      <c r="D70" s="50">
        <v>356.68</v>
      </c>
      <c r="E70" s="51">
        <v>0.7</v>
      </c>
      <c r="F70" s="51">
        <v>0.3</v>
      </c>
      <c r="G70" s="51">
        <v>0</v>
      </c>
      <c r="H70" s="51">
        <v>0</v>
      </c>
      <c r="I70" s="49">
        <f t="shared" si="2"/>
        <v>8.7210000000000036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champêtre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18.024999999999999</v>
      </c>
      <c r="C88" s="60">
        <v>1</v>
      </c>
      <c r="D88" s="60">
        <v>6.4889999999999999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0.90124999999999988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30.462249999999997</v>
      </c>
      <c r="C89" s="60">
        <v>2</v>
      </c>
      <c r="D89" s="60">
        <v>7.5705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3.78525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40.91675</v>
      </c>
      <c r="C90" s="60">
        <v>3</v>
      </c>
      <c r="D90" s="60">
        <v>7.5705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3.6050000000000004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49.568750000000001</v>
      </c>
      <c r="C91" s="60">
        <v>4</v>
      </c>
      <c r="D91" s="60">
        <v>7.5705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3.2445000000000008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v>56.057749999999999</v>
      </c>
      <c r="C92" s="60">
        <v>5</v>
      </c>
      <c r="D92" s="60">
        <v>7.5705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2.8119000000000001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v>60.564</v>
      </c>
      <c r="C93" s="60">
        <v>6</v>
      </c>
      <c r="D93" s="60">
        <v>6.8494999999999999</v>
      </c>
      <c r="E93" s="87">
        <v>0.3</v>
      </c>
      <c r="F93" s="87">
        <v>0</v>
      </c>
      <c r="G93" s="87">
        <v>0</v>
      </c>
      <c r="H93" s="87">
        <v>0.7</v>
      </c>
      <c r="I93" s="53">
        <f t="shared" si="3"/>
        <v>2.415350000000001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50</v>
      </c>
      <c r="B94" s="60">
        <v>63.988749999999996</v>
      </c>
      <c r="C94" s="60">
        <v>7</v>
      </c>
      <c r="D94" s="60">
        <v>5.2272499999999997</v>
      </c>
      <c r="E94" s="87">
        <v>0.3</v>
      </c>
      <c r="F94" s="87">
        <v>0</v>
      </c>
      <c r="G94" s="87">
        <v>0</v>
      </c>
      <c r="H94" s="87">
        <v>0.7</v>
      </c>
      <c r="I94" s="53">
        <f t="shared" si="3"/>
        <v>2.0548499999999992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55</v>
      </c>
      <c r="B95" s="60">
        <v>67.59375</v>
      </c>
      <c r="C95" s="60">
        <v>8</v>
      </c>
      <c r="D95" s="60">
        <v>4.1457499999999996</v>
      </c>
      <c r="E95" s="87">
        <v>0.3</v>
      </c>
      <c r="F95" s="87">
        <v>0</v>
      </c>
      <c r="G95" s="87">
        <v>0</v>
      </c>
      <c r="H95" s="87">
        <v>0.7</v>
      </c>
      <c r="I95" s="53">
        <f t="shared" si="3"/>
        <v>1.7664500000000003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60</v>
      </c>
      <c r="B96" s="60">
        <v>71.018500000000003</v>
      </c>
      <c r="C96" s="60">
        <v>9</v>
      </c>
      <c r="D96" s="60">
        <v>3.42475</v>
      </c>
      <c r="E96" s="87">
        <v>0.3</v>
      </c>
      <c r="F96" s="87">
        <v>0</v>
      </c>
      <c r="G96" s="87">
        <v>0</v>
      </c>
      <c r="H96" s="87">
        <v>0.7</v>
      </c>
      <c r="I96" s="53">
        <f t="shared" si="3"/>
        <v>1.5141000000000004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65</v>
      </c>
      <c r="B97" s="60">
        <v>73.902500000000003</v>
      </c>
      <c r="C97" s="60">
        <v>10</v>
      </c>
      <c r="D97" s="60">
        <v>3.0642499999999999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1.2617500000000006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70</v>
      </c>
      <c r="B98" s="60">
        <v>76.245750000000001</v>
      </c>
      <c r="C98" s="60">
        <v>11</v>
      </c>
      <c r="D98" s="60">
        <v>2.7037499999999999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1.0814999999999997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75</v>
      </c>
      <c r="B99" s="60">
        <v>78.228499999999997</v>
      </c>
      <c r="C99" s="60">
        <v>12</v>
      </c>
      <c r="D99" s="60">
        <v>2.3432499999999998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0.93729999999999902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80</v>
      </c>
      <c r="B100" s="60">
        <v>80.030999999999992</v>
      </c>
      <c r="C100" s="60">
        <v>13</v>
      </c>
      <c r="D100" s="60">
        <v>80.030999999999992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0.8291499999999985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sessile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42</v>
      </c>
      <c r="B114" s="60">
        <v>163.26</v>
      </c>
      <c r="C114" s="50">
        <v>1</v>
      </c>
      <c r="D114" s="60">
        <v>43.21</v>
      </c>
      <c r="E114" s="51">
        <v>0.3</v>
      </c>
      <c r="F114" s="51">
        <v>0</v>
      </c>
      <c r="G114" s="51">
        <v>0</v>
      </c>
      <c r="H114" s="51">
        <v>0.7</v>
      </c>
      <c r="I114" s="53">
        <f>IFERROR(B114/A114,"")</f>
        <v>3.887142857142857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50</v>
      </c>
      <c r="B115" s="60">
        <v>195.02</v>
      </c>
      <c r="C115" s="50">
        <v>2</v>
      </c>
      <c r="D115" s="60">
        <v>35.58</v>
      </c>
      <c r="E115" s="51">
        <v>0.3</v>
      </c>
      <c r="F115" s="51">
        <v>0</v>
      </c>
      <c r="G115" s="51">
        <v>0</v>
      </c>
      <c r="H115" s="51">
        <v>0.7</v>
      </c>
      <c r="I115" s="53">
        <f t="shared" ref="I115:I133" si="4">IF(A115&lt;&gt;0,(B115-(B114-D114))/(A115-A114),"")</f>
        <v>9.3712500000000034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58</v>
      </c>
      <c r="B116" s="60">
        <v>235.87</v>
      </c>
      <c r="C116" s="50">
        <v>3</v>
      </c>
      <c r="D116" s="60">
        <v>44.93</v>
      </c>
      <c r="E116" s="51">
        <v>0.3</v>
      </c>
      <c r="F116" s="51">
        <v>0</v>
      </c>
      <c r="G116" s="51">
        <v>0</v>
      </c>
      <c r="H116" s="51">
        <v>0.7</v>
      </c>
      <c r="I116" s="53">
        <f t="shared" si="4"/>
        <v>9.5537500000000009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66</v>
      </c>
      <c r="B117" s="60">
        <v>264.95999999999998</v>
      </c>
      <c r="C117" s="50">
        <v>4</v>
      </c>
      <c r="D117" s="60">
        <v>49.91</v>
      </c>
      <c r="E117" s="51">
        <v>0.6</v>
      </c>
      <c r="F117" s="51">
        <v>0</v>
      </c>
      <c r="G117" s="51">
        <v>0</v>
      </c>
      <c r="H117" s="51">
        <v>0.4</v>
      </c>
      <c r="I117" s="53">
        <f t="shared" si="4"/>
        <v>9.2524999999999977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74</v>
      </c>
      <c r="B118" s="60">
        <v>285.98</v>
      </c>
      <c r="C118" s="50">
        <v>5</v>
      </c>
      <c r="D118" s="60">
        <v>47.4</v>
      </c>
      <c r="E118" s="51">
        <v>0.6</v>
      </c>
      <c r="F118" s="51">
        <v>0</v>
      </c>
      <c r="G118" s="51">
        <v>0</v>
      </c>
      <c r="H118" s="51">
        <v>0.4</v>
      </c>
      <c r="I118" s="53">
        <f t="shared" si="4"/>
        <v>8.8662500000000044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84</v>
      </c>
      <c r="B119" s="60">
        <v>325.35000000000002</v>
      </c>
      <c r="C119" s="50">
        <v>6</v>
      </c>
      <c r="D119" s="60">
        <v>61.47</v>
      </c>
      <c r="E119" s="51">
        <v>0.6</v>
      </c>
      <c r="F119" s="51">
        <v>0</v>
      </c>
      <c r="G119" s="51">
        <v>0</v>
      </c>
      <c r="H119" s="51">
        <v>0.4</v>
      </c>
      <c r="I119" s="53">
        <f t="shared" si="4"/>
        <v>8.6770000000000014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94</v>
      </c>
      <c r="B120" s="60">
        <v>346.79</v>
      </c>
      <c r="C120" s="60">
        <v>7</v>
      </c>
      <c r="D120" s="60">
        <v>61.85</v>
      </c>
      <c r="E120" s="87">
        <v>0.6</v>
      </c>
      <c r="F120" s="87">
        <v>0</v>
      </c>
      <c r="G120" s="87">
        <v>0</v>
      </c>
      <c r="H120" s="87">
        <v>0.4</v>
      </c>
      <c r="I120" s="53">
        <f t="shared" si="4"/>
        <v>8.2910000000000021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104</v>
      </c>
      <c r="B121" s="60">
        <v>365.41</v>
      </c>
      <c r="C121" s="60">
        <v>8</v>
      </c>
      <c r="D121" s="60">
        <v>60.19</v>
      </c>
      <c r="E121" s="87">
        <v>0.6</v>
      </c>
      <c r="F121" s="87">
        <v>0</v>
      </c>
      <c r="G121" s="87">
        <v>0</v>
      </c>
      <c r="H121" s="87">
        <v>0.4</v>
      </c>
      <c r="I121" s="53">
        <f t="shared" si="4"/>
        <v>8.0470000000000024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114</v>
      </c>
      <c r="B122" s="60">
        <v>384.57</v>
      </c>
      <c r="C122" s="60">
        <v>9</v>
      </c>
      <c r="D122" s="60">
        <v>56.07</v>
      </c>
      <c r="E122" s="87">
        <v>0.6</v>
      </c>
      <c r="F122" s="87">
        <v>0</v>
      </c>
      <c r="G122" s="87">
        <v>0</v>
      </c>
      <c r="H122" s="87">
        <v>0.4</v>
      </c>
      <c r="I122" s="53">
        <f t="shared" si="4"/>
        <v>7.9349999999999969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124</v>
      </c>
      <c r="B123" s="60">
        <v>408.42</v>
      </c>
      <c r="C123" s="60">
        <v>10</v>
      </c>
      <c r="D123" s="60">
        <v>52.53</v>
      </c>
      <c r="E123" s="87">
        <v>0.6</v>
      </c>
      <c r="F123" s="87">
        <v>0</v>
      </c>
      <c r="G123" s="87">
        <v>0</v>
      </c>
      <c r="H123" s="87">
        <v>0.4</v>
      </c>
      <c r="I123" s="53">
        <f t="shared" si="4"/>
        <v>7.9920000000000018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134</v>
      </c>
      <c r="B124" s="60">
        <v>436.59</v>
      </c>
      <c r="C124" s="60">
        <v>11</v>
      </c>
      <c r="D124" s="60">
        <v>54.95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8.0699999999999985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144</v>
      </c>
      <c r="B125" s="60">
        <v>463.23</v>
      </c>
      <c r="C125" s="60">
        <v>12</v>
      </c>
      <c r="D125" s="60">
        <v>56.01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8.1590000000000025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154</v>
      </c>
      <c r="B126" s="60">
        <v>490.47</v>
      </c>
      <c r="C126" s="60">
        <v>13</v>
      </c>
      <c r="D126" s="60">
        <v>55.13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8.3249999999999993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164</v>
      </c>
      <c r="B127" s="60">
        <v>519.77</v>
      </c>
      <c r="C127" s="60">
        <v>14</v>
      </c>
      <c r="D127" s="60">
        <v>59.58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8.4429999999999943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174</v>
      </c>
      <c r="B128" s="50">
        <v>545.65</v>
      </c>
      <c r="C128" s="50">
        <v>15</v>
      </c>
      <c r="D128" s="50">
        <v>214.77</v>
      </c>
      <c r="E128" s="54">
        <v>0.6</v>
      </c>
      <c r="F128" s="54">
        <v>0</v>
      </c>
      <c r="G128" s="54">
        <v>0</v>
      </c>
      <c r="H128" s="54">
        <v>0.4</v>
      </c>
      <c r="I128" s="53">
        <f t="shared" si="4"/>
        <v>8.5459999999999976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177</v>
      </c>
      <c r="B129" s="50">
        <v>347.04</v>
      </c>
      <c r="C129" s="50">
        <v>16</v>
      </c>
      <c r="D129" s="50">
        <v>115.19</v>
      </c>
      <c r="E129" s="54">
        <v>0.6</v>
      </c>
      <c r="F129" s="54">
        <v>0</v>
      </c>
      <c r="G129" s="54">
        <v>0</v>
      </c>
      <c r="H129" s="54">
        <v>0.4</v>
      </c>
      <c r="I129" s="53">
        <f t="shared" si="4"/>
        <v>5.3866666666666747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180</v>
      </c>
      <c r="B130" s="50">
        <v>241.62</v>
      </c>
      <c r="C130" s="50">
        <v>17</v>
      </c>
      <c r="D130" s="50">
        <v>77.72</v>
      </c>
      <c r="E130" s="54">
        <v>0.6</v>
      </c>
      <c r="F130" s="54">
        <v>0</v>
      </c>
      <c r="G130" s="54">
        <v>0</v>
      </c>
      <c r="H130" s="54">
        <v>0.4</v>
      </c>
      <c r="I130" s="53">
        <f t="shared" si="4"/>
        <v>3.2566666666666606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183</v>
      </c>
      <c r="B131" s="50">
        <v>169.76</v>
      </c>
      <c r="C131" s="50">
        <v>18</v>
      </c>
      <c r="D131" s="50">
        <v>169.76</v>
      </c>
      <c r="E131" s="54">
        <v>0.6</v>
      </c>
      <c r="F131" s="54">
        <v>0</v>
      </c>
      <c r="G131" s="54">
        <v>0</v>
      </c>
      <c r="H131" s="54">
        <v>0.4</v>
      </c>
      <c r="I131" s="53">
        <f t="shared" si="4"/>
        <v>1.9533333333333285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Charme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38</v>
      </c>
      <c r="B140" s="60">
        <v>144.83000000000001</v>
      </c>
      <c r="C140" s="50">
        <v>1</v>
      </c>
      <c r="D140" s="60">
        <v>69.08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3.8113157894736847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45</v>
      </c>
      <c r="B141" s="60">
        <v>138.46</v>
      </c>
      <c r="C141" s="50">
        <v>2</v>
      </c>
      <c r="D141" s="60">
        <v>39.119999999999997</v>
      </c>
      <c r="E141" s="51">
        <v>0.3</v>
      </c>
      <c r="F141" s="51">
        <v>0</v>
      </c>
      <c r="G141" s="51">
        <v>0</v>
      </c>
      <c r="H141" s="51">
        <v>0.7</v>
      </c>
      <c r="I141" s="57">
        <f t="shared" ref="I141:I159" si="5">IF(A141&lt;&gt;0,(B141-(B140-D140))/(A141-A140),"")</f>
        <v>8.9585714285714282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52</v>
      </c>
      <c r="B142" s="60">
        <v>162.18</v>
      </c>
      <c r="C142" s="50">
        <v>3</v>
      </c>
      <c r="D142" s="60">
        <v>40.9</v>
      </c>
      <c r="E142" s="51">
        <v>0.3</v>
      </c>
      <c r="F142" s="51">
        <v>0</v>
      </c>
      <c r="G142" s="51">
        <v>0</v>
      </c>
      <c r="H142" s="51">
        <v>0.7</v>
      </c>
      <c r="I142" s="57">
        <f t="shared" si="5"/>
        <v>8.9771428571428569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59</v>
      </c>
      <c r="B143" s="60">
        <v>182.58</v>
      </c>
      <c r="C143" s="50">
        <v>4</v>
      </c>
      <c r="D143" s="60">
        <v>38.119999999999997</v>
      </c>
      <c r="E143" s="51">
        <v>0.3</v>
      </c>
      <c r="F143" s="51">
        <v>0</v>
      </c>
      <c r="G143" s="51">
        <v>0</v>
      </c>
      <c r="H143" s="51">
        <v>0.7</v>
      </c>
      <c r="I143" s="57">
        <f t="shared" si="5"/>
        <v>8.757142857142858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67</v>
      </c>
      <c r="B144" s="60">
        <v>212.86</v>
      </c>
      <c r="C144" s="50">
        <v>5</v>
      </c>
      <c r="D144" s="60">
        <v>38.229999999999997</v>
      </c>
      <c r="E144" s="51">
        <v>0.6</v>
      </c>
      <c r="F144" s="51">
        <v>0</v>
      </c>
      <c r="G144" s="51">
        <v>0</v>
      </c>
      <c r="H144" s="51">
        <v>0.4</v>
      </c>
      <c r="I144" s="57">
        <f t="shared" si="5"/>
        <v>8.5500000000000007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75</v>
      </c>
      <c r="B145" s="60">
        <v>241.9</v>
      </c>
      <c r="C145" s="50">
        <v>6</v>
      </c>
      <c r="D145" s="60">
        <v>38.909999999999997</v>
      </c>
      <c r="E145" s="51">
        <v>0.6</v>
      </c>
      <c r="F145" s="51">
        <v>0</v>
      </c>
      <c r="G145" s="51">
        <v>0</v>
      </c>
      <c r="H145" s="51">
        <v>0.4</v>
      </c>
      <c r="I145" s="57">
        <f t="shared" si="5"/>
        <v>8.4087499999999977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83</v>
      </c>
      <c r="B146" s="60">
        <v>268.67</v>
      </c>
      <c r="C146" s="50">
        <v>7</v>
      </c>
      <c r="D146" s="60">
        <v>44.22</v>
      </c>
      <c r="E146" s="51">
        <v>0.6</v>
      </c>
      <c r="F146" s="51">
        <v>0</v>
      </c>
      <c r="G146" s="51">
        <v>0</v>
      </c>
      <c r="H146" s="51">
        <v>0.4</v>
      </c>
      <c r="I146" s="57">
        <f t="shared" si="5"/>
        <v>8.2100000000000009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93</v>
      </c>
      <c r="B147" s="60">
        <v>304.33</v>
      </c>
      <c r="C147" s="50">
        <v>8</v>
      </c>
      <c r="D147" s="60">
        <v>59.26</v>
      </c>
      <c r="E147" s="51">
        <v>0.6</v>
      </c>
      <c r="F147" s="51">
        <v>0</v>
      </c>
      <c r="G147" s="51">
        <v>0</v>
      </c>
      <c r="H147" s="51">
        <v>0.4</v>
      </c>
      <c r="I147" s="57">
        <f>IF(A147&lt;&gt;0,(B147-(B146-D146))/(A147-A146),"")</f>
        <v>7.9879999999999969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103</v>
      </c>
      <c r="B148" s="60">
        <v>322.19</v>
      </c>
      <c r="C148" s="50">
        <v>9</v>
      </c>
      <c r="D148" s="60">
        <v>58.98</v>
      </c>
      <c r="E148" s="51">
        <v>0.6</v>
      </c>
      <c r="F148" s="51">
        <v>0</v>
      </c>
      <c r="G148" s="51">
        <v>0</v>
      </c>
      <c r="H148" s="51">
        <v>0.4</v>
      </c>
      <c r="I148" s="57">
        <f t="shared" si="5"/>
        <v>7.7120000000000006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113</v>
      </c>
      <c r="B149" s="60">
        <v>337.78</v>
      </c>
      <c r="C149" s="50">
        <v>10</v>
      </c>
      <c r="D149" s="60">
        <v>59.52</v>
      </c>
      <c r="E149" s="51">
        <v>0.6</v>
      </c>
      <c r="F149" s="51">
        <v>0</v>
      </c>
      <c r="G149" s="51">
        <v>0</v>
      </c>
      <c r="H149" s="51">
        <v>0.4</v>
      </c>
      <c r="I149" s="57">
        <f t="shared" si="5"/>
        <v>7.456999999999999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123</v>
      </c>
      <c r="B150" s="60">
        <v>352.18</v>
      </c>
      <c r="C150" s="50">
        <v>11</v>
      </c>
      <c r="D150" s="60">
        <v>175.3</v>
      </c>
      <c r="E150" s="51">
        <v>0.6</v>
      </c>
      <c r="F150" s="51">
        <v>0</v>
      </c>
      <c r="G150" s="51">
        <v>0</v>
      </c>
      <c r="H150" s="51">
        <v>0.4</v>
      </c>
      <c r="I150" s="57">
        <f t="shared" si="5"/>
        <v>7.3920000000000012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125</v>
      </c>
      <c r="B151" s="60">
        <v>185.05</v>
      </c>
      <c r="C151" s="50">
        <v>12</v>
      </c>
      <c r="D151" s="60">
        <v>60.7</v>
      </c>
      <c r="E151" s="51">
        <v>0.6</v>
      </c>
      <c r="F151" s="51">
        <v>0</v>
      </c>
      <c r="G151" s="51">
        <v>0</v>
      </c>
      <c r="H151" s="51">
        <v>0.4</v>
      </c>
      <c r="I151" s="57">
        <f t="shared" si="5"/>
        <v>4.085000000000008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127</v>
      </c>
      <c r="B152" s="60">
        <v>129.93</v>
      </c>
      <c r="C152" s="50">
        <v>13</v>
      </c>
      <c r="D152" s="60">
        <v>39.56</v>
      </c>
      <c r="E152" s="54">
        <v>0.6</v>
      </c>
      <c r="F152" s="54">
        <v>0</v>
      </c>
      <c r="G152" s="54">
        <v>0</v>
      </c>
      <c r="H152" s="54">
        <v>0.4</v>
      </c>
      <c r="I152" s="57">
        <f t="shared" si="5"/>
        <v>2.7899999999999991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130</v>
      </c>
      <c r="B153" s="60">
        <v>96.57</v>
      </c>
      <c r="C153" s="50">
        <v>14</v>
      </c>
      <c r="D153" s="60">
        <v>96.57</v>
      </c>
      <c r="E153" s="54">
        <v>0.6</v>
      </c>
      <c r="F153" s="54">
        <v>0</v>
      </c>
      <c r="G153" s="54">
        <v>0</v>
      </c>
      <c r="H153" s="54">
        <v>0.4</v>
      </c>
      <c r="I153" s="57">
        <f t="shared" si="5"/>
        <v>2.0666666666666629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0.99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0.01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0.72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0.27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0.99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Chêne pubescent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Cèdre de l'Atlas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Erable champêtre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Chêne sessile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>Charme</v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1.35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4.9005000000000001</v>
      </c>
      <c r="H3" s="67">
        <f>(B3+E3+F3)*44/12+(C3+D3)*0.475*44/12</f>
        <v>223.99666666666667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59.74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219.04666666666665</v>
      </c>
      <c r="S3" s="59">
        <f ca="1">AVERAGE(OFFSET($R$3,0,0,'Données projet'!$E$9+1,1))-AVERAGE(OFFSET($H$3,0,0,'Données projet'!$E$9+1,1))</f>
        <v>665.7907881991157</v>
      </c>
      <c r="T3" s="59">
        <f>IF('Données projet'!E9&gt;30,$R$33-$H$33,LOOKUP('Données projet'!$E$9,$A$3:$A$203,R3:R203)-LOOKUP('Données projet'!$E$9,$A$3:$A$203,$H$3:$H$203))</f>
        <v>306.76923535735227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59.74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219.04666666666665</v>
      </c>
      <c r="AN3" s="59">
        <f ca="1">AVERAGE(OFFSET($AM$3,0,0,'Données projet'!$E$10+1,1))-AVERAGE(OFFSET($H$3,0,0,'Données projet'!$E$10+1,1))</f>
        <v>370.42479501931444</v>
      </c>
      <c r="AO3" s="59">
        <f>IF('Données projet'!E10&gt;30,$AM$33-$H$33,LOOKUP('Données projet'!$E$10,$A$3:$A$203,AM3:AM203)-LOOKUP('Données projet'!$E$10,$A$3:$A$203,$H$3:$H$203))</f>
        <v>351.95632347830144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59.74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219.04666666666665</v>
      </c>
      <c r="BI3" s="59">
        <f ca="1">AVERAGE(OFFSET($BH$3,0,0,'Données projet'!$E$11+1,1))-AVERAGE(OFFSET($H$3,0,0,'Données projet'!$E$11+1,1))</f>
        <v>128.92423054779167</v>
      </c>
      <c r="BJ3" s="59">
        <f>IF('Données projet'!E11&gt;30,$BH$33-$H$33,LOOKUP('Données projet'!$E$11,$A$3:$A$203,BH3:BH203)-LOOKUP('Données projet'!$E$11,$A$3:$A$203,$H$3:$H$203))</f>
        <v>127.5443711972687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59.74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219.04666666666665</v>
      </c>
      <c r="CD3" s="59">
        <f ca="1">AVERAGE(OFFSET($CC$3,0,0,'Données projet'!$E$12+1,1))-AVERAGE(OFFSET($H$3,0,0,'Données projet'!$E$12+1,1))</f>
        <v>601.17090553269054</v>
      </c>
      <c r="CE3" s="59">
        <f>IF('Données projet'!E12&gt;30,$CC$33-$H$33,LOOKUP('Données projet'!$E$12,$A$3:$A$203,CC3:CC203)-LOOKUP('Données projet'!$E$12,$A$3:$A$203,$H$3:$H$203))</f>
        <v>279.37477930888042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59.74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219.04666666666665</v>
      </c>
      <c r="CY3" s="59">
        <f ca="1">AVERAGE(OFFSET($CX$3,0,0,'Données projet'!$E$13+1,1))-AVERAGE(OFFSET($H$3,0,0,'Données projet'!$E$13+1,1))</f>
        <v>418.79317359649315</v>
      </c>
      <c r="CZ3" s="59">
        <f>IF('Données projet'!E13&gt;30,$CX$33-$H$33,LOOKUP('Données projet'!$E$13,$A$3:$A$203,CX3:CX203)-LOOKUP('Données projet'!$E$13,$A$3:$A$203,$H$3:$H$203))</f>
        <v>286.46514989661011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59.74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59.74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59.74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59.74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59.74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1.35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8.8919999999999989E-3</v>
      </c>
      <c r="D4" s="11">
        <f>IFERROR(EXP(-1.0587+0.8836*LN(C4)+0.284),0)</f>
        <v>7.1004844792205597E-3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4.9017345075738348</v>
      </c>
      <c r="H4" s="67">
        <f t="shared" ref="H4:H67" si="1">(B4+E4+F4)*44/12+(C4+D4)*0.475*44/12</f>
        <v>224.02452024380131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59.917988062076347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3.887142857142857</v>
      </c>
      <c r="N4" s="13">
        <f>IF('Données projet'!$A$36&gt;35,N3+M4-V3,IF(A4&lt;'Données projet'!$A$36,$K$205^A4,IF(A4='Données projet'!$A$36,'Données projet'!$B$36,N3+M4-V3)))</f>
        <v>3.887142857142857</v>
      </c>
      <c r="O4" s="13">
        <f>N4*VLOOKUP('Données projet'!$B$9,Paramètres!$A$1:$I$89,3,0)*VLOOKUP('Données projet'!$B$9,Paramètres!$A$1:$I$89,5,0)</f>
        <v>3.9415628571428569</v>
      </c>
      <c r="P4" s="13">
        <f>EXP(-1.0587+0.8836*LN(O4)+0.284)</f>
        <v>1.5484055284644385</v>
      </c>
      <c r="Q4" s="20">
        <f t="shared" ref="Q4:Q34" si="2">(O4+P4)*0.475*44/12</f>
        <v>9.5616949382660383</v>
      </c>
      <c r="R4" s="59">
        <f t="shared" si="0"/>
        <v>230.4832067214349</v>
      </c>
      <c r="S4" s="59">
        <f ca="1">AVERAGE(OFFSET($R$3,0,0,'Données projet'!$E$9+1,1))-AVERAGE(OFFSET($H$3,0,0,'Données projet'!$E$9+1,1))</f>
        <v>665.7907881991157</v>
      </c>
      <c r="T4" s="59">
        <f>$T$3</f>
        <v>306.76923535735227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59.917988062076347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9.9228571428571435</v>
      </c>
      <c r="AI4" s="13">
        <f>IF('Données projet'!$A$62&gt;35,AI3+AH4-AQ3,IF(A4&lt;'Données projet'!$A$62,$AF$205^A4,IF(A4='Données projet'!$A$62,'Données projet'!$B$62,AI3+AH4-AQ3)))</f>
        <v>9.9228571428571435</v>
      </c>
      <c r="AJ4" s="13">
        <f>AI4*VLOOKUP('Données projet'!$B$10,Paramètres!$A$1:$I$89,3,0)*VLOOKUP('Données projet'!$B$10,Paramètres!$A$1:$I$89,5,0)</f>
        <v>4.6438971428571429</v>
      </c>
      <c r="AK4" s="13">
        <f>EXP(-1.0587+0.8836*LN(AJ4)+0.284)</f>
        <v>1.7898206860922095</v>
      </c>
      <c r="AL4" s="20">
        <f t="shared" ref="AL4:AL67" si="4">(AJ4+AK4)*0.475*44/12</f>
        <v>11.20539188542012</v>
      </c>
      <c r="AM4" s="59">
        <f t="shared" ref="AM4:AM67" si="5">AL4+(AD4+AE4)*44/12</f>
        <v>232.12690366858897</v>
      </c>
      <c r="AN4" s="59">
        <f ca="1">AVERAGE(OFFSET($AM$3,0,0,'Données projet'!$E$10+1,1))-AVERAGE(OFFSET($H$3,0,0,'Données projet'!$E$10+1,1))</f>
        <v>370.42479501931444</v>
      </c>
      <c r="AO4" s="59">
        <f>$AO$3</f>
        <v>351.95632347830144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59.917988062076347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0.90124999999999988</v>
      </c>
      <c r="BD4" s="12">
        <f>IF('Données projet'!$A$88&gt;35,BD3+BC4-BL3,IF(A4&lt;'Données projet'!$A$88,$BA$205^A4,IF(A4='Données projet'!$A$88,'Données projet'!$B$88,BD3+BC4-BL3)))</f>
        <v>1.1555633617611898</v>
      </c>
      <c r="BE4" s="13">
        <f>BD4*VLOOKUP('Données projet'!$B$11,Paramètres!$A$1:$I$89,3,0)*VLOOKUP('Données projet'!$B$11,Paramètres!$A$1:$I$89,5,0)</f>
        <v>1.0095001528345755</v>
      </c>
      <c r="BF4" s="13">
        <f>EXP(-1.0587+0.8836*LN(BE4)+0.284)</f>
        <v>0.46470834374240744</v>
      </c>
      <c r="BG4" s="20">
        <f t="shared" ref="BG4:BG67" si="7">(BE4+BF4)*0.475*44/12</f>
        <v>2.5675797982049122</v>
      </c>
      <c r="BH4" s="59">
        <f t="shared" ref="BH4:BH67" si="8">BG4+(AY4+AZ4)*44/12</f>
        <v>223.48909158137377</v>
      </c>
      <c r="BI4" s="59">
        <f ca="1">AVERAGE(OFFSET($BH$3,0,0,'Données projet'!$E$11+1,1))-AVERAGE(OFFSET($H$3,0,0,'Données projet'!$E$11+1,1))</f>
        <v>128.92423054779167</v>
      </c>
      <c r="BJ4" s="59">
        <f>$BJ$3</f>
        <v>127.5443711972687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59.917988062076347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3.887142857142857</v>
      </c>
      <c r="BY4" s="12">
        <f>IF('Données projet'!$A$114&gt;35,BY3+BX4-CG3,IF(A4&lt;'Données projet'!$A$114,$BV$205^A4,IF(A4='Données projet'!$A$114,'Données projet'!$B$114,BY3+BX4-CG3)))</f>
        <v>3.887142857142857</v>
      </c>
      <c r="BZ4" s="13">
        <f>BY4*VLOOKUP('Données projet'!$B$12,Paramètres!$A$1:$I$89,3,0)*VLOOKUP('Données projet'!$B$12,Paramètres!$A$1:$I$89,5,0)</f>
        <v>3.5170868571428571</v>
      </c>
      <c r="CA4" s="13">
        <f>EXP(-1.0587+0.8836*LN(BZ4)+0.284)</f>
        <v>1.400101260019349</v>
      </c>
      <c r="CB4" s="20">
        <f t="shared" ref="CB4:CB67" si="10">(BZ4+CA4)*0.475*44/12</f>
        <v>8.5641026373908407</v>
      </c>
      <c r="CC4" s="59">
        <f t="shared" ref="CC4:CC67" si="11">CB4+(BT4+BU4)*44/12</f>
        <v>229.4856144205597</v>
      </c>
      <c r="CD4" s="59">
        <f ca="1">AVERAGE(OFFSET($CC$3,0,0,'Données projet'!$E$12+1,1))-AVERAGE(OFFSET($H$3,0,0,'Données projet'!$E$12+1,1))</f>
        <v>601.17090553269054</v>
      </c>
      <c r="CE4" s="59">
        <f>$CE$3</f>
        <v>279.37477930888042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59.917988062076347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3.8113157894736847</v>
      </c>
      <c r="CT4" s="12">
        <f>IF('Données projet'!$A$140&gt;35,CT3+CS4-DB3,IF(A4&lt;'Données projet'!$A$140,$CQ$205^A4,IF(A4='Données projet'!$A$140,'Données projet'!$B$140,CT3+CS4-DB3)))</f>
        <v>3.8113157894736847</v>
      </c>
      <c r="CU4" s="17">
        <f>CT4*VLOOKUP('Données projet'!$B$13,Paramètres!$A$1:$I$89,3,0)*VLOOKUP('Données projet'!$B$13,Paramètres!$A$1:$I$89,5,0)</f>
        <v>3.6268481052631585</v>
      </c>
      <c r="CV4" s="13">
        <f>EXP(-1.0587+0.8836*LN(CU4)+0.284)</f>
        <v>1.4386402738080248</v>
      </c>
      <c r="CW4" s="20">
        <f t="shared" ref="CW4:CW67" si="13">(CU4+CV4)*0.475*44/12</f>
        <v>8.8223922602156453</v>
      </c>
      <c r="CX4" s="59">
        <f t="shared" ref="CX4:CX67" si="14">CW4+(CO4+CP4)*44/12</f>
        <v>229.7439040433845</v>
      </c>
      <c r="CY4" s="59">
        <f ca="1">AVERAGE(OFFSET($CX$3,0,0,'Données projet'!$E$13+1,1))-AVERAGE(OFFSET($H$3,0,0,'Données projet'!$E$13+1,1))</f>
        <v>418.79317359649315</v>
      </c>
      <c r="CZ4" s="59">
        <f>$CZ$3</f>
        <v>286.46514989661011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59.917988062076347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59.917988062076347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59.917988062076347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59.917988062076347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59.917988062076347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1.35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1.7783999999999998E-2</v>
      </c>
      <c r="D5" s="11">
        <f t="shared" ref="D5:D68" si="32">IFERROR(EXP(-1.0587+0.8836*LN(C5)+0.284),0)</f>
        <v>1.310020484322128E-2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4.9028840438826347</v>
      </c>
      <c r="H5" s="67">
        <f t="shared" si="1"/>
        <v>224.0504566567686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60.092888429197373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3.887142857142857</v>
      </c>
      <c r="N5" s="13">
        <f>IF('Données projet'!$A$36&gt;35,N4+M5-V4,IF(A5&lt;'Données projet'!$A$36,$K$205^A5,IF(A5='Données projet'!$A$36,'Données projet'!$B$36,N4+M5-V4)))</f>
        <v>7.774285714285714</v>
      </c>
      <c r="O5" s="13">
        <f>N5*VLOOKUP('Données projet'!$B$9,Paramètres!$A$1:$I$89,3,0)*VLOOKUP('Données projet'!$B$9,Paramètres!$A$1:$I$89,5,0)</f>
        <v>7.8831257142857138</v>
      </c>
      <c r="P5" s="13">
        <f t="shared" ref="P5:P68" si="33">EXP(-1.0587+0.8836*LN(O5)+0.284)</f>
        <v>2.8567669801437421</v>
      </c>
      <c r="Q5" s="20">
        <f t="shared" si="2"/>
        <v>18.705313109464633</v>
      </c>
      <c r="R5" s="59">
        <f t="shared" si="0"/>
        <v>241.49034846096612</v>
      </c>
      <c r="S5" s="59">
        <f ca="1">AVERAGE(OFFSET($R$3,0,0,'Données projet'!$E$9+1,1))-AVERAGE(OFFSET($H$3,0,0,'Données projet'!$E$9+1,1))</f>
        <v>665.7907881991157</v>
      </c>
      <c r="T5" s="59">
        <f t="shared" ref="T5:T68" si="34">$T$3</f>
        <v>306.76923535735227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60.092888429197373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9.9228571428571435</v>
      </c>
      <c r="AI5" s="13">
        <f>IF('Données projet'!$A$62&gt;35,AI4+AH5-AQ4,IF(A5&lt;'Données projet'!$A$62,$AF$205^A5,IF(A5='Données projet'!$A$62,'Données projet'!$B$62,AI4+AH5-AQ4)))</f>
        <v>19.845714285714287</v>
      </c>
      <c r="AJ5" s="13">
        <f>AI5*VLOOKUP('Données projet'!$B$10,Paramètres!$A$1:$I$89,3,0)*VLOOKUP('Données projet'!$B$10,Paramètres!$A$1:$I$89,5,0)</f>
        <v>9.2877942857142859</v>
      </c>
      <c r="AK5" s="13">
        <f t="shared" ref="AK5:AK68" si="35">EXP(-1.0587+0.8836*LN(AJ5)+0.284)</f>
        <v>3.3021715192899936</v>
      </c>
      <c r="AL5" s="20">
        <f t="shared" si="4"/>
        <v>21.927523777049117</v>
      </c>
      <c r="AM5" s="59">
        <f t="shared" si="5"/>
        <v>244.71255912855059</v>
      </c>
      <c r="AN5" s="59">
        <f ca="1">AVERAGE(OFFSET($AM$3,0,0,'Données projet'!$E$10+1,1))-AVERAGE(OFFSET($H$3,0,0,'Données projet'!$E$10+1,1))</f>
        <v>370.42479501931444</v>
      </c>
      <c r="AO5" s="59">
        <f t="shared" ref="AO5:AO68" si="36">$AO$3</f>
        <v>351.95632347830144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60.092888429197373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0.90124999999999988</v>
      </c>
      <c r="BD5" s="12">
        <f>IF('Données projet'!$A$88&gt;35,BD4+BC5-BL4,IF(A5&lt;'Données projet'!$A$88,$BA$205^A5,IF(A5='Données projet'!$A$88,'Données projet'!$B$88,BD4+BC5-BL4)))</f>
        <v>1.3353266830448225</v>
      </c>
      <c r="BE5" s="13">
        <f>BD5*VLOOKUP('Données projet'!$B$11,Paramètres!$A$1:$I$89,3,0)*VLOOKUP('Données projet'!$B$11,Paramètres!$A$1:$I$89,5,0)</f>
        <v>1.1665413903079571</v>
      </c>
      <c r="BF5" s="13">
        <f t="shared" ref="BF5:BF68" si="37">EXP(-1.0587+0.8836*LN(BE5)+0.284)</f>
        <v>0.52803783263030601</v>
      </c>
      <c r="BG5" s="20">
        <f t="shared" si="7"/>
        <v>2.9513921466174744</v>
      </c>
      <c r="BH5" s="59">
        <f t="shared" si="8"/>
        <v>225.73642749811896</v>
      </c>
      <c r="BI5" s="59">
        <f ca="1">AVERAGE(OFFSET($BH$3,0,0,'Données projet'!$E$11+1,1))-AVERAGE(OFFSET($H$3,0,0,'Données projet'!$E$11+1,1))</f>
        <v>128.92423054779167</v>
      </c>
      <c r="BJ5" s="59">
        <f t="shared" ref="BJ5:BJ68" si="38">$BJ$3</f>
        <v>127.5443711972687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60.092888429197373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3.887142857142857</v>
      </c>
      <c r="BY5" s="12">
        <f>IF('Données projet'!$A$114&gt;35,BY4+BX5-CG4,IF(A5&lt;'Données projet'!$A$114,$BV$205^A5,IF(A5='Données projet'!$A$114,'Données projet'!$B$114,BY4+BX5-CG4)))</f>
        <v>7.774285714285714</v>
      </c>
      <c r="BZ5" s="13">
        <f>BY5*VLOOKUP('Données projet'!$B$12,Paramètres!$A$1:$I$89,3,0)*VLOOKUP('Données projet'!$B$12,Paramètres!$A$1:$I$89,5,0)</f>
        <v>7.0341737142857141</v>
      </c>
      <c r="CA5" s="13">
        <f t="shared" ref="CA5:CA68" si="39">EXP(-1.0587+0.8836*LN(BZ5)+0.284)</f>
        <v>2.5831495528484112</v>
      </c>
      <c r="CB5" s="20">
        <f t="shared" si="10"/>
        <v>16.750171356925268</v>
      </c>
      <c r="CC5" s="59">
        <f t="shared" si="11"/>
        <v>239.53520670842676</v>
      </c>
      <c r="CD5" s="59">
        <f ca="1">AVERAGE(OFFSET($CC$3,0,0,'Données projet'!$E$12+1,1))-AVERAGE(OFFSET($H$3,0,0,'Données projet'!$E$12+1,1))</f>
        <v>601.17090553269054</v>
      </c>
      <c r="CE5" s="59">
        <f t="shared" ref="CE5:CE68" si="40">$CE$3</f>
        <v>279.37477930888042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60.092888429197373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3.8113157894736847</v>
      </c>
      <c r="CT5" s="12">
        <f>IF('Données projet'!$A$140&gt;35,CT4+CS5-DB4,IF(A5&lt;'Données projet'!$A$140,$CQ$205^A5,IF(A5='Données projet'!$A$140,'Données projet'!$B$140,CT4+CS5-DB4)))</f>
        <v>7.6226315789473693</v>
      </c>
      <c r="CU5" s="17">
        <f>CT5*VLOOKUP('Données projet'!$B$13,Paramètres!$A$1:$I$89,3,0)*VLOOKUP('Données projet'!$B$13,Paramètres!$A$1:$I$89,5,0)</f>
        <v>7.253696210526317</v>
      </c>
      <c r="CV5" s="13">
        <f t="shared" ref="CV5:CV68" si="41">EXP(-1.0587+0.8836*LN(CU5)+0.284)</f>
        <v>2.654253007347168</v>
      </c>
      <c r="CW5" s="20">
        <f t="shared" si="13"/>
        <v>17.25634488779632</v>
      </c>
      <c r="CX5" s="59">
        <f t="shared" si="14"/>
        <v>240.04138023929781</v>
      </c>
      <c r="CY5" s="59">
        <f ca="1">AVERAGE(OFFSET($CX$3,0,0,'Données projet'!$E$13+1,1))-AVERAGE(OFFSET($H$3,0,0,'Données projet'!$E$13+1,1))</f>
        <v>418.79317359649315</v>
      </c>
      <c r="CZ5" s="59">
        <f t="shared" ref="CZ5:CZ68" si="42">$CZ$3</f>
        <v>286.46514989661011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60.092888429197373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60.092888429197373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60.092888429197373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60.092888429197373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60.092888429197373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1.35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2.6675999999999998E-2</v>
      </c>
      <c r="D6" s="11">
        <f t="shared" si="32"/>
        <v>1.8744433652908041E-2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4.9040061387381195</v>
      </c>
      <c r="H6" s="67">
        <f t="shared" si="1"/>
        <v>224.07577392194548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60.26475466596748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3.887142857142857</v>
      </c>
      <c r="N6" s="13">
        <f>IF('Données projet'!$A$36&gt;35,N5+M6-V5,IF(A6&lt;'Données projet'!$A$36,$K$205^A6,IF(A6='Données projet'!$A$36,'Données projet'!$B$36,N5+M6-V5)))</f>
        <v>11.661428571428571</v>
      </c>
      <c r="O6" s="13">
        <f>N6*VLOOKUP('Données projet'!$B$9,Paramètres!$A$1:$I$89,3,0)*VLOOKUP('Données projet'!$B$9,Paramètres!$A$1:$I$89,5,0)</f>
        <v>11.824688571428572</v>
      </c>
      <c r="P6" s="13">
        <f t="shared" si="33"/>
        <v>4.0876062444803347</v>
      </c>
      <c r="Q6" s="20">
        <f t="shared" si="2"/>
        <v>27.713913471041348</v>
      </c>
      <c r="R6" s="59">
        <f t="shared" si="0"/>
        <v>252.35134724625541</v>
      </c>
      <c r="S6" s="59">
        <f ca="1">AVERAGE(OFFSET($R$3,0,0,'Données projet'!$E$9+1,1))-AVERAGE(OFFSET($H$3,0,0,'Données projet'!$E$9+1,1))</f>
        <v>665.7907881991157</v>
      </c>
      <c r="T6" s="59">
        <f t="shared" si="34"/>
        <v>306.76923535735227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60.26475466596748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9.9228571428571435</v>
      </c>
      <c r="AI6" s="13">
        <f>IF('Données projet'!$A$62&gt;35,AI5+AH6-AQ5,IF(A6&lt;'Données projet'!$A$62,$AF$205^A6,IF(A6='Données projet'!$A$62,'Données projet'!$B$62,AI5+AH6-AQ5)))</f>
        <v>29.76857142857143</v>
      </c>
      <c r="AJ6" s="13">
        <f>AI6*VLOOKUP('Données projet'!$B$10,Paramètres!$A$1:$I$89,3,0)*VLOOKUP('Données projet'!$B$10,Paramètres!$A$1:$I$89,5,0)</f>
        <v>13.93169142857143</v>
      </c>
      <c r="AK6" s="13">
        <f t="shared" si="35"/>
        <v>4.7249135181182051</v>
      </c>
      <c r="AL6" s="20">
        <f t="shared" si="4"/>
        <v>32.493586948817772</v>
      </c>
      <c r="AM6" s="59">
        <f t="shared" si="5"/>
        <v>257.13102072403183</v>
      </c>
      <c r="AN6" s="59">
        <f ca="1">AVERAGE(OFFSET($AM$3,0,0,'Données projet'!$E$10+1,1))-AVERAGE(OFFSET($H$3,0,0,'Données projet'!$E$10+1,1))</f>
        <v>370.42479501931444</v>
      </c>
      <c r="AO6" s="59">
        <f t="shared" si="36"/>
        <v>351.95632347830144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60.26475466596748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0.90124999999999988</v>
      </c>
      <c r="BD6" s="12">
        <f>IF('Données projet'!$A$88&gt;35,BD5+BC6-BL5,IF(A6&lt;'Données projet'!$A$88,$BA$205^A6,IF(A6='Données projet'!$A$88,'Données projet'!$B$88,BD5+BC6-BL5)))</f>
        <v>1.5430545909086939</v>
      </c>
      <c r="BE6" s="13">
        <f>BD6*VLOOKUP('Données projet'!$B$11,Paramètres!$A$1:$I$89,3,0)*VLOOKUP('Données projet'!$B$11,Paramètres!$A$1:$I$89,5,0)</f>
        <v>1.3480124906178352</v>
      </c>
      <c r="BF6" s="13">
        <f t="shared" si="37"/>
        <v>0.59999773286503755</v>
      </c>
      <c r="BG6" s="20">
        <f t="shared" si="7"/>
        <v>3.392784472566003</v>
      </c>
      <c r="BH6" s="59">
        <f t="shared" si="8"/>
        <v>228.03021824778008</v>
      </c>
      <c r="BI6" s="59">
        <f ca="1">AVERAGE(OFFSET($BH$3,0,0,'Données projet'!$E$11+1,1))-AVERAGE(OFFSET($H$3,0,0,'Données projet'!$E$11+1,1))</f>
        <v>128.92423054779167</v>
      </c>
      <c r="BJ6" s="59">
        <f t="shared" si="38"/>
        <v>127.5443711972687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60.26475466596748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3.887142857142857</v>
      </c>
      <c r="BY6" s="12">
        <f>IF('Données projet'!$A$114&gt;35,BY5+BX6-CG5,IF(A6&lt;'Données projet'!$A$114,$BV$205^A6,IF(A6='Données projet'!$A$114,'Données projet'!$B$114,BY5+BX6-CG5)))</f>
        <v>11.661428571428571</v>
      </c>
      <c r="BZ6" s="13">
        <f>BY6*VLOOKUP('Données projet'!$B$12,Paramètres!$A$1:$I$89,3,0)*VLOOKUP('Données projet'!$B$12,Paramètres!$A$1:$I$89,5,0)</f>
        <v>10.551260571428571</v>
      </c>
      <c r="CA6" s="13">
        <f t="shared" si="39"/>
        <v>3.6961006326523931</v>
      </c>
      <c r="CB6" s="20">
        <f t="shared" si="10"/>
        <v>24.814154097107675</v>
      </c>
      <c r="CC6" s="59">
        <f t="shared" si="11"/>
        <v>249.45158787232174</v>
      </c>
      <c r="CD6" s="59">
        <f ca="1">AVERAGE(OFFSET($CC$3,0,0,'Données projet'!$E$12+1,1))-AVERAGE(OFFSET($H$3,0,0,'Données projet'!$E$12+1,1))</f>
        <v>601.17090553269054</v>
      </c>
      <c r="CE6" s="59">
        <f t="shared" si="40"/>
        <v>279.37477930888042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60.26475466596748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3.8113157894736847</v>
      </c>
      <c r="CT6" s="12">
        <f>IF('Données projet'!$A$140&gt;35,CT5+CS6-DB5,IF(A6&lt;'Données projet'!$A$140,$CQ$205^A6,IF(A6='Données projet'!$A$140,'Données projet'!$B$140,CT5+CS6-DB5)))</f>
        <v>11.433947368421054</v>
      </c>
      <c r="CU6" s="17">
        <f>CT6*VLOOKUP('Données projet'!$B$13,Paramètres!$A$1:$I$89,3,0)*VLOOKUP('Données projet'!$B$13,Paramètres!$A$1:$I$89,5,0)</f>
        <v>10.880544315789475</v>
      </c>
      <c r="CV6" s="13">
        <f t="shared" si="41"/>
        <v>3.7978390406616502</v>
      </c>
      <c r="CW6" s="20">
        <f t="shared" si="13"/>
        <v>25.564851012485708</v>
      </c>
      <c r="CX6" s="59">
        <f t="shared" si="14"/>
        <v>250.2022847876998</v>
      </c>
      <c r="CY6" s="59">
        <f ca="1">AVERAGE(OFFSET($CX$3,0,0,'Données projet'!$E$13+1,1))-AVERAGE(OFFSET($H$3,0,0,'Données projet'!$E$13+1,1))</f>
        <v>418.79317359649315</v>
      </c>
      <c r="CZ6" s="59">
        <f t="shared" si="42"/>
        <v>286.46514989661011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60.26475466596748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60.26475466596748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60.26475466596748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60.26475466596748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60.26475466596748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1.35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3.5567999999999995E-2</v>
      </c>
      <c r="D7" s="11">
        <f t="shared" si="32"/>
        <v>2.4169529197139633E-2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4.9051113180432884</v>
      </c>
      <c r="H7" s="67">
        <f t="shared" si="1"/>
        <v>224.10070953001835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60.433639407764971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3.887142857142857</v>
      </c>
      <c r="N7" s="13">
        <f>IF('Données projet'!$A$36&gt;35,N6+M7-V6,IF(A7&lt;'Données projet'!$A$36,$K$205^A7,IF(A7='Données projet'!$A$36,'Données projet'!$B$36,N6+M7-V6)))</f>
        <v>15.548571428571428</v>
      </c>
      <c r="O7" s="13">
        <f>N7*VLOOKUP('Données projet'!$B$9,Paramètres!$A$1:$I$89,3,0)*VLOOKUP('Données projet'!$B$9,Paramètres!$A$1:$I$89,5,0)</f>
        <v>15.766251428571428</v>
      </c>
      <c r="P7" s="13">
        <f t="shared" si="33"/>
        <v>5.2706590287965538</v>
      </c>
      <c r="Q7" s="20">
        <f t="shared" si="2"/>
        <v>36.63928571324923</v>
      </c>
      <c r="R7" s="59">
        <f t="shared" si="0"/>
        <v>263.11818576394302</v>
      </c>
      <c r="S7" s="59">
        <f ca="1">AVERAGE(OFFSET($R$3,0,0,'Données projet'!$E$9+1,1))-AVERAGE(OFFSET($H$3,0,0,'Données projet'!$E$9+1,1))</f>
        <v>665.7907881991157</v>
      </c>
      <c r="T7" s="59">
        <f t="shared" si="34"/>
        <v>306.76923535735227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60.433639407764971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9.9228571428571435</v>
      </c>
      <c r="AI7" s="13">
        <f>IF('Données projet'!$A$62&gt;35,AI6+AH7-AQ6,IF(A7&lt;'Données projet'!$A$62,$AF$205^A7,IF(A7='Données projet'!$A$62,'Données projet'!$B$62,AI6+AH7-AQ6)))</f>
        <v>39.691428571428574</v>
      </c>
      <c r="AJ7" s="13">
        <f>AI7*VLOOKUP('Données projet'!$B$10,Paramètres!$A$1:$I$89,3,0)*VLOOKUP('Données projet'!$B$10,Paramètres!$A$1:$I$89,5,0)</f>
        <v>18.575588571428572</v>
      </c>
      <c r="AK7" s="13">
        <f t="shared" si="35"/>
        <v>6.0924185464734348</v>
      </c>
      <c r="AL7" s="20">
        <f t="shared" si="4"/>
        <v>42.963445730345995</v>
      </c>
      <c r="AM7" s="59">
        <f t="shared" si="5"/>
        <v>269.44234578103976</v>
      </c>
      <c r="AN7" s="59">
        <f ca="1">AVERAGE(OFFSET($AM$3,0,0,'Données projet'!$E$10+1,1))-AVERAGE(OFFSET($H$3,0,0,'Données projet'!$E$10+1,1))</f>
        <v>370.42479501931444</v>
      </c>
      <c r="AO7" s="59">
        <f t="shared" si="36"/>
        <v>351.95632347830144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60.433639407764971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0.90124999999999988</v>
      </c>
      <c r="BD7" s="12">
        <f>IF('Données projet'!$A$88&gt;35,BD6+BC7-BL6,IF(A7&lt;'Données projet'!$A$88,$BA$205^A7,IF(A7='Données projet'!$A$88,'Données projet'!$B$88,BD6+BC7-BL6)))</f>
        <v>1.7830973504514878</v>
      </c>
      <c r="BE7" s="13">
        <f>BD7*VLOOKUP('Données projet'!$B$11,Paramètres!$A$1:$I$89,3,0)*VLOOKUP('Données projet'!$B$11,Paramètres!$A$1:$I$89,5,0)</f>
        <v>1.5577138453544199</v>
      </c>
      <c r="BF7" s="13">
        <f t="shared" si="37"/>
        <v>0.68176417899819142</v>
      </c>
      <c r="BG7" s="20">
        <f t="shared" si="7"/>
        <v>3.9004242257474648</v>
      </c>
      <c r="BH7" s="59">
        <f t="shared" si="8"/>
        <v>230.37932427644125</v>
      </c>
      <c r="BI7" s="59">
        <f ca="1">AVERAGE(OFFSET($BH$3,0,0,'Données projet'!$E$11+1,1))-AVERAGE(OFFSET($H$3,0,0,'Données projet'!$E$11+1,1))</f>
        <v>128.92423054779167</v>
      </c>
      <c r="BJ7" s="59">
        <f t="shared" si="38"/>
        <v>127.5443711972687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60.433639407764971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3.887142857142857</v>
      </c>
      <c r="BY7" s="12">
        <f>IF('Données projet'!$A$114&gt;35,BY6+BX7-CG6,IF(A7&lt;'Données projet'!$A$114,$BV$205^A7,IF(A7='Données projet'!$A$114,'Données projet'!$B$114,BY6+BX7-CG6)))</f>
        <v>15.548571428571428</v>
      </c>
      <c r="BZ7" s="13">
        <f>BY7*VLOOKUP('Données projet'!$B$12,Paramètres!$A$1:$I$89,3,0)*VLOOKUP('Données projet'!$B$12,Paramètres!$A$1:$I$89,5,0)</f>
        <v>14.068347428571428</v>
      </c>
      <c r="CA7" s="13">
        <f t="shared" si="39"/>
        <v>4.7658421593654818</v>
      </c>
      <c r="CB7" s="20">
        <f t="shared" si="10"/>
        <v>32.802880198990124</v>
      </c>
      <c r="CC7" s="59">
        <f t="shared" si="11"/>
        <v>259.28178024968395</v>
      </c>
      <c r="CD7" s="59">
        <f ca="1">AVERAGE(OFFSET($CC$3,0,0,'Données projet'!$E$12+1,1))-AVERAGE(OFFSET($H$3,0,0,'Données projet'!$E$12+1,1))</f>
        <v>601.17090553269054</v>
      </c>
      <c r="CE7" s="59">
        <f t="shared" si="40"/>
        <v>279.37477930888042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60.433639407764971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3.8113157894736847</v>
      </c>
      <c r="CT7" s="12">
        <f>IF('Données projet'!$A$140&gt;35,CT6+CS7-DB6,IF(A7&lt;'Données projet'!$A$140,$CQ$205^A7,IF(A7='Données projet'!$A$140,'Données projet'!$B$140,CT6+CS7-DB6)))</f>
        <v>15.245263157894739</v>
      </c>
      <c r="CU7" s="17">
        <f>CT7*VLOOKUP('Données projet'!$B$13,Paramètres!$A$1:$I$89,3,0)*VLOOKUP('Données projet'!$B$13,Paramètres!$A$1:$I$89,5,0)</f>
        <v>14.507392421052634</v>
      </c>
      <c r="CV7" s="13">
        <f t="shared" si="41"/>
        <v>4.8970261400812083</v>
      </c>
      <c r="CW7" s="20">
        <f t="shared" si="13"/>
        <v>33.796028993974772</v>
      </c>
      <c r="CX7" s="59">
        <f t="shared" si="14"/>
        <v>260.27492904466857</v>
      </c>
      <c r="CY7" s="59">
        <f ca="1">AVERAGE(OFFSET($CX$3,0,0,'Données projet'!$E$13+1,1))-AVERAGE(OFFSET($H$3,0,0,'Données projet'!$E$13+1,1))</f>
        <v>418.79317359649315</v>
      </c>
      <c r="CZ7" s="59">
        <f t="shared" si="42"/>
        <v>286.46514989661011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60.433639407764971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60.433639407764971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60.433639407764971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60.433639407764971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60.433639407764971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1.35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4.4459999999999993E-2</v>
      </c>
      <c r="D8" s="11">
        <f t="shared" si="32"/>
        <v>2.9437293522547148E-2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4.9062043524824421</v>
      </c>
      <c r="H8" s="67">
        <f t="shared" si="1"/>
        <v>224.12537111955177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60.599594376862001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3.887142857142857</v>
      </c>
      <c r="N8" s="13">
        <f>IF('Données projet'!$A$36&gt;35,N7+M8-V7,IF(A8&lt;'Données projet'!$A$36,$K$205^A8,IF(A8='Données projet'!$A$36,'Données projet'!$B$36,N7+M8-V7)))</f>
        <v>19.435714285714283</v>
      </c>
      <c r="O8" s="13">
        <f>N8*VLOOKUP('Données projet'!$B$9,Paramètres!$A$1:$I$89,3,0)*VLOOKUP('Données projet'!$B$9,Paramètres!$A$1:$I$89,5,0)</f>
        <v>19.707814285714285</v>
      </c>
      <c r="P8" s="13">
        <f t="shared" si="33"/>
        <v>6.4194025304518281</v>
      </c>
      <c r="Q8" s="20">
        <f t="shared" si="2"/>
        <v>45.504902621489315</v>
      </c>
      <c r="R8" s="59">
        <f t="shared" si="0"/>
        <v>273.81452644776107</v>
      </c>
      <c r="S8" s="59">
        <f ca="1">AVERAGE(OFFSET($R$3,0,0,'Données projet'!$E$9+1,1))-AVERAGE(OFFSET($H$3,0,0,'Données projet'!$E$9+1,1))</f>
        <v>665.7907881991157</v>
      </c>
      <c r="T8" s="59">
        <f t="shared" si="34"/>
        <v>306.76923535735227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60.599594376862001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9.9228571428571435</v>
      </c>
      <c r="AI8" s="13">
        <f>IF('Données projet'!$A$62&gt;35,AI7+AH8-AQ7,IF(A8&lt;'Données projet'!$A$62,$AF$205^A8,IF(A8='Données projet'!$A$62,'Données projet'!$B$62,AI7+AH8-AQ7)))</f>
        <v>49.614285714285714</v>
      </c>
      <c r="AJ8" s="13">
        <f>AI8*VLOOKUP('Données projet'!$B$10,Paramètres!$A$1:$I$89,3,0)*VLOOKUP('Données projet'!$B$10,Paramètres!$A$1:$I$89,5,0)</f>
        <v>23.219485714285714</v>
      </c>
      <c r="AK8" s="13">
        <f t="shared" si="35"/>
        <v>7.4202650598578179</v>
      </c>
      <c r="AL8" s="20">
        <f t="shared" si="4"/>
        <v>53.364232598299985</v>
      </c>
      <c r="AM8" s="59">
        <f t="shared" si="5"/>
        <v>281.67385642457174</v>
      </c>
      <c r="AN8" s="59">
        <f ca="1">AVERAGE(OFFSET($AM$3,0,0,'Données projet'!$E$10+1,1))-AVERAGE(OFFSET($H$3,0,0,'Données projet'!$E$10+1,1))</f>
        <v>370.42479501931444</v>
      </c>
      <c r="AO8" s="59">
        <f t="shared" si="36"/>
        <v>351.95632347830144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60.599594376862001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0.90124999999999988</v>
      </c>
      <c r="BD8" s="12">
        <f>IF('Données projet'!$A$88&gt;35,BD7+BC8-BL7,IF(A8&lt;'Données projet'!$A$88,$BA$205^A8,IF(A8='Données projet'!$A$88,'Données projet'!$B$88,BD7+BC8-BL7)))</f>
        <v>2.0604819686351914</v>
      </c>
      <c r="BE8" s="13">
        <f>BD8*VLOOKUP('Données projet'!$B$11,Paramètres!$A$1:$I$89,3,0)*VLOOKUP('Données projet'!$B$11,Paramètres!$A$1:$I$89,5,0)</f>
        <v>1.8000370477997034</v>
      </c>
      <c r="BF8" s="13">
        <f t="shared" si="37"/>
        <v>0.77467358675775166</v>
      </c>
      <c r="BG8" s="20">
        <f t="shared" si="7"/>
        <v>4.4842876885209009</v>
      </c>
      <c r="BH8" s="59">
        <f t="shared" si="8"/>
        <v>232.79391151479265</v>
      </c>
      <c r="BI8" s="59">
        <f ca="1">AVERAGE(OFFSET($BH$3,0,0,'Données projet'!$E$11+1,1))-AVERAGE(OFFSET($H$3,0,0,'Données projet'!$E$11+1,1))</f>
        <v>128.92423054779167</v>
      </c>
      <c r="BJ8" s="59">
        <f t="shared" si="38"/>
        <v>127.5443711972687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60.599594376862001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3.887142857142857</v>
      </c>
      <c r="BY8" s="12">
        <f>IF('Données projet'!$A$114&gt;35,BY7+BX8-CG7,IF(A8&lt;'Données projet'!$A$114,$BV$205^A8,IF(A8='Données projet'!$A$114,'Données projet'!$B$114,BY7+BX8-CG7)))</f>
        <v>19.435714285714283</v>
      </c>
      <c r="BZ8" s="13">
        <f>BY8*VLOOKUP('Données projet'!$B$12,Paramètres!$A$1:$I$89,3,0)*VLOOKUP('Données projet'!$B$12,Paramètres!$A$1:$I$89,5,0)</f>
        <v>17.585434285714282</v>
      </c>
      <c r="CA8" s="13">
        <f t="shared" si="39"/>
        <v>5.804560501905633</v>
      </c>
      <c r="CB8" s="20">
        <f t="shared" si="10"/>
        <v>40.737574255104683</v>
      </c>
      <c r="CC8" s="59">
        <f t="shared" si="11"/>
        <v>269.04719808137645</v>
      </c>
      <c r="CD8" s="59">
        <f ca="1">AVERAGE(OFFSET($CC$3,0,0,'Données projet'!$E$12+1,1))-AVERAGE(OFFSET($H$3,0,0,'Données projet'!$E$12+1,1))</f>
        <v>601.17090553269054</v>
      </c>
      <c r="CE8" s="59">
        <f t="shared" si="40"/>
        <v>279.37477930888042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60.599594376862001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3.8113157894736847</v>
      </c>
      <c r="CT8" s="12">
        <f>IF('Données projet'!$A$140&gt;35,CT7+CS8-DB7,IF(A8&lt;'Données projet'!$A$140,$CQ$205^A8,IF(A8='Données projet'!$A$140,'Données projet'!$B$140,CT7+CS8-DB7)))</f>
        <v>19.056578947368422</v>
      </c>
      <c r="CU8" s="17">
        <f>CT8*VLOOKUP('Données projet'!$B$13,Paramètres!$A$1:$I$89,3,0)*VLOOKUP('Données projet'!$B$13,Paramètres!$A$1:$I$89,5,0)</f>
        <v>18.134240526315793</v>
      </c>
      <c r="CV8" s="13">
        <f t="shared" si="41"/>
        <v>5.9643361150045431</v>
      </c>
      <c r="CW8" s="20">
        <f t="shared" si="13"/>
        <v>41.971687650299579</v>
      </c>
      <c r="CX8" s="59">
        <f t="shared" si="14"/>
        <v>270.28131147657132</v>
      </c>
      <c r="CY8" s="59">
        <f ca="1">AVERAGE(OFFSET($CX$3,0,0,'Données projet'!$E$13+1,1))-AVERAGE(OFFSET($H$3,0,0,'Données projet'!$E$13+1,1))</f>
        <v>418.79317359649315</v>
      </c>
      <c r="CZ8" s="59">
        <f t="shared" si="42"/>
        <v>286.46514989661011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60.599594376862001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60.599594376862001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60.599594376862001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60.599594376862001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60.599594376862001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1.35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5.335199999999999E-2</v>
      </c>
      <c r="D9" s="11">
        <f t="shared" si="32"/>
        <v>3.4582981096836482E-2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4.907287963453089</v>
      </c>
      <c r="H9" s="67">
        <f t="shared" si="1"/>
        <v>224.14982009207699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60.762670398264916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3.887142857142857</v>
      </c>
      <c r="N9" s="13">
        <f>IF('Données projet'!$A$36&gt;35,N8+M9-V8,IF(A9&lt;'Données projet'!$A$36,$K$205^A9,IF(A9='Données projet'!$A$36,'Données projet'!$B$36,N8+M9-V8)))</f>
        <v>23.322857142857139</v>
      </c>
      <c r="O9" s="13">
        <f>N9*VLOOKUP('Données projet'!$B$9,Paramètres!$A$1:$I$89,3,0)*VLOOKUP('Données projet'!$B$9,Paramètres!$A$1:$I$89,5,0)</f>
        <v>23.649377142857141</v>
      </c>
      <c r="P9" s="13">
        <f t="shared" si="33"/>
        <v>7.5415247055086745</v>
      </c>
      <c r="Q9" s="20">
        <f t="shared" si="2"/>
        <v>54.324154052570456</v>
      </c>
      <c r="R9" s="59">
        <f t="shared" si="0"/>
        <v>284.45394551287512</v>
      </c>
      <c r="S9" s="59">
        <f ca="1">AVERAGE(OFFSET($R$3,0,0,'Données projet'!$E$9+1,1))-AVERAGE(OFFSET($H$3,0,0,'Données projet'!$E$9+1,1))</f>
        <v>665.7907881991157</v>
      </c>
      <c r="T9" s="59">
        <f t="shared" si="34"/>
        <v>306.76923535735227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60.762670398264916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9.9228571428571435</v>
      </c>
      <c r="AI9" s="13">
        <f>IF('Données projet'!$A$62&gt;35,AI8+AH9-AQ8,IF(A9&lt;'Données projet'!$A$62,$AF$205^A9,IF(A9='Données projet'!$A$62,'Données projet'!$B$62,AI8+AH9-AQ8)))</f>
        <v>59.537142857142854</v>
      </c>
      <c r="AJ9" s="13">
        <f>AI9*VLOOKUP('Données projet'!$B$10,Paramètres!$A$1:$I$89,3,0)*VLOOKUP('Données projet'!$B$10,Paramètres!$A$1:$I$89,5,0)</f>
        <v>27.863382857142856</v>
      </c>
      <c r="AK9" s="13">
        <f t="shared" si="35"/>
        <v>8.7173396597084576</v>
      </c>
      <c r="AL9" s="20">
        <f t="shared" si="4"/>
        <v>63.71142505018269</v>
      </c>
      <c r="AM9" s="59">
        <f t="shared" si="5"/>
        <v>293.84121651048736</v>
      </c>
      <c r="AN9" s="59">
        <f ca="1">AVERAGE(OFFSET($AM$3,0,0,'Données projet'!$E$10+1,1))-AVERAGE(OFFSET($H$3,0,0,'Données projet'!$E$10+1,1))</f>
        <v>370.42479501931444</v>
      </c>
      <c r="AO9" s="59">
        <f t="shared" si="36"/>
        <v>351.95632347830144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60.762670398264916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0.90124999999999988</v>
      </c>
      <c r="BD9" s="12">
        <f>IF('Données projet'!$A$88&gt;35,BD8+BC9-BL8,IF(A9&lt;'Données projet'!$A$88,$BA$205^A9,IF(A9='Données projet'!$A$88,'Données projet'!$B$88,BD8+BC9-BL8)))</f>
        <v>2.3810174705243967</v>
      </c>
      <c r="BE9" s="13">
        <f>BD9*VLOOKUP('Données projet'!$B$11,Paramètres!$A$1:$I$89,3,0)*VLOOKUP('Données projet'!$B$11,Paramètres!$A$1:$I$89,5,0)</f>
        <v>2.080056862250113</v>
      </c>
      <c r="BF9" s="13">
        <f t="shared" si="37"/>
        <v>0.88024449583425812</v>
      </c>
      <c r="BG9" s="20">
        <f t="shared" si="7"/>
        <v>5.1558581986636129</v>
      </c>
      <c r="BH9" s="59">
        <f t="shared" si="8"/>
        <v>235.28564965896831</v>
      </c>
      <c r="BI9" s="59">
        <f ca="1">AVERAGE(OFFSET($BH$3,0,0,'Données projet'!$E$11+1,1))-AVERAGE(OFFSET($H$3,0,0,'Données projet'!$E$11+1,1))</f>
        <v>128.92423054779167</v>
      </c>
      <c r="BJ9" s="59">
        <f t="shared" si="38"/>
        <v>127.5443711972687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60.762670398264916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3.887142857142857</v>
      </c>
      <c r="BY9" s="12">
        <f>IF('Données projet'!$A$114&gt;35,BY8+BX9-CG8,IF(A9&lt;'Données projet'!$A$114,$BV$205^A9,IF(A9='Données projet'!$A$114,'Données projet'!$B$114,BY8+BX9-CG8)))</f>
        <v>23.322857142857139</v>
      </c>
      <c r="BZ9" s="13">
        <f>BY9*VLOOKUP('Données projet'!$B$12,Paramètres!$A$1:$I$89,3,0)*VLOOKUP('Données projet'!$B$12,Paramètres!$A$1:$I$89,5,0)</f>
        <v>21.102521142857139</v>
      </c>
      <c r="CA9" s="13">
        <f t="shared" si="39"/>
        <v>6.8192072738987575</v>
      </c>
      <c r="CB9" s="20">
        <f t="shared" si="10"/>
        <v>48.630343659183183</v>
      </c>
      <c r="CC9" s="59">
        <f t="shared" si="11"/>
        <v>278.76013511948787</v>
      </c>
      <c r="CD9" s="59">
        <f ca="1">AVERAGE(OFFSET($CC$3,0,0,'Données projet'!$E$12+1,1))-AVERAGE(OFFSET($H$3,0,0,'Données projet'!$E$12+1,1))</f>
        <v>601.17090553269054</v>
      </c>
      <c r="CE9" s="59">
        <f t="shared" si="40"/>
        <v>279.37477930888042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60.762670398264916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3.8113157894736847</v>
      </c>
      <c r="CT9" s="12">
        <f>IF('Données projet'!$A$140&gt;35,CT8+CS9-DB8,IF(A9&lt;'Données projet'!$A$140,$CQ$205^A9,IF(A9='Données projet'!$A$140,'Données projet'!$B$140,CT8+CS9-DB8)))</f>
        <v>22.867894736842107</v>
      </c>
      <c r="CU9" s="17">
        <f>CT9*VLOOKUP('Données projet'!$B$13,Paramètres!$A$1:$I$89,3,0)*VLOOKUP('Données projet'!$B$13,Paramètres!$A$1:$I$89,5,0)</f>
        <v>21.76108863157895</v>
      </c>
      <c r="CV9" s="13">
        <f t="shared" si="41"/>
        <v>7.0069119283128174</v>
      </c>
      <c r="CW9" s="20">
        <f t="shared" si="13"/>
        <v>50.104267641811497</v>
      </c>
      <c r="CX9" s="59">
        <f t="shared" si="14"/>
        <v>280.23405910211619</v>
      </c>
      <c r="CY9" s="59">
        <f ca="1">AVERAGE(OFFSET($CX$3,0,0,'Données projet'!$E$13+1,1))-AVERAGE(OFFSET($H$3,0,0,'Données projet'!$E$13+1,1))</f>
        <v>418.79317359649315</v>
      </c>
      <c r="CZ9" s="59">
        <f t="shared" si="42"/>
        <v>286.46514989661011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60.762670398264916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60.762670398264916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60.762670398264916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60.762670398264916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60.762670398264916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1.35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6.2243999999999987E-2</v>
      </c>
      <c r="D10" s="11">
        <f t="shared" si="32"/>
        <v>3.962931911220377E-2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4.9083639053349772</v>
      </c>
      <c r="H10" s="67">
        <f t="shared" si="1"/>
        <v>224.1740960307871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60.922917415279862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3.887142857142857</v>
      </c>
      <c r="N10" s="13">
        <f>IF('Données projet'!$A$36&gt;35,N9+M10-V9,IF(A10&lt;'Données projet'!$A$36,$K$205^A10,IF(A10='Données projet'!$A$36,'Données projet'!$B$36,N9+M10-V9)))</f>
        <v>27.209999999999994</v>
      </c>
      <c r="O10" s="13">
        <f>N10*VLOOKUP('Données projet'!$B$9,Paramètres!$A$1:$I$89,3,0)*VLOOKUP('Données projet'!$B$9,Paramètres!$A$1:$I$89,5,0)</f>
        <v>27.590939999999993</v>
      </c>
      <c r="P10" s="13">
        <f t="shared" si="33"/>
        <v>8.6419816819814557</v>
      </c>
      <c r="Q10" s="20">
        <f t="shared" si="2"/>
        <v>63.105671929451027</v>
      </c>
      <c r="R10" s="59">
        <f t="shared" si="0"/>
        <v>295.04525800769937</v>
      </c>
      <c r="S10" s="59">
        <f ca="1">AVERAGE(OFFSET($R$3,0,0,'Données projet'!$E$9+1,1))-AVERAGE(OFFSET($H$3,0,0,'Données projet'!$E$9+1,1))</f>
        <v>665.7907881991157</v>
      </c>
      <c r="T10" s="59">
        <f t="shared" si="34"/>
        <v>306.76923535735227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60.922917415279862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9.9228571428571435</v>
      </c>
      <c r="AI10" s="13">
        <f>IF('Données projet'!$A$62&gt;35,AI9+AH10-AQ9,IF(A10&lt;'Données projet'!$A$62,$AF$205^A10,IF(A10='Données projet'!$A$62,'Données projet'!$B$62,AI9+AH10-AQ9)))</f>
        <v>69.459999999999994</v>
      </c>
      <c r="AJ10" s="13">
        <f>AI10*VLOOKUP('Données projet'!$B$10,Paramètres!$A$1:$I$89,3,0)*VLOOKUP('Données projet'!$B$10,Paramètres!$A$1:$I$89,5,0)</f>
        <v>32.507280000000002</v>
      </c>
      <c r="AK10" s="13">
        <f t="shared" si="35"/>
        <v>9.9893711943664076</v>
      </c>
      <c r="AL10" s="20">
        <f t="shared" si="4"/>
        <v>74.015000830188157</v>
      </c>
      <c r="AM10" s="59">
        <f t="shared" si="5"/>
        <v>305.95458690843651</v>
      </c>
      <c r="AN10" s="59">
        <f ca="1">AVERAGE(OFFSET($AM$3,0,0,'Données projet'!$E$10+1,1))-AVERAGE(OFFSET($H$3,0,0,'Données projet'!$E$10+1,1))</f>
        <v>370.42479501931444</v>
      </c>
      <c r="AO10" s="59">
        <f t="shared" si="36"/>
        <v>351.95632347830144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60.922917415279862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0.90124999999999988</v>
      </c>
      <c r="BD10" s="12">
        <f>IF('Données projet'!$A$88&gt;35,BD9+BC10-BL9,IF(A10&lt;'Données projet'!$A$88,$BA$205^A10,IF(A10='Données projet'!$A$88,'Données projet'!$B$88,BD9+BC10-BL9)))</f>
        <v>2.7514165526512966</v>
      </c>
      <c r="BE10" s="13">
        <f>BD10*VLOOKUP('Données projet'!$B$11,Paramètres!$A$1:$I$89,3,0)*VLOOKUP('Données projet'!$B$11,Paramètres!$A$1:$I$89,5,0)</f>
        <v>2.4036375003961727</v>
      </c>
      <c r="BF10" s="13">
        <f t="shared" si="37"/>
        <v>1.0002023893565439</v>
      </c>
      <c r="BG10" s="20">
        <f t="shared" si="7"/>
        <v>5.9283544746526475</v>
      </c>
      <c r="BH10" s="59">
        <f t="shared" si="8"/>
        <v>237.86794055290102</v>
      </c>
      <c r="BI10" s="59">
        <f ca="1">AVERAGE(OFFSET($BH$3,0,0,'Données projet'!$E$11+1,1))-AVERAGE(OFFSET($H$3,0,0,'Données projet'!$E$11+1,1))</f>
        <v>128.92423054779167</v>
      </c>
      <c r="BJ10" s="59">
        <f t="shared" si="38"/>
        <v>127.5443711972687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60.922917415279862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3.887142857142857</v>
      </c>
      <c r="BY10" s="12">
        <f>IF('Données projet'!$A$114&gt;35,BY9+BX10-CG9,IF(A10&lt;'Données projet'!$A$114,$BV$205^A10,IF(A10='Données projet'!$A$114,'Données projet'!$B$114,BY9+BX10-CG9)))</f>
        <v>27.209999999999994</v>
      </c>
      <c r="BZ10" s="13">
        <f>BY10*VLOOKUP('Données projet'!$B$12,Paramètres!$A$1:$I$89,3,0)*VLOOKUP('Données projet'!$B$12,Paramètres!$A$1:$I$89,5,0)</f>
        <v>24.619607999999992</v>
      </c>
      <c r="CA10" s="13">
        <f t="shared" si="39"/>
        <v>7.8142639118614152</v>
      </c>
      <c r="CB10" s="20">
        <f t="shared" si="10"/>
        <v>56.488993579825284</v>
      </c>
      <c r="CC10" s="59">
        <f t="shared" si="11"/>
        <v>288.42857965807366</v>
      </c>
      <c r="CD10" s="59">
        <f ca="1">AVERAGE(OFFSET($CC$3,0,0,'Données projet'!$E$12+1,1))-AVERAGE(OFFSET($H$3,0,0,'Données projet'!$E$12+1,1))</f>
        <v>601.17090553269054</v>
      </c>
      <c r="CE10" s="59">
        <f t="shared" si="40"/>
        <v>279.37477930888042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60.922917415279862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3.8113157894736847</v>
      </c>
      <c r="CT10" s="12">
        <f>IF('Données projet'!$A$140&gt;35,CT9+CS10-DB9,IF(A10&lt;'Données projet'!$A$140,$CQ$205^A10,IF(A10='Données projet'!$A$140,'Données projet'!$B$140,CT9+CS10-DB9)))</f>
        <v>26.679210526315792</v>
      </c>
      <c r="CU10" s="17">
        <f>CT10*VLOOKUP('Données projet'!$B$13,Paramètres!$A$1:$I$89,3,0)*VLOOKUP('Données projet'!$B$13,Paramètres!$A$1:$I$89,5,0)</f>
        <v>25.387936736842111</v>
      </c>
      <c r="CV10" s="13">
        <f t="shared" si="41"/>
        <v>8.0293583719888364</v>
      </c>
      <c r="CW10" s="20">
        <f t="shared" si="13"/>
        <v>58.201788981213895</v>
      </c>
      <c r="CX10" s="59">
        <f t="shared" si="14"/>
        <v>290.14137505946223</v>
      </c>
      <c r="CY10" s="59">
        <f ca="1">AVERAGE(OFFSET($CX$3,0,0,'Données projet'!$E$13+1,1))-AVERAGE(OFFSET($H$3,0,0,'Données projet'!$E$13+1,1))</f>
        <v>418.79317359649315</v>
      </c>
      <c r="CZ10" s="59">
        <f t="shared" si="42"/>
        <v>286.46514989661011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60.922917415279862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60.922917415279862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60.922917415279862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60.922917415279862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60.922917415279862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1.35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7.1135999999999991E-2</v>
      </c>
      <c r="D11" s="11">
        <f t="shared" si="32"/>
        <v>4.4592137955282628E-2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4.9094334001228637</v>
      </c>
      <c r="H11" s="67">
        <f t="shared" si="1"/>
        <v>224.19822650693879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61.080384504808251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3.887142857142857</v>
      </c>
      <c r="N11" s="13">
        <f>IF('Données projet'!$A$36&gt;35,N10+M11-V10,IF(A11&lt;'Données projet'!$A$36,$K$205^A11,IF(A11='Données projet'!$A$36,'Données projet'!$B$36,N10+M11-V10)))</f>
        <v>31.097142857142849</v>
      </c>
      <c r="O11" s="13">
        <f>N11*VLOOKUP('Données projet'!$B$9,Paramètres!$A$1:$I$89,3,0)*VLOOKUP('Données projet'!$B$9,Paramètres!$A$1:$I$89,5,0)</f>
        <v>31.532502857142852</v>
      </c>
      <c r="P11" s="13">
        <f t="shared" si="33"/>
        <v>9.7242255986999844</v>
      </c>
      <c r="Q11" s="20">
        <f t="shared" si="2"/>
        <v>71.855468727259591</v>
      </c>
      <c r="R11" s="59">
        <f t="shared" si="0"/>
        <v>305.59465635600094</v>
      </c>
      <c r="S11" s="59">
        <f ca="1">AVERAGE(OFFSET($R$3,0,0,'Données projet'!$E$9+1,1))-AVERAGE(OFFSET($H$3,0,0,'Données projet'!$E$9+1,1))</f>
        <v>665.7907881991157</v>
      </c>
      <c r="T11" s="59">
        <f t="shared" si="34"/>
        <v>306.76923535735227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61.080384504808251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9.9228571428571435</v>
      </c>
      <c r="AI11" s="13">
        <f>IF('Données projet'!$A$62&gt;35,AI10+AH11-AQ10,IF(A11&lt;'Données projet'!$A$62,$AF$205^A11,IF(A11='Données projet'!$A$62,'Données projet'!$B$62,AI10+AH11-AQ10)))</f>
        <v>79.382857142857134</v>
      </c>
      <c r="AJ11" s="13">
        <f>AI11*VLOOKUP('Données projet'!$B$10,Paramètres!$A$1:$I$89,3,0)*VLOOKUP('Données projet'!$B$10,Paramètres!$A$1:$I$89,5,0)</f>
        <v>37.151177142857144</v>
      </c>
      <c r="AK11" s="13">
        <f t="shared" si="35"/>
        <v>11.240350032876002</v>
      </c>
      <c r="AL11" s="20">
        <f t="shared" si="4"/>
        <v>84.28190983106856</v>
      </c>
      <c r="AM11" s="59">
        <f t="shared" si="5"/>
        <v>318.02109745980988</v>
      </c>
      <c r="AN11" s="59">
        <f ca="1">AVERAGE(OFFSET($AM$3,0,0,'Données projet'!$E$10+1,1))-AVERAGE(OFFSET($H$3,0,0,'Données projet'!$E$10+1,1))</f>
        <v>370.42479501931444</v>
      </c>
      <c r="AO11" s="59">
        <f t="shared" si="36"/>
        <v>351.95632347830144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61.080384504808251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0.90124999999999988</v>
      </c>
      <c r="BD11" s="12">
        <f>IF('Données projet'!$A$88&gt;35,BD10+BC11-BL10,IF(A11&lt;'Données projet'!$A$88,$BA$205^A11,IF(A11='Données projet'!$A$88,'Données projet'!$B$88,BD10+BC11-BL10)))</f>
        <v>3.1794361611871156</v>
      </c>
      <c r="BE11" s="13">
        <f>BD11*VLOOKUP('Données projet'!$B$11,Paramètres!$A$1:$I$89,3,0)*VLOOKUP('Données projet'!$B$11,Paramètres!$A$1:$I$89,5,0)</f>
        <v>2.7775554304130643</v>
      </c>
      <c r="BF11" s="13">
        <f t="shared" si="37"/>
        <v>1.1365078957141317</v>
      </c>
      <c r="BG11" s="20">
        <f t="shared" si="7"/>
        <v>6.8169936263382001</v>
      </c>
      <c r="BH11" s="59">
        <f t="shared" si="8"/>
        <v>240.55618125507954</v>
      </c>
      <c r="BI11" s="59">
        <f ca="1">AVERAGE(OFFSET($BH$3,0,0,'Données projet'!$E$11+1,1))-AVERAGE(OFFSET($H$3,0,0,'Données projet'!$E$11+1,1))</f>
        <v>128.92423054779167</v>
      </c>
      <c r="BJ11" s="59">
        <f t="shared" si="38"/>
        <v>127.5443711972687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61.080384504808251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3.887142857142857</v>
      </c>
      <c r="BY11" s="12">
        <f>IF('Données projet'!$A$114&gt;35,BY10+BX11-CG10,IF(A11&lt;'Données projet'!$A$114,$BV$205^A11,IF(A11='Données projet'!$A$114,'Données projet'!$B$114,BY10+BX11-CG10)))</f>
        <v>31.097142857142849</v>
      </c>
      <c r="BZ11" s="13">
        <f>BY11*VLOOKUP('Données projet'!$B$12,Paramètres!$A$1:$I$89,3,0)*VLOOKUP('Données projet'!$B$12,Paramètres!$A$1:$I$89,5,0)</f>
        <v>28.136694857142849</v>
      </c>
      <c r="CA11" s="13">
        <f t="shared" si="39"/>
        <v>8.792851913254415</v>
      </c>
      <c r="CB11" s="20">
        <f t="shared" si="10"/>
        <v>64.318960625108559</v>
      </c>
      <c r="CC11" s="59">
        <f t="shared" si="11"/>
        <v>298.05814825384994</v>
      </c>
      <c r="CD11" s="59">
        <f ca="1">AVERAGE(OFFSET($CC$3,0,0,'Données projet'!$E$12+1,1))-AVERAGE(OFFSET($H$3,0,0,'Données projet'!$E$12+1,1))</f>
        <v>601.17090553269054</v>
      </c>
      <c r="CE11" s="59">
        <f t="shared" si="40"/>
        <v>279.37477930888042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61.080384504808251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3.8113157894736847</v>
      </c>
      <c r="CT11" s="12">
        <f>IF('Données projet'!$A$140&gt;35,CT10+CS11-DB10,IF(A11&lt;'Données projet'!$A$140,$CQ$205^A11,IF(A11='Données projet'!$A$140,'Données projet'!$B$140,CT10+CS11-DB10)))</f>
        <v>30.490526315789477</v>
      </c>
      <c r="CU11" s="17">
        <f>CT11*VLOOKUP('Données projet'!$B$13,Paramètres!$A$1:$I$89,3,0)*VLOOKUP('Données projet'!$B$13,Paramètres!$A$1:$I$89,5,0)</f>
        <v>29.014784842105268</v>
      </c>
      <c r="CV11" s="13">
        <f t="shared" si="41"/>
        <v>9.034882865445697</v>
      </c>
      <c r="CW11" s="20">
        <f t="shared" si="13"/>
        <v>66.269837923984596</v>
      </c>
      <c r="CX11" s="59">
        <f t="shared" si="14"/>
        <v>300.00902555272592</v>
      </c>
      <c r="CY11" s="59">
        <f ca="1">AVERAGE(OFFSET($CX$3,0,0,'Données projet'!$E$13+1,1))-AVERAGE(OFFSET($H$3,0,0,'Données projet'!$E$13+1,1))</f>
        <v>418.79317359649315</v>
      </c>
      <c r="CZ11" s="59">
        <f t="shared" si="42"/>
        <v>286.46514989661011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61.080384504808251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61.080384504808251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61.080384504808251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61.080384504808251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61.080384504808251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1.35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8.0027999999999988E-2</v>
      </c>
      <c r="D12" s="11">
        <f t="shared" si="32"/>
        <v>4.9483073161627422E-2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4.9104973459984418</v>
      </c>
      <c r="H12" s="67">
        <f t="shared" si="1"/>
        <v>224.22223178575649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61.235119892377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3.887142857142857</v>
      </c>
      <c r="N12" s="13">
        <f>IF('Données projet'!$A$36&gt;35,N11+M12-V11,IF(A12&lt;'Données projet'!$A$36,$K$205^A12,IF(A12='Données projet'!$A$36,'Données projet'!$B$36,N11+M12-V11)))</f>
        <v>34.984285714285704</v>
      </c>
      <c r="O12" s="13">
        <f>N12*VLOOKUP('Données projet'!$B$9,Paramètres!$A$1:$I$89,3,0)*VLOOKUP('Données projet'!$B$9,Paramètres!$A$1:$I$89,5,0)</f>
        <v>35.474065714285707</v>
      </c>
      <c r="P12" s="13">
        <f t="shared" si="33"/>
        <v>10.790793821618898</v>
      </c>
      <c r="Q12" s="20">
        <f t="shared" si="2"/>
        <v>80.577963691700518</v>
      </c>
      <c r="R12" s="59">
        <f t="shared" si="0"/>
        <v>316.10673663041621</v>
      </c>
      <c r="S12" s="59">
        <f ca="1">AVERAGE(OFFSET($R$3,0,0,'Données projet'!$E$9+1,1))-AVERAGE(OFFSET($H$3,0,0,'Données projet'!$E$9+1,1))</f>
        <v>665.7907881991157</v>
      </c>
      <c r="T12" s="59">
        <f t="shared" si="34"/>
        <v>306.76923535735227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61.235119892377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9.9228571428571435</v>
      </c>
      <c r="AI12" s="13">
        <f>IF('Données projet'!$A$62&gt;35,AI11+AH12-AQ11,IF(A12&lt;'Données projet'!$A$62,$AF$205^A12,IF(A12='Données projet'!$A$62,'Données projet'!$B$62,AI11+AH12-AQ11)))</f>
        <v>89.305714285714274</v>
      </c>
      <c r="AJ12" s="13">
        <f>AI12*VLOOKUP('Données projet'!$B$10,Paramètres!$A$1:$I$89,3,0)*VLOOKUP('Données projet'!$B$10,Paramètres!$A$1:$I$89,5,0)</f>
        <v>41.795074285714279</v>
      </c>
      <c r="AK12" s="13">
        <f t="shared" si="35"/>
        <v>12.473209147246388</v>
      </c>
      <c r="AL12" s="20">
        <f t="shared" si="4"/>
        <v>94.517260312406492</v>
      </c>
      <c r="AM12" s="59">
        <f t="shared" si="5"/>
        <v>330.04603325112214</v>
      </c>
      <c r="AN12" s="59">
        <f ca="1">AVERAGE(OFFSET($AM$3,0,0,'Données projet'!$E$10+1,1))-AVERAGE(OFFSET($H$3,0,0,'Données projet'!$E$10+1,1))</f>
        <v>370.42479501931444</v>
      </c>
      <c r="AO12" s="59">
        <f t="shared" si="36"/>
        <v>351.95632347830144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61.235119892377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0.90124999999999988</v>
      </c>
      <c r="BD12" s="12">
        <f>IF('Données projet'!$A$88&gt;35,BD11+BC12-BL11,IF(A12&lt;'Données projet'!$A$88,$BA$205^A12,IF(A12='Données projet'!$A$88,'Données projet'!$B$88,BD11+BC12-BL11)))</f>
        <v>3.6740399389264753</v>
      </c>
      <c r="BE12" s="13">
        <f>BD12*VLOOKUP('Données projet'!$B$11,Paramètres!$A$1:$I$89,3,0)*VLOOKUP('Données projet'!$B$11,Paramètres!$A$1:$I$89,5,0)</f>
        <v>3.2096412906461693</v>
      </c>
      <c r="BF12" s="13">
        <f t="shared" si="37"/>
        <v>1.2913888336654702</v>
      </c>
      <c r="BG12" s="20">
        <f t="shared" si="7"/>
        <v>7.8392941331761046</v>
      </c>
      <c r="BH12" s="59">
        <f t="shared" si="8"/>
        <v>243.36806707189177</v>
      </c>
      <c r="BI12" s="59">
        <f ca="1">AVERAGE(OFFSET($BH$3,0,0,'Données projet'!$E$11+1,1))-AVERAGE(OFFSET($H$3,0,0,'Données projet'!$E$11+1,1))</f>
        <v>128.92423054779167</v>
      </c>
      <c r="BJ12" s="59">
        <f t="shared" si="38"/>
        <v>127.5443711972687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61.235119892377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3.887142857142857</v>
      </c>
      <c r="BY12" s="12">
        <f>IF('Données projet'!$A$114&gt;35,BY11+BX12-CG11,IF(A12&lt;'Données projet'!$A$114,$BV$205^A12,IF(A12='Données projet'!$A$114,'Données projet'!$B$114,BY11+BX12-CG11)))</f>
        <v>34.984285714285704</v>
      </c>
      <c r="BZ12" s="13">
        <f>BY12*VLOOKUP('Données projet'!$B$12,Paramètres!$A$1:$I$89,3,0)*VLOOKUP('Données projet'!$B$12,Paramètres!$A$1:$I$89,5,0)</f>
        <v>31.653781714285703</v>
      </c>
      <c r="CA12" s="13">
        <f t="shared" si="39"/>
        <v>9.757265618420071</v>
      </c>
      <c r="CB12" s="20">
        <f t="shared" si="10"/>
        <v>72.124240771129223</v>
      </c>
      <c r="CC12" s="59">
        <f t="shared" si="11"/>
        <v>307.65301370984491</v>
      </c>
      <c r="CD12" s="59">
        <f ca="1">AVERAGE(OFFSET($CC$3,0,0,'Données projet'!$E$12+1,1))-AVERAGE(OFFSET($H$3,0,0,'Données projet'!$E$12+1,1))</f>
        <v>601.17090553269054</v>
      </c>
      <c r="CE12" s="59">
        <f t="shared" si="40"/>
        <v>279.37477930888042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61.235119892377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3.8113157894736847</v>
      </c>
      <c r="CT12" s="12">
        <f>IF('Données projet'!$A$140&gt;35,CT11+CS12-DB11,IF(A12&lt;'Données projet'!$A$140,$CQ$205^A12,IF(A12='Données projet'!$A$140,'Données projet'!$B$140,CT11+CS12-DB11)))</f>
        <v>34.301842105263162</v>
      </c>
      <c r="CU12" s="17">
        <f>CT12*VLOOKUP('Données projet'!$B$13,Paramètres!$A$1:$I$89,3,0)*VLOOKUP('Données projet'!$B$13,Paramètres!$A$1:$I$89,5,0)</f>
        <v>32.641632947368421</v>
      </c>
      <c r="CV12" s="13">
        <f t="shared" si="41"/>
        <v>10.025842902753682</v>
      </c>
      <c r="CW12" s="20">
        <f t="shared" si="13"/>
        <v>74.312520438962665</v>
      </c>
      <c r="CX12" s="59">
        <f t="shared" si="14"/>
        <v>309.84129337767831</v>
      </c>
      <c r="CY12" s="59">
        <f ca="1">AVERAGE(OFFSET($CX$3,0,0,'Données projet'!$E$13+1,1))-AVERAGE(OFFSET($H$3,0,0,'Données projet'!$E$13+1,1))</f>
        <v>418.79317359649315</v>
      </c>
      <c r="CZ12" s="59">
        <f t="shared" si="42"/>
        <v>286.46514989661011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61.235119892377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61.235119892377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61.235119892377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61.235119892377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61.235119892377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1.35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8.8919999999999985E-2</v>
      </c>
      <c r="D13" s="11">
        <f t="shared" si="32"/>
        <v>5.4311022903289326E-2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4.9115564298381491</v>
      </c>
      <c r="H13" s="67">
        <f t="shared" si="1"/>
        <v>224.2461273648899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61.387170966907931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3.887142857142857</v>
      </c>
      <c r="N13" s="13">
        <f>IF('Données projet'!$A$36&gt;35,N12+M13-V12,IF(A13&lt;'Données projet'!$A$36,$K$205^A13,IF(A13='Données projet'!$A$36,'Données projet'!$B$36,N12+M13-V12)))</f>
        <v>38.871428571428559</v>
      </c>
      <c r="O13" s="13">
        <f>N13*VLOOKUP('Données projet'!$B$9,Paramètres!$A$1:$I$89,3,0)*VLOOKUP('Données projet'!$B$9,Paramètres!$A$1:$I$89,5,0)</f>
        <v>39.415628571428563</v>
      </c>
      <c r="P13" s="13">
        <f t="shared" si="33"/>
        <v>11.843626778724154</v>
      </c>
      <c r="Q13" s="20">
        <f t="shared" si="2"/>
        <v>89.276536401515969</v>
      </c>
      <c r="R13" s="59">
        <f t="shared" si="0"/>
        <v>326.58505216906724</v>
      </c>
      <c r="S13" s="59">
        <f ca="1">AVERAGE(OFFSET($R$3,0,0,'Données projet'!$E$9+1,1))-AVERAGE(OFFSET($H$3,0,0,'Données projet'!$E$9+1,1))</f>
        <v>665.7907881991157</v>
      </c>
      <c r="T13" s="59">
        <f t="shared" si="34"/>
        <v>306.76923535735227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61.387170966907931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9.9228571428571435</v>
      </c>
      <c r="AI13" s="13">
        <f>IF('Données projet'!$A$62&gt;35,AI12+AH13-AQ12,IF(A13&lt;'Données projet'!$A$62,$AF$205^A13,IF(A13='Données projet'!$A$62,'Données projet'!$B$62,AI12+AH13-AQ12)))</f>
        <v>99.228571428571414</v>
      </c>
      <c r="AJ13" s="13">
        <f>AI13*VLOOKUP('Données projet'!$B$10,Paramètres!$A$1:$I$89,3,0)*VLOOKUP('Données projet'!$B$10,Paramètres!$A$1:$I$89,5,0)</f>
        <v>46.438971428571428</v>
      </c>
      <c r="AK13" s="13">
        <f t="shared" si="35"/>
        <v>13.690191501665755</v>
      </c>
      <c r="AL13" s="20">
        <f t="shared" si="4"/>
        <v>104.7249587701631</v>
      </c>
      <c r="AM13" s="59">
        <f t="shared" si="5"/>
        <v>342.03347453771437</v>
      </c>
      <c r="AN13" s="59">
        <f ca="1">AVERAGE(OFFSET($AM$3,0,0,'Données projet'!$E$10+1,1))-AVERAGE(OFFSET($H$3,0,0,'Données projet'!$E$10+1,1))</f>
        <v>370.42479501931444</v>
      </c>
      <c r="AO13" s="59">
        <f t="shared" si="36"/>
        <v>351.95632347830144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61.387170966907931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0.90124999999999988</v>
      </c>
      <c r="BD13" s="12">
        <f>IF('Données projet'!$A$88&gt;35,BD12+BC13-BL12,IF(A13&lt;'Données projet'!$A$88,$BA$205^A13,IF(A13='Données projet'!$A$88,'Données projet'!$B$88,BD12+BC13-BL12)))</f>
        <v>4.245585943070755</v>
      </c>
      <c r="BE13" s="13">
        <f>BD13*VLOOKUP('Données projet'!$B$11,Paramètres!$A$1:$I$89,3,0)*VLOOKUP('Données projet'!$B$11,Paramètres!$A$1:$I$89,5,0)</f>
        <v>3.7089438798666126</v>
      </c>
      <c r="BF13" s="13">
        <f t="shared" si="37"/>
        <v>1.4673766244870332</v>
      </c>
      <c r="BG13" s="20">
        <f t="shared" si="7"/>
        <v>9.0154248784159332</v>
      </c>
      <c r="BH13" s="59">
        <f t="shared" si="8"/>
        <v>246.32394064596721</v>
      </c>
      <c r="BI13" s="59">
        <f ca="1">AVERAGE(OFFSET($BH$3,0,0,'Données projet'!$E$11+1,1))-AVERAGE(OFFSET($H$3,0,0,'Données projet'!$E$11+1,1))</f>
        <v>128.92423054779167</v>
      </c>
      <c r="BJ13" s="59">
        <f t="shared" si="38"/>
        <v>127.5443711972687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61.387170966907931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3.887142857142857</v>
      </c>
      <c r="BY13" s="12">
        <f>IF('Données projet'!$A$114&gt;35,BY12+BX13-CG12,IF(A13&lt;'Données projet'!$A$114,$BV$205^A13,IF(A13='Données projet'!$A$114,'Données projet'!$B$114,BY12+BX13-CG12)))</f>
        <v>38.871428571428559</v>
      </c>
      <c r="BZ13" s="13">
        <f>BY13*VLOOKUP('Données projet'!$B$12,Paramètres!$A$1:$I$89,3,0)*VLOOKUP('Données projet'!$B$12,Paramètres!$A$1:$I$89,5,0)</f>
        <v>35.170868571428556</v>
      </c>
      <c r="CA13" s="13">
        <f t="shared" si="39"/>
        <v>10.709259603674569</v>
      </c>
      <c r="CB13" s="20">
        <f t="shared" si="10"/>
        <v>79.90788990497127</v>
      </c>
      <c r="CC13" s="59">
        <f t="shared" si="11"/>
        <v>317.21640567252257</v>
      </c>
      <c r="CD13" s="59">
        <f ca="1">AVERAGE(OFFSET($CC$3,0,0,'Données projet'!$E$12+1,1))-AVERAGE(OFFSET($H$3,0,0,'Données projet'!$E$12+1,1))</f>
        <v>601.17090553269054</v>
      </c>
      <c r="CE13" s="59">
        <f t="shared" si="40"/>
        <v>279.37477930888042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61.387170966907931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3.8113157894736847</v>
      </c>
      <c r="CT13" s="12">
        <f>IF('Données projet'!$A$140&gt;35,CT12+CS13-DB12,IF(A13&lt;'Données projet'!$A$140,$CQ$205^A13,IF(A13='Données projet'!$A$140,'Données projet'!$B$140,CT12+CS13-DB12)))</f>
        <v>38.113157894736844</v>
      </c>
      <c r="CU13" s="17">
        <f>CT13*VLOOKUP('Données projet'!$B$13,Paramètres!$A$1:$I$89,3,0)*VLOOKUP('Données projet'!$B$13,Paramètres!$A$1:$I$89,5,0)</f>
        <v>36.268481052631586</v>
      </c>
      <c r="CV13" s="13">
        <f t="shared" si="41"/>
        <v>11.004041356479243</v>
      </c>
      <c r="CW13" s="20">
        <f t="shared" si="13"/>
        <v>82.33297652920136</v>
      </c>
      <c r="CX13" s="59">
        <f t="shared" si="14"/>
        <v>319.64149229675263</v>
      </c>
      <c r="CY13" s="59">
        <f ca="1">AVERAGE(OFFSET($CX$3,0,0,'Données projet'!$E$13+1,1))-AVERAGE(OFFSET($H$3,0,0,'Données projet'!$E$13+1,1))</f>
        <v>418.79317359649315</v>
      </c>
      <c r="CZ13" s="59">
        <f t="shared" si="42"/>
        <v>286.46514989661011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61.387170966907931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61.387170966907931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61.387170966907931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61.387170966907931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61.387170966907931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1.35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9.7811999999999982E-2</v>
      </c>
      <c r="D14" s="11">
        <f t="shared" si="32"/>
        <v>5.9083002735222351E-2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4.9126111931935963</v>
      </c>
      <c r="H14" s="67">
        <f t="shared" si="1"/>
        <v>224.2699254630972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61.53658429523103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3.887142857142857</v>
      </c>
      <c r="N14" s="13">
        <f>IF('Données projet'!$A$36&gt;35,N13+M14-V13,IF(A14&lt;'Données projet'!$A$36,$K$205^A14,IF(A14='Données projet'!$A$36,'Données projet'!$B$36,N13+M14-V13)))</f>
        <v>42.758571428571415</v>
      </c>
      <c r="O14" s="13">
        <f>N14*VLOOKUP('Données projet'!$B$9,Paramètres!$A$1:$I$89,3,0)*VLOOKUP('Données projet'!$B$9,Paramètres!$A$1:$I$89,5,0)</f>
        <v>43.357191428571419</v>
      </c>
      <c r="P14" s="13">
        <f t="shared" si="33"/>
        <v>12.884254354928219</v>
      </c>
      <c r="Q14" s="20">
        <f t="shared" si="2"/>
        <v>97.953851406261848</v>
      </c>
      <c r="R14" s="59">
        <f t="shared" si="0"/>
        <v>337.03243826655341</v>
      </c>
      <c r="S14" s="59">
        <f ca="1">AVERAGE(OFFSET($R$3,0,0,'Données projet'!$E$9+1,1))-AVERAGE(OFFSET($H$3,0,0,'Données projet'!$E$9+1,1))</f>
        <v>665.7907881991157</v>
      </c>
      <c r="T14" s="59">
        <f t="shared" si="34"/>
        <v>306.76923535735227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61.53658429523103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9.9228571428571435</v>
      </c>
      <c r="AI14" s="13">
        <f>IF('Données projet'!$A$62&gt;35,AI13+AH14-AQ13,IF(A14&lt;'Données projet'!$A$62,$AF$205^A14,IF(A14='Données projet'!$A$62,'Données projet'!$B$62,AI13+AH14-AQ13)))</f>
        <v>109.15142857142855</v>
      </c>
      <c r="AJ14" s="13">
        <f>AI14*VLOOKUP('Données projet'!$B$10,Paramètres!$A$1:$I$89,3,0)*VLOOKUP('Données projet'!$B$10,Paramètres!$A$1:$I$89,5,0)</f>
        <v>51.082868571428563</v>
      </c>
      <c r="AK14" s="13">
        <f t="shared" si="35"/>
        <v>14.893065508616067</v>
      </c>
      <c r="AL14" s="20">
        <f t="shared" si="4"/>
        <v>114.90808518941105</v>
      </c>
      <c r="AM14" s="59">
        <f t="shared" si="5"/>
        <v>353.98667204970263</v>
      </c>
      <c r="AN14" s="59">
        <f ca="1">AVERAGE(OFFSET($AM$3,0,0,'Données projet'!$E$10+1,1))-AVERAGE(OFFSET($H$3,0,0,'Données projet'!$E$10+1,1))</f>
        <v>370.42479501931444</v>
      </c>
      <c r="AO14" s="59">
        <f t="shared" si="36"/>
        <v>351.95632347830144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61.53658429523103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0.90124999999999988</v>
      </c>
      <c r="BD14" s="12">
        <f>IF('Données projet'!$A$88&gt;35,BD13+BC14-BL13,IF(A14&lt;'Données projet'!$A$88,$BA$205^A14,IF(A14='Données projet'!$A$88,'Données projet'!$B$88,BD13+BC14-BL13)))</f>
        <v>4.9060435650208927</v>
      </c>
      <c r="BE14" s="13">
        <f>BD14*VLOOKUP('Données projet'!$B$11,Paramètres!$A$1:$I$89,3,0)*VLOOKUP('Données projet'!$B$11,Paramètres!$A$1:$I$89,5,0)</f>
        <v>4.2859196584022525</v>
      </c>
      <c r="BF14" s="13">
        <f t="shared" si="37"/>
        <v>1.6673476662945474</v>
      </c>
      <c r="BG14" s="20">
        <f t="shared" si="7"/>
        <v>10.36860725718026</v>
      </c>
      <c r="BH14" s="59">
        <f t="shared" si="8"/>
        <v>249.44719411747181</v>
      </c>
      <c r="BI14" s="59">
        <f ca="1">AVERAGE(OFFSET($BH$3,0,0,'Données projet'!$E$11+1,1))-AVERAGE(OFFSET($H$3,0,0,'Données projet'!$E$11+1,1))</f>
        <v>128.92423054779167</v>
      </c>
      <c r="BJ14" s="59">
        <f t="shared" si="38"/>
        <v>127.5443711972687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61.53658429523103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3.887142857142857</v>
      </c>
      <c r="BY14" s="12">
        <f>IF('Données projet'!$A$114&gt;35,BY13+BX14-CG13,IF(A14&lt;'Données projet'!$A$114,$BV$205^A14,IF(A14='Données projet'!$A$114,'Données projet'!$B$114,BY13+BX14-CG13)))</f>
        <v>42.758571428571415</v>
      </c>
      <c r="BZ14" s="13">
        <f>BY14*VLOOKUP('Données projet'!$B$12,Paramètres!$A$1:$I$89,3,0)*VLOOKUP('Données projet'!$B$12,Paramètres!$A$1:$I$89,5,0)</f>
        <v>38.687955428571414</v>
      </c>
      <c r="CA14" s="13">
        <f t="shared" si="39"/>
        <v>11.650217223542473</v>
      </c>
      <c r="CB14" s="20">
        <f t="shared" si="10"/>
        <v>87.672317369098337</v>
      </c>
      <c r="CC14" s="59">
        <f t="shared" si="11"/>
        <v>326.7509042293899</v>
      </c>
      <c r="CD14" s="59">
        <f ca="1">AVERAGE(OFFSET($CC$3,0,0,'Données projet'!$E$12+1,1))-AVERAGE(OFFSET($H$3,0,0,'Données projet'!$E$12+1,1))</f>
        <v>601.17090553269054</v>
      </c>
      <c r="CE14" s="59">
        <f t="shared" si="40"/>
        <v>279.37477930888042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61.53658429523103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3.8113157894736847</v>
      </c>
      <c r="CT14" s="12">
        <f>IF('Données projet'!$A$140&gt;35,CT13+CS14-DB13,IF(A14&lt;'Données projet'!$A$140,$CQ$205^A14,IF(A14='Données projet'!$A$140,'Données projet'!$B$140,CT13+CS14-DB13)))</f>
        <v>41.924473684210525</v>
      </c>
      <c r="CU14" s="17">
        <f>CT14*VLOOKUP('Données projet'!$B$13,Paramètres!$A$1:$I$89,3,0)*VLOOKUP('Données projet'!$B$13,Paramètres!$A$1:$I$89,5,0)</f>
        <v>39.895329157894736</v>
      </c>
      <c r="CV14" s="13">
        <f t="shared" si="41"/>
        <v>11.970899659192138</v>
      </c>
      <c r="CW14" s="20">
        <f t="shared" si="13"/>
        <v>90.33368185642631</v>
      </c>
      <c r="CX14" s="59">
        <f t="shared" si="14"/>
        <v>329.41226871671785</v>
      </c>
      <c r="CY14" s="59">
        <f ca="1">AVERAGE(OFFSET($CX$3,0,0,'Données projet'!$E$13+1,1))-AVERAGE(OFFSET($H$3,0,0,'Données projet'!$E$13+1,1))</f>
        <v>418.79317359649315</v>
      </c>
      <c r="CZ14" s="59">
        <f t="shared" si="42"/>
        <v>286.46514989661011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61.53658429523103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61.53658429523103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61.53658429523103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61.53658429523103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61.53658429523103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1.35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0.10670399999999998</v>
      </c>
      <c r="D15" s="11">
        <f t="shared" si="32"/>
        <v>6.3804679495269981E-2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4.9136620735048977</v>
      </c>
      <c r="H15" s="67">
        <f t="shared" si="1"/>
        <v>224.29363595012094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61.683405636345881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3.887142857142857</v>
      </c>
      <c r="N15" s="13">
        <f>IF('Données projet'!$A$36&gt;35,N14+M15-V14,IF(A15&lt;'Données projet'!$A$36,$K$205^A15,IF(A15='Données projet'!$A$36,'Données projet'!$B$36,N14+M15-V14)))</f>
        <v>46.64571428571427</v>
      </c>
      <c r="O15" s="13">
        <f>N15*VLOOKUP('Données projet'!$B$9,Paramètres!$A$1:$I$89,3,0)*VLOOKUP('Données projet'!$B$9,Paramètres!$A$1:$I$89,5,0)</f>
        <v>47.298754285714274</v>
      </c>
      <c r="P15" s="13">
        <f t="shared" si="33"/>
        <v>13.913912319856609</v>
      </c>
      <c r="Q15" s="20">
        <f t="shared" si="2"/>
        <v>106.6120610047026</v>
      </c>
      <c r="R15" s="59">
        <f t="shared" si="0"/>
        <v>347.4512150046375</v>
      </c>
      <c r="S15" s="59">
        <f ca="1">AVERAGE(OFFSET($R$3,0,0,'Données projet'!$E$9+1,1))-AVERAGE(OFFSET($H$3,0,0,'Données projet'!$E$9+1,1))</f>
        <v>665.7907881991157</v>
      </c>
      <c r="T15" s="59">
        <f t="shared" si="34"/>
        <v>306.76923535735227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61.683405636345881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9.9228571428571435</v>
      </c>
      <c r="AI15" s="13">
        <f>IF('Données projet'!$A$62&gt;35,AI14+AH15-AQ14,IF(A15&lt;'Données projet'!$A$62,$AF$205^A15,IF(A15='Données projet'!$A$62,'Données projet'!$B$62,AI14+AH15-AQ14)))</f>
        <v>119.07428571428569</v>
      </c>
      <c r="AJ15" s="13">
        <f>AI15*VLOOKUP('Données projet'!$B$10,Paramètres!$A$1:$I$89,3,0)*VLOOKUP('Données projet'!$B$10,Paramètres!$A$1:$I$89,5,0)</f>
        <v>55.726765714285705</v>
      </c>
      <c r="AK15" s="13">
        <f t="shared" si="35"/>
        <v>16.083259609160287</v>
      </c>
      <c r="AL15" s="20">
        <f t="shared" si="4"/>
        <v>125.0691274383351</v>
      </c>
      <c r="AM15" s="59">
        <f t="shared" si="5"/>
        <v>365.90828143827002</v>
      </c>
      <c r="AN15" s="59">
        <f ca="1">AVERAGE(OFFSET($AM$3,0,0,'Données projet'!$E$10+1,1))-AVERAGE(OFFSET($H$3,0,0,'Données projet'!$E$10+1,1))</f>
        <v>370.42479501931444</v>
      </c>
      <c r="AO15" s="59">
        <f t="shared" si="36"/>
        <v>351.95632347830144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61.683405636345881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0.90124999999999988</v>
      </c>
      <c r="BD15" s="12">
        <f>IF('Données projet'!$A$88&gt;35,BD14+BC15-BL14,IF(A15&lt;'Données projet'!$A$88,$BA$205^A15,IF(A15='Données projet'!$A$88,'Données projet'!$B$88,BD14+BC15-BL14)))</f>
        <v>5.6692441949423955</v>
      </c>
      <c r="BE15" s="13">
        <f>BD15*VLOOKUP('Données projet'!$B$11,Paramètres!$A$1:$I$89,3,0)*VLOOKUP('Données projet'!$B$11,Paramètres!$A$1:$I$89,5,0)</f>
        <v>4.9526517287016771</v>
      </c>
      <c r="BF15" s="13">
        <f t="shared" si="37"/>
        <v>1.8945703467708743</v>
      </c>
      <c r="BG15" s="20">
        <f t="shared" si="7"/>
        <v>11.925578448114692</v>
      </c>
      <c r="BH15" s="59">
        <f t="shared" si="8"/>
        <v>252.76473244804959</v>
      </c>
      <c r="BI15" s="59">
        <f ca="1">AVERAGE(OFFSET($BH$3,0,0,'Données projet'!$E$11+1,1))-AVERAGE(OFFSET($H$3,0,0,'Données projet'!$E$11+1,1))</f>
        <v>128.92423054779167</v>
      </c>
      <c r="BJ15" s="59">
        <f t="shared" si="38"/>
        <v>127.5443711972687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61.683405636345881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3.887142857142857</v>
      </c>
      <c r="BY15" s="12">
        <f>IF('Données projet'!$A$114&gt;35,BY14+BX15-CG14,IF(A15&lt;'Données projet'!$A$114,$BV$205^A15,IF(A15='Données projet'!$A$114,'Données projet'!$B$114,BY14+BX15-CG14)))</f>
        <v>46.64571428571427</v>
      </c>
      <c r="BZ15" s="13">
        <f>BY15*VLOOKUP('Données projet'!$B$12,Paramètres!$A$1:$I$89,3,0)*VLOOKUP('Données projet'!$B$12,Paramètres!$A$1:$I$89,5,0)</f>
        <v>42.205042285714271</v>
      </c>
      <c r="CA15" s="13">
        <f t="shared" si="39"/>
        <v>12.581255887241159</v>
      </c>
      <c r="CB15" s="20">
        <f t="shared" si="10"/>
        <v>95.419469317897367</v>
      </c>
      <c r="CC15" s="59">
        <f t="shared" si="11"/>
        <v>336.25862331783225</v>
      </c>
      <c r="CD15" s="59">
        <f ca="1">AVERAGE(OFFSET($CC$3,0,0,'Données projet'!$E$12+1,1))-AVERAGE(OFFSET($H$3,0,0,'Données projet'!$E$12+1,1))</f>
        <v>601.17090553269054</v>
      </c>
      <c r="CE15" s="59">
        <f t="shared" si="40"/>
        <v>279.37477930888042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61.683405636345881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3.8113157894736847</v>
      </c>
      <c r="CT15" s="12">
        <f>IF('Données projet'!$A$140&gt;35,CT14+CS15-DB14,IF(A15&lt;'Données projet'!$A$140,$CQ$205^A15,IF(A15='Données projet'!$A$140,'Données projet'!$B$140,CT14+CS15-DB14)))</f>
        <v>45.735789473684207</v>
      </c>
      <c r="CU15" s="17">
        <f>CT15*VLOOKUP('Données projet'!$B$13,Paramètres!$A$1:$I$89,3,0)*VLOOKUP('Données projet'!$B$13,Paramètres!$A$1:$I$89,5,0)</f>
        <v>43.522177263157893</v>
      </c>
      <c r="CV15" s="13">
        <f t="shared" si="41"/>
        <v>12.927565977777428</v>
      </c>
      <c r="CW15" s="20">
        <f t="shared" si="13"/>
        <v>98.316636144629001</v>
      </c>
      <c r="CX15" s="59">
        <f t="shared" si="14"/>
        <v>339.15579014456387</v>
      </c>
      <c r="CY15" s="59">
        <f ca="1">AVERAGE(OFFSET($CX$3,0,0,'Données projet'!$E$13+1,1))-AVERAGE(OFFSET($H$3,0,0,'Données projet'!$E$13+1,1))</f>
        <v>418.79317359649315</v>
      </c>
      <c r="CZ15" s="59">
        <f t="shared" si="42"/>
        <v>286.46514989661011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61.683405636345881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61.683405636345881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61.683405636345881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61.683405636345881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61.683405636345881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1.35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0.11559599999999998</v>
      </c>
      <c r="D16" s="11">
        <f t="shared" si="32"/>
        <v>6.8480721690467886E-2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4.9147094311480366</v>
      </c>
      <c r="H16" s="67">
        <f t="shared" si="1"/>
        <v>224.31726695694422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61.827679955435734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3.887142857142857</v>
      </c>
      <c r="N16" s="13">
        <f>IF('Données projet'!$A$36&gt;35,N15+M16-V15,IF(A16&lt;'Données projet'!$A$36,$K$205^A16,IF(A16='Données projet'!$A$36,'Données projet'!$B$36,N15+M16-V15)))</f>
        <v>50.532857142857125</v>
      </c>
      <c r="O16" s="13">
        <f>N16*VLOOKUP('Données projet'!$B$9,Paramètres!$A$1:$I$89,3,0)*VLOOKUP('Données projet'!$B$9,Paramètres!$A$1:$I$89,5,0)</f>
        <v>51.240317142857123</v>
      </c>
      <c r="P16" s="13">
        <f t="shared" si="33"/>
        <v>14.933618736730883</v>
      </c>
      <c r="Q16" s="20">
        <f t="shared" si="2"/>
        <v>115.25293832361577</v>
      </c>
      <c r="R16" s="59">
        <f t="shared" si="0"/>
        <v>357.84332038243571</v>
      </c>
      <c r="S16" s="59">
        <f ca="1">AVERAGE(OFFSET($R$3,0,0,'Données projet'!$E$9+1,1))-AVERAGE(OFFSET($H$3,0,0,'Données projet'!$E$9+1,1))</f>
        <v>665.7907881991157</v>
      </c>
      <c r="T16" s="59">
        <f t="shared" si="34"/>
        <v>306.76923535735227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61.827679955435734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9.9228571428571435</v>
      </c>
      <c r="AI16" s="13">
        <f>IF('Données projet'!$A$62&gt;35,AI15+AH16-AQ15,IF(A16&lt;'Données projet'!$A$62,$AF$205^A16,IF(A16='Données projet'!$A$62,'Données projet'!$B$62,AI15+AH16-AQ15)))</f>
        <v>128.99714285714285</v>
      </c>
      <c r="AJ16" s="13">
        <f>AI16*VLOOKUP('Données projet'!$B$10,Paramètres!$A$1:$I$89,3,0)*VLOOKUP('Données projet'!$B$10,Paramètres!$A$1:$I$89,5,0)</f>
        <v>60.370662857142847</v>
      </c>
      <c r="AK16" s="13">
        <f t="shared" si="35"/>
        <v>17.261950594894824</v>
      </c>
      <c r="AL16" s="20">
        <f t="shared" si="4"/>
        <v>135.21013509563227</v>
      </c>
      <c r="AM16" s="59">
        <f t="shared" si="5"/>
        <v>377.80051715445222</v>
      </c>
      <c r="AN16" s="59">
        <f ca="1">AVERAGE(OFFSET($AM$3,0,0,'Données projet'!$E$10+1,1))-AVERAGE(OFFSET($H$3,0,0,'Données projet'!$E$10+1,1))</f>
        <v>370.42479501931444</v>
      </c>
      <c r="AO16" s="59">
        <f t="shared" si="36"/>
        <v>351.95632347830144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61.827679955435734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0.90124999999999988</v>
      </c>
      <c r="BD16" s="12">
        <f>IF('Données projet'!$A$88&gt;35,BD15+BC16-BL15,IF(A16&lt;'Données projet'!$A$88,$BA$205^A16,IF(A16='Données projet'!$A$88,'Données projet'!$B$88,BD15+BC16-BL15)))</f>
        <v>6.5511708805527435</v>
      </c>
      <c r="BE16" s="13">
        <f>BD16*VLOOKUP('Données projet'!$B$11,Paramètres!$A$1:$I$89,3,0)*VLOOKUP('Données projet'!$B$11,Paramètres!$A$1:$I$89,5,0)</f>
        <v>5.7231028812508775</v>
      </c>
      <c r="BF16" s="13">
        <f t="shared" si="37"/>
        <v>2.1527584626909007</v>
      </c>
      <c r="BG16" s="20">
        <f t="shared" si="7"/>
        <v>13.71712517403193</v>
      </c>
      <c r="BH16" s="59">
        <f t="shared" si="8"/>
        <v>256.30750723285183</v>
      </c>
      <c r="BI16" s="59">
        <f ca="1">AVERAGE(OFFSET($BH$3,0,0,'Données projet'!$E$11+1,1))-AVERAGE(OFFSET($H$3,0,0,'Données projet'!$E$11+1,1))</f>
        <v>128.92423054779167</v>
      </c>
      <c r="BJ16" s="59">
        <f t="shared" si="38"/>
        <v>127.5443711972687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61.827679955435734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3.887142857142857</v>
      </c>
      <c r="BY16" s="12">
        <f>IF('Données projet'!$A$114&gt;35,BY15+BX16-CG15,IF(A16&lt;'Données projet'!$A$114,$BV$205^A16,IF(A16='Données projet'!$A$114,'Données projet'!$B$114,BY15+BX16-CG15)))</f>
        <v>50.532857142857125</v>
      </c>
      <c r="BZ16" s="13">
        <f>BY16*VLOOKUP('Données projet'!$B$12,Paramètres!$A$1:$I$89,3,0)*VLOOKUP('Données projet'!$B$12,Paramètres!$A$1:$I$89,5,0)</f>
        <v>45.722129142857128</v>
      </c>
      <c r="CA16" s="13">
        <f t="shared" si="39"/>
        <v>13.50329614922042</v>
      </c>
      <c r="CB16" s="20">
        <f t="shared" si="10"/>
        <v>103.1509490503684</v>
      </c>
      <c r="CC16" s="59">
        <f t="shared" si="11"/>
        <v>345.74133110918831</v>
      </c>
      <c r="CD16" s="59">
        <f ca="1">AVERAGE(OFFSET($CC$3,0,0,'Données projet'!$E$12+1,1))-AVERAGE(OFFSET($H$3,0,0,'Données projet'!$E$12+1,1))</f>
        <v>601.17090553269054</v>
      </c>
      <c r="CE16" s="59">
        <f t="shared" si="40"/>
        <v>279.37477930888042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61.827679955435734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3.8113157894736847</v>
      </c>
      <c r="CT16" s="12">
        <f>IF('Données projet'!$A$140&gt;35,CT15+CS16-DB15,IF(A16&lt;'Données projet'!$A$140,$CQ$205^A16,IF(A16='Données projet'!$A$140,'Données projet'!$B$140,CT15+CS16-DB15)))</f>
        <v>49.547105263157889</v>
      </c>
      <c r="CU16" s="17">
        <f>CT16*VLOOKUP('Données projet'!$B$13,Paramètres!$A$1:$I$89,3,0)*VLOOKUP('Données projet'!$B$13,Paramètres!$A$1:$I$89,5,0)</f>
        <v>47.149025368421043</v>
      </c>
      <c r="CV16" s="13">
        <f t="shared" si="41"/>
        <v>13.874986205752608</v>
      </c>
      <c r="CW16" s="20">
        <f t="shared" si="13"/>
        <v>106.2834868250191</v>
      </c>
      <c r="CX16" s="59">
        <f t="shared" si="14"/>
        <v>348.87386888383901</v>
      </c>
      <c r="CY16" s="59">
        <f ca="1">AVERAGE(OFFSET($CX$3,0,0,'Données projet'!$E$13+1,1))-AVERAGE(OFFSET($H$3,0,0,'Données projet'!$E$13+1,1))</f>
        <v>418.79317359649315</v>
      </c>
      <c r="CZ16" s="59">
        <f t="shared" si="42"/>
        <v>286.46514989661011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61.827679955435734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61.827679955435734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61.827679955435734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61.827679955435734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61.827679955435734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1.35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0.12448799999999997</v>
      </c>
      <c r="D17" s="11">
        <f t="shared" si="32"/>
        <v>7.3115038795809301E-2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4.9157535679070454</v>
      </c>
      <c r="H17" s="67">
        <f t="shared" si="1"/>
        <v>224.34082529256938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61.969451437638433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3.887142857142857</v>
      </c>
      <c r="N17" s="13">
        <f>IF('Données projet'!$A$36&gt;35,N16+M17-V16,IF(A17&lt;'Données projet'!$A$36,$K$205^A17,IF(A17='Données projet'!$A$36,'Données projet'!$B$36,N16+M17-V16)))</f>
        <v>54.41999999999998</v>
      </c>
      <c r="O17" s="13">
        <f>N17*VLOOKUP('Données projet'!$B$9,Paramètres!$A$1:$I$89,3,0)*VLOOKUP('Données projet'!$B$9,Paramètres!$A$1:$I$89,5,0)</f>
        <v>55.181879999999985</v>
      </c>
      <c r="P17" s="13">
        <f t="shared" si="33"/>
        <v>15.944226146347479</v>
      </c>
      <c r="Q17" s="20">
        <f t="shared" si="2"/>
        <v>123.87796820488852</v>
      </c>
      <c r="R17" s="59">
        <f t="shared" si="0"/>
        <v>368.21040125400719</v>
      </c>
      <c r="S17" s="59">
        <f ca="1">AVERAGE(OFFSET($R$3,0,0,'Données projet'!$E$9+1,1))-AVERAGE(OFFSET($H$3,0,0,'Données projet'!$E$9+1,1))</f>
        <v>665.7907881991157</v>
      </c>
      <c r="T17" s="59">
        <f t="shared" si="34"/>
        <v>306.76923535735227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61.969451437638433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9.9228571428571435</v>
      </c>
      <c r="AI17" s="13">
        <f>IF('Données projet'!$A$62&gt;35,AI16+AH17-AQ16,IF(A17&lt;'Données projet'!$A$62,$AF$205^A17,IF(A17='Données projet'!$A$62,'Données projet'!$B$62,AI16+AH17-AQ16)))</f>
        <v>138.91999999999999</v>
      </c>
      <c r="AJ17" s="13">
        <f>AI17*VLOOKUP('Données projet'!$B$10,Paramètres!$A$1:$I$89,3,0)*VLOOKUP('Données projet'!$B$10,Paramètres!$A$1:$I$89,5,0)</f>
        <v>65.014560000000003</v>
      </c>
      <c r="AK17" s="13">
        <f t="shared" si="35"/>
        <v>18.430123928042022</v>
      </c>
      <c r="AL17" s="20">
        <f t="shared" si="4"/>
        <v>145.33282450800652</v>
      </c>
      <c r="AM17" s="59">
        <f t="shared" si="5"/>
        <v>389.66525755712519</v>
      </c>
      <c r="AN17" s="59">
        <f ca="1">AVERAGE(OFFSET($AM$3,0,0,'Données projet'!$E$10+1,1))-AVERAGE(OFFSET($H$3,0,0,'Données projet'!$E$10+1,1))</f>
        <v>370.42479501931444</v>
      </c>
      <c r="AO17" s="59">
        <f t="shared" si="36"/>
        <v>351.95632347830144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61.969451437638433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0.90124999999999988</v>
      </c>
      <c r="BD17" s="12">
        <f>IF('Données projet'!$A$88&gt;35,BD16+BC17-BL16,IF(A17&lt;'Données projet'!$A$88,$BA$205^A17,IF(A17='Données projet'!$A$88,'Données projet'!$B$88,BD16+BC17-BL16)))</f>
        <v>7.5702930462035436</v>
      </c>
      <c r="BE17" s="13">
        <f>BD17*VLOOKUP('Données projet'!$B$11,Paramètres!$A$1:$I$89,3,0)*VLOOKUP('Données projet'!$B$11,Paramètres!$A$1:$I$89,5,0)</f>
        <v>6.6134080051634161</v>
      </c>
      <c r="BF17" s="13">
        <f t="shared" si="37"/>
        <v>2.4461319193484461</v>
      </c>
      <c r="BG17" s="20">
        <f t="shared" si="7"/>
        <v>15.778698701858156</v>
      </c>
      <c r="BH17" s="59">
        <f t="shared" si="8"/>
        <v>260.11113175097682</v>
      </c>
      <c r="BI17" s="59">
        <f ca="1">AVERAGE(OFFSET($BH$3,0,0,'Données projet'!$E$11+1,1))-AVERAGE(OFFSET($H$3,0,0,'Données projet'!$E$11+1,1))</f>
        <v>128.92423054779167</v>
      </c>
      <c r="BJ17" s="59">
        <f t="shared" si="38"/>
        <v>127.5443711972687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61.969451437638433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3.887142857142857</v>
      </c>
      <c r="BY17" s="12">
        <f>IF('Données projet'!$A$114&gt;35,BY16+BX17-CG16,IF(A17&lt;'Données projet'!$A$114,$BV$205^A17,IF(A17='Données projet'!$A$114,'Données projet'!$B$114,BY16+BX17-CG16)))</f>
        <v>54.41999999999998</v>
      </c>
      <c r="BZ17" s="13">
        <f>BY17*VLOOKUP('Données projet'!$B$12,Paramètres!$A$1:$I$89,3,0)*VLOOKUP('Données projet'!$B$12,Paramètres!$A$1:$I$89,5,0)</f>
        <v>49.239215999999978</v>
      </c>
      <c r="CA17" s="13">
        <f t="shared" si="39"/>
        <v>14.417108895027585</v>
      </c>
      <c r="CB17" s="20">
        <f t="shared" si="10"/>
        <v>110.86809919217301</v>
      </c>
      <c r="CC17" s="59">
        <f t="shared" si="11"/>
        <v>355.20053224129168</v>
      </c>
      <c r="CD17" s="59">
        <f ca="1">AVERAGE(OFFSET($CC$3,0,0,'Données projet'!$E$12+1,1))-AVERAGE(OFFSET($H$3,0,0,'Données projet'!$E$12+1,1))</f>
        <v>601.17090553269054</v>
      </c>
      <c r="CE17" s="59">
        <f t="shared" si="40"/>
        <v>279.37477930888042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61.969451437638433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3.8113157894736847</v>
      </c>
      <c r="CT17" s="12">
        <f>IF('Données projet'!$A$140&gt;35,CT16+CS17-DB16,IF(A17&lt;'Données projet'!$A$140,$CQ$205^A17,IF(A17='Données projet'!$A$140,'Données projet'!$B$140,CT16+CS17-DB16)))</f>
        <v>53.35842105263157</v>
      </c>
      <c r="CU17" s="17">
        <f>CT17*VLOOKUP('Données projet'!$B$13,Paramètres!$A$1:$I$89,3,0)*VLOOKUP('Données projet'!$B$13,Paramètres!$A$1:$I$89,5,0)</f>
        <v>50.775873473684207</v>
      </c>
      <c r="CV17" s="13">
        <f t="shared" si="41"/>
        <v>14.813952447965063</v>
      </c>
      <c r="CW17" s="20">
        <f t="shared" si="13"/>
        <v>114.2356134802058</v>
      </c>
      <c r="CX17" s="59">
        <f t="shared" si="14"/>
        <v>358.56804652932448</v>
      </c>
      <c r="CY17" s="59">
        <f ca="1">AVERAGE(OFFSET($CX$3,0,0,'Données projet'!$E$13+1,1))-AVERAGE(OFFSET($H$3,0,0,'Données projet'!$E$13+1,1))</f>
        <v>418.79317359649315</v>
      </c>
      <c r="CZ17" s="59">
        <f t="shared" si="42"/>
        <v>286.46514989661011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61.969451437638433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61.969451437638433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61.969451437638433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61.969451437638433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61.969451437638433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1.35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0.13337999999999997</v>
      </c>
      <c r="D18" s="11">
        <f t="shared" si="32"/>
        <v>7.7710950142818286E-2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4.9167947400110243</v>
      </c>
      <c r="H18" s="67">
        <f t="shared" si="1"/>
        <v>224.3643167381654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62.108763501578466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3.887142857142857</v>
      </c>
      <c r="N18" s="13">
        <f>IF('Données projet'!$A$36&gt;35,N17+M18-V17,IF(A18&lt;'Données projet'!$A$36,$K$205^A18,IF(A18='Données projet'!$A$36,'Données projet'!$B$36,N17+M18-V17)))</f>
        <v>58.307142857142836</v>
      </c>
      <c r="O18" s="13">
        <f>N18*VLOOKUP('Données projet'!$B$9,Paramètres!$A$1:$I$89,3,0)*VLOOKUP('Données projet'!$B$9,Paramètres!$A$1:$I$89,5,0)</f>
        <v>59.123442857142841</v>
      </c>
      <c r="P18" s="13">
        <f t="shared" si="33"/>
        <v>16.946458396677293</v>
      </c>
      <c r="Q18" s="20">
        <f t="shared" si="2"/>
        <v>132.4884113504034</v>
      </c>
      <c r="R18" s="59">
        <f t="shared" si="0"/>
        <v>378.55387752285776</v>
      </c>
      <c r="S18" s="59">
        <f ca="1">AVERAGE(OFFSET($R$3,0,0,'Données projet'!$E$9+1,1))-AVERAGE(OFFSET($H$3,0,0,'Données projet'!$E$9+1,1))</f>
        <v>665.7907881991157</v>
      </c>
      <c r="T18" s="59">
        <f t="shared" si="34"/>
        <v>306.76923535735227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62.108763501578466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9.9228571428571435</v>
      </c>
      <c r="AI18" s="13">
        <f>IF('Données projet'!$A$62&gt;35,AI17+AH18-AQ17,IF(A18&lt;'Données projet'!$A$62,$AF$205^A18,IF(A18='Données projet'!$A$62,'Données projet'!$B$62,AI17+AH18-AQ17)))</f>
        <v>148.84285714285713</v>
      </c>
      <c r="AJ18" s="13">
        <f>AI18*VLOOKUP('Données projet'!$B$10,Paramètres!$A$1:$I$89,3,0)*VLOOKUP('Données projet'!$B$10,Paramètres!$A$1:$I$89,5,0)</f>
        <v>69.658457142857131</v>
      </c>
      <c r="AK18" s="13">
        <f t="shared" si="35"/>
        <v>19.588616313230013</v>
      </c>
      <c r="AL18" s="20">
        <f t="shared" si="4"/>
        <v>155.43865293601846</v>
      </c>
      <c r="AM18" s="59">
        <f t="shared" si="5"/>
        <v>401.50411910847288</v>
      </c>
      <c r="AN18" s="59">
        <f ca="1">AVERAGE(OFFSET($AM$3,0,0,'Données projet'!$E$10+1,1))-AVERAGE(OFFSET($H$3,0,0,'Données projet'!$E$10+1,1))</f>
        <v>370.42479501931444</v>
      </c>
      <c r="AO18" s="59">
        <f t="shared" si="36"/>
        <v>351.95632347830144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62.108763501578466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0.90124999999999988</v>
      </c>
      <c r="BD18" s="12">
        <f>IF('Données projet'!$A$88&gt;35,BD17+BC18-BL17,IF(A18&lt;'Données projet'!$A$88,$BA$205^A18,IF(A18='Données projet'!$A$88,'Données projet'!$B$88,BD17+BC18-BL17)))</f>
        <v>8.747953281988325</v>
      </c>
      <c r="BE18" s="13">
        <f>BD18*VLOOKUP('Données projet'!$B$11,Paramètres!$A$1:$I$89,3,0)*VLOOKUP('Données projet'!$B$11,Paramètres!$A$1:$I$89,5,0)</f>
        <v>7.6422119871450009</v>
      </c>
      <c r="BF18" s="13">
        <f t="shared" si="37"/>
        <v>2.7794857019751271</v>
      </c>
      <c r="BG18" s="20">
        <f t="shared" si="7"/>
        <v>18.151123475217556</v>
      </c>
      <c r="BH18" s="59">
        <f t="shared" si="8"/>
        <v>264.21658964767192</v>
      </c>
      <c r="BI18" s="59">
        <f ca="1">AVERAGE(OFFSET($BH$3,0,0,'Données projet'!$E$11+1,1))-AVERAGE(OFFSET($H$3,0,0,'Données projet'!$E$11+1,1))</f>
        <v>128.92423054779167</v>
      </c>
      <c r="BJ18" s="59">
        <f t="shared" si="38"/>
        <v>127.5443711972687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62.108763501578466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3.887142857142857</v>
      </c>
      <c r="BY18" s="12">
        <f>IF('Données projet'!$A$114&gt;35,BY17+BX18-CG17,IF(A18&lt;'Données projet'!$A$114,$BV$205^A18,IF(A18='Données projet'!$A$114,'Données projet'!$B$114,BY17+BX18-CG17)))</f>
        <v>58.307142857142836</v>
      </c>
      <c r="BZ18" s="13">
        <f>BY18*VLOOKUP('Données projet'!$B$12,Paramètres!$A$1:$I$89,3,0)*VLOOKUP('Données projet'!$B$12,Paramètres!$A$1:$I$89,5,0)</f>
        <v>52.756302857142842</v>
      </c>
      <c r="CA18" s="13">
        <f t="shared" si="39"/>
        <v>15.323348643415981</v>
      </c>
      <c r="CB18" s="20">
        <f t="shared" si="10"/>
        <v>118.57205969680662</v>
      </c>
      <c r="CC18" s="59">
        <f t="shared" si="11"/>
        <v>364.63752586926103</v>
      </c>
      <c r="CD18" s="59">
        <f ca="1">AVERAGE(OFFSET($CC$3,0,0,'Données projet'!$E$12+1,1))-AVERAGE(OFFSET($H$3,0,0,'Données projet'!$E$12+1,1))</f>
        <v>601.17090553269054</v>
      </c>
      <c r="CE18" s="59">
        <f t="shared" si="40"/>
        <v>279.37477930888042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62.108763501578466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3.8113157894736847</v>
      </c>
      <c r="CT18" s="12">
        <f>IF('Données projet'!$A$140&gt;35,CT17+CS18-DB17,IF(A18&lt;'Données projet'!$A$140,$CQ$205^A18,IF(A18='Données projet'!$A$140,'Données projet'!$B$140,CT17+CS18-DB17)))</f>
        <v>57.169736842105252</v>
      </c>
      <c r="CU18" s="17">
        <f>CT18*VLOOKUP('Données projet'!$B$13,Paramètres!$A$1:$I$89,3,0)*VLOOKUP('Données projet'!$B$13,Paramètres!$A$1:$I$89,5,0)</f>
        <v>54.402721578947357</v>
      </c>
      <c r="CV18" s="13">
        <f t="shared" si="41"/>
        <v>15.7451372393702</v>
      </c>
      <c r="CW18" s="20">
        <f t="shared" si="13"/>
        <v>122.17418744190309</v>
      </c>
      <c r="CX18" s="59">
        <f t="shared" si="14"/>
        <v>368.23965361435751</v>
      </c>
      <c r="CY18" s="59">
        <f ca="1">AVERAGE(OFFSET($CX$3,0,0,'Données projet'!$E$13+1,1))-AVERAGE(OFFSET($H$3,0,0,'Données projet'!$E$13+1,1))</f>
        <v>418.79317359649315</v>
      </c>
      <c r="CZ18" s="59">
        <f t="shared" si="42"/>
        <v>286.46514989661011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62.108763501578466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62.108763501578466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62.108763501578466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62.108763501578466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62.108763501578466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1.35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0.14227199999999998</v>
      </c>
      <c r="D19" s="11">
        <f t="shared" si="32"/>
        <v>8.2271307446827868E-2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4.917833167592387</v>
      </c>
      <c r="H19" s="67">
        <f t="shared" si="1"/>
        <v>224.3877462604699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62.24565881266426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3.887142857142857</v>
      </c>
      <c r="N19" s="13">
        <f>IF('Données projet'!$A$36&gt;35,N18+M19-V18,IF(A19&lt;'Données projet'!$A$36,$K$205^A19,IF(A19='Données projet'!$A$36,'Données projet'!$B$36,N18+M19-V18)))</f>
        <v>62.194285714285691</v>
      </c>
      <c r="O19" s="13">
        <f>N19*VLOOKUP('Données projet'!$B$9,Paramètres!$A$1:$I$89,3,0)*VLOOKUP('Données projet'!$B$9,Paramètres!$A$1:$I$89,5,0)</f>
        <v>63.065005714285689</v>
      </c>
      <c r="P19" s="13">
        <f t="shared" si="33"/>
        <v>17.940937362438909</v>
      </c>
      <c r="Q19" s="20">
        <f t="shared" si="2"/>
        <v>141.08535085862869</v>
      </c>
      <c r="R19" s="59">
        <f t="shared" si="0"/>
        <v>388.87498872728651</v>
      </c>
      <c r="S19" s="59">
        <f ca="1">AVERAGE(OFFSET($R$3,0,0,'Données projet'!$E$9+1,1))-AVERAGE(OFFSET($H$3,0,0,'Données projet'!$E$9+1,1))</f>
        <v>665.7907881991157</v>
      </c>
      <c r="T19" s="59">
        <f t="shared" si="34"/>
        <v>306.76923535735227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62.24565881266426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9.9228571428571435</v>
      </c>
      <c r="AI19" s="13">
        <f>IF('Données projet'!$A$62&gt;35,AI18+AH19-AQ18,IF(A19&lt;'Données projet'!$A$62,$AF$205^A19,IF(A19='Données projet'!$A$62,'Données projet'!$B$62,AI18+AH19-AQ18)))</f>
        <v>158.76571428571427</v>
      </c>
      <c r="AJ19" s="13">
        <f>AI19*VLOOKUP('Données projet'!$B$10,Paramètres!$A$1:$I$89,3,0)*VLOOKUP('Données projet'!$B$10,Paramètres!$A$1:$I$89,5,0)</f>
        <v>74.302354285714287</v>
      </c>
      <c r="AK19" s="13">
        <f t="shared" si="35"/>
        <v>20.738146582970735</v>
      </c>
      <c r="AL19" s="20">
        <f t="shared" si="4"/>
        <v>165.52887234629307</v>
      </c>
      <c r="AM19" s="59">
        <f t="shared" si="5"/>
        <v>413.31851021495089</v>
      </c>
      <c r="AN19" s="59">
        <f ca="1">AVERAGE(OFFSET($AM$3,0,0,'Données projet'!$E$10+1,1))-AVERAGE(OFFSET($H$3,0,0,'Données projet'!$E$10+1,1))</f>
        <v>370.42479501931444</v>
      </c>
      <c r="AO19" s="59">
        <f t="shared" si="36"/>
        <v>351.95632347830144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62.24565881266426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0.90124999999999988</v>
      </c>
      <c r="BD19" s="12">
        <f>IF('Données projet'!$A$88&gt;35,BD18+BC19-BL18,IF(A19&lt;'Données projet'!$A$88,$BA$205^A19,IF(A19='Données projet'!$A$88,'Données projet'!$B$88,BD18+BC19-BL18)))</f>
        <v>10.108814303064262</v>
      </c>
      <c r="BE19" s="13">
        <f>BD19*VLOOKUP('Données projet'!$B$11,Paramètres!$A$1:$I$89,3,0)*VLOOKUP('Données projet'!$B$11,Paramètres!$A$1:$I$89,5,0)</f>
        <v>8.8310601751569404</v>
      </c>
      <c r="BF19" s="13">
        <f t="shared" si="37"/>
        <v>3.1582682464410783</v>
      </c>
      <c r="BG19" s="20">
        <f t="shared" si="7"/>
        <v>20.881413667616549</v>
      </c>
      <c r="BH19" s="59">
        <f t="shared" si="8"/>
        <v>268.67105153627438</v>
      </c>
      <c r="BI19" s="59">
        <f ca="1">AVERAGE(OFFSET($BH$3,0,0,'Données projet'!$E$11+1,1))-AVERAGE(OFFSET($H$3,0,0,'Données projet'!$E$11+1,1))</f>
        <v>128.92423054779167</v>
      </c>
      <c r="BJ19" s="59">
        <f t="shared" si="38"/>
        <v>127.5443711972687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62.24565881266426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3.887142857142857</v>
      </c>
      <c r="BY19" s="12">
        <f>IF('Données projet'!$A$114&gt;35,BY18+BX19-CG18,IF(A19&lt;'Données projet'!$A$114,$BV$205^A19,IF(A19='Données projet'!$A$114,'Données projet'!$B$114,BY18+BX19-CG18)))</f>
        <v>62.194285714285691</v>
      </c>
      <c r="BZ19" s="13">
        <f>BY19*VLOOKUP('Données projet'!$B$12,Paramètres!$A$1:$I$89,3,0)*VLOOKUP('Données projet'!$B$12,Paramètres!$A$1:$I$89,5,0)</f>
        <v>56.273389714285692</v>
      </c>
      <c r="CA19" s="13">
        <f t="shared" si="39"/>
        <v>16.222577706752112</v>
      </c>
      <c r="CB19" s="20">
        <f t="shared" si="10"/>
        <v>126.26380992497417</v>
      </c>
      <c r="CC19" s="59">
        <f t="shared" si="11"/>
        <v>374.05344779363202</v>
      </c>
      <c r="CD19" s="59">
        <f ca="1">AVERAGE(OFFSET($CC$3,0,0,'Données projet'!$E$12+1,1))-AVERAGE(OFFSET($H$3,0,0,'Données projet'!$E$12+1,1))</f>
        <v>601.17090553269054</v>
      </c>
      <c r="CE19" s="59">
        <f t="shared" si="40"/>
        <v>279.37477930888042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62.24565881266426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3.8113157894736847</v>
      </c>
      <c r="CT19" s="12">
        <f>IF('Données projet'!$A$140&gt;35,CT18+CS19-DB18,IF(A19&lt;'Données projet'!$A$140,$CQ$205^A19,IF(A19='Données projet'!$A$140,'Données projet'!$B$140,CT18+CS19-DB18)))</f>
        <v>60.981052631578933</v>
      </c>
      <c r="CU19" s="17">
        <f>CT19*VLOOKUP('Données projet'!$B$13,Paramètres!$A$1:$I$89,3,0)*VLOOKUP('Données projet'!$B$13,Paramètres!$A$1:$I$89,5,0)</f>
        <v>58.029569684210514</v>
      </c>
      <c r="CV19" s="13">
        <f t="shared" si="41"/>
        <v>16.669118370475076</v>
      </c>
      <c r="CW19" s="20">
        <f t="shared" si="13"/>
        <v>130.1002150285774</v>
      </c>
      <c r="CX19" s="59">
        <f t="shared" si="14"/>
        <v>377.88985289723519</v>
      </c>
      <c r="CY19" s="59">
        <f ca="1">AVERAGE(OFFSET($CX$3,0,0,'Données projet'!$E$13+1,1))-AVERAGE(OFFSET($H$3,0,0,'Données projet'!$E$13+1,1))</f>
        <v>418.79317359649315</v>
      </c>
      <c r="CZ19" s="59">
        <f t="shared" si="42"/>
        <v>286.46514989661011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62.24565881266426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62.24565881266426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62.24565881266426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62.24565881266426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62.24565881266426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1.35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0.15116399999999999</v>
      </c>
      <c r="D20" s="11">
        <f t="shared" si="32"/>
        <v>8.6798585811320814E-2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4.9188690417117513</v>
      </c>
      <c r="H20" s="67">
        <f t="shared" si="1"/>
        <v>224.41111817028806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62.380179296154779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3.887142857142857</v>
      </c>
      <c r="N20" s="13">
        <f>IF('Données projet'!$A$36&gt;35,N19+M20-V19,IF(A20&lt;'Données projet'!$A$36,$K$205^A20,IF(A20='Données projet'!$A$36,'Données projet'!$B$36,N19+M20-V19)))</f>
        <v>66.081428571428546</v>
      </c>
      <c r="O20" s="13">
        <f>N20*VLOOKUP('Données projet'!$B$9,Paramètres!$A$1:$I$89,3,0)*VLOOKUP('Données projet'!$B$9,Paramètres!$A$1:$I$89,5,0)</f>
        <v>67.006568571428559</v>
      </c>
      <c r="P20" s="13">
        <f t="shared" si="33"/>
        <v>18.928202790452044</v>
      </c>
      <c r="Q20" s="20">
        <f t="shared" si="2"/>
        <v>149.66972678860873</v>
      </c>
      <c r="R20" s="59">
        <f t="shared" si="0"/>
        <v>399.17482865228737</v>
      </c>
      <c r="S20" s="59">
        <f ca="1">AVERAGE(OFFSET($R$3,0,0,'Données projet'!$E$9+1,1))-AVERAGE(OFFSET($H$3,0,0,'Données projet'!$E$9+1,1))</f>
        <v>665.7907881991157</v>
      </c>
      <c r="T20" s="59">
        <f t="shared" si="34"/>
        <v>306.76923535735227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62.380179296154779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9.9228571428571435</v>
      </c>
      <c r="AI20" s="13">
        <f>IF('Données projet'!$A$62&gt;35,AI19+AH20-AQ19,IF(A20&lt;'Données projet'!$A$62,$AF$205^A20,IF(A20='Données projet'!$A$62,'Données projet'!$B$62,AI19+AH20-AQ19)))</f>
        <v>168.68857142857141</v>
      </c>
      <c r="AJ20" s="13">
        <f>AI20*VLOOKUP('Données projet'!$B$10,Paramètres!$A$1:$I$89,3,0)*VLOOKUP('Données projet'!$B$10,Paramètres!$A$1:$I$89,5,0)</f>
        <v>78.946251428571415</v>
      </c>
      <c r="AK20" s="13">
        <f t="shared" si="35"/>
        <v>21.879338637143992</v>
      </c>
      <c r="AL20" s="20">
        <f t="shared" si="4"/>
        <v>175.60456936445431</v>
      </c>
      <c r="AM20" s="59">
        <f t="shared" si="5"/>
        <v>425.10967122813292</v>
      </c>
      <c r="AN20" s="59">
        <f ca="1">AVERAGE(OFFSET($AM$3,0,0,'Données projet'!$E$10+1,1))-AVERAGE(OFFSET($H$3,0,0,'Données projet'!$E$10+1,1))</f>
        <v>370.42479501931444</v>
      </c>
      <c r="AO20" s="59">
        <f t="shared" si="36"/>
        <v>351.95632347830144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62.380179296154779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0.90124999999999988</v>
      </c>
      <c r="BD20" s="12">
        <f>IF('Données projet'!$A$88&gt;35,BD19+BC20-BL19,IF(A20&lt;'Données projet'!$A$88,$BA$205^A20,IF(A20='Données projet'!$A$88,'Données projet'!$B$88,BD19+BC20-BL19)))</f>
        <v>11.681375439468537</v>
      </c>
      <c r="BE20" s="13">
        <f>BD20*VLOOKUP('Données projet'!$B$11,Paramètres!$A$1:$I$89,3,0)*VLOOKUP('Données projet'!$B$11,Paramètres!$A$1:$I$89,5,0)</f>
        <v>10.204849583919716</v>
      </c>
      <c r="BF20" s="13">
        <f t="shared" si="37"/>
        <v>3.5886704901521593</v>
      </c>
      <c r="BG20" s="20">
        <f t="shared" si="7"/>
        <v>24.023714129008514</v>
      </c>
      <c r="BH20" s="59">
        <f t="shared" si="8"/>
        <v>273.52881599268716</v>
      </c>
      <c r="BI20" s="59">
        <f ca="1">AVERAGE(OFFSET($BH$3,0,0,'Données projet'!$E$11+1,1))-AVERAGE(OFFSET($H$3,0,0,'Données projet'!$E$11+1,1))</f>
        <v>128.92423054779167</v>
      </c>
      <c r="BJ20" s="59">
        <f t="shared" si="38"/>
        <v>127.5443711972687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62.380179296154779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3.887142857142857</v>
      </c>
      <c r="BY20" s="12">
        <f>IF('Données projet'!$A$114&gt;35,BY19+BX20-CG19,IF(A20&lt;'Données projet'!$A$114,$BV$205^A20,IF(A20='Données projet'!$A$114,'Données projet'!$B$114,BY19+BX20-CG19)))</f>
        <v>66.081428571428546</v>
      </c>
      <c r="BZ20" s="13">
        <f>BY20*VLOOKUP('Données projet'!$B$12,Paramètres!$A$1:$I$89,3,0)*VLOOKUP('Données projet'!$B$12,Paramètres!$A$1:$I$89,5,0)</f>
        <v>59.790476571428549</v>
      </c>
      <c r="CA20" s="13">
        <f t="shared" si="39"/>
        <v>17.115284135607041</v>
      </c>
      <c r="CB20" s="20">
        <f t="shared" si="10"/>
        <v>133.94419989808699</v>
      </c>
      <c r="CC20" s="59">
        <f t="shared" si="11"/>
        <v>383.44930176176564</v>
      </c>
      <c r="CD20" s="59">
        <f ca="1">AVERAGE(OFFSET($CC$3,0,0,'Données projet'!$E$12+1,1))-AVERAGE(OFFSET($H$3,0,0,'Données projet'!$E$12+1,1))</f>
        <v>601.17090553269054</v>
      </c>
      <c r="CE20" s="59">
        <f t="shared" si="40"/>
        <v>279.37477930888042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62.380179296154779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3.8113157894736847</v>
      </c>
      <c r="CT20" s="12">
        <f>IF('Données projet'!$A$140&gt;35,CT19+CS20-DB19,IF(A20&lt;'Données projet'!$A$140,$CQ$205^A20,IF(A20='Données projet'!$A$140,'Données projet'!$B$140,CT19+CS20-DB19)))</f>
        <v>64.792368421052615</v>
      </c>
      <c r="CU20" s="17">
        <f>CT20*VLOOKUP('Données projet'!$B$13,Paramètres!$A$1:$I$89,3,0)*VLOOKUP('Données projet'!$B$13,Paramètres!$A$1:$I$89,5,0)</f>
        <v>61.656417789473664</v>
      </c>
      <c r="CV20" s="13">
        <f t="shared" si="41"/>
        <v>17.586397325870266</v>
      </c>
      <c r="CW20" s="20">
        <f t="shared" si="13"/>
        <v>138.01456965922401</v>
      </c>
      <c r="CX20" s="59">
        <f t="shared" si="14"/>
        <v>387.51967152290263</v>
      </c>
      <c r="CY20" s="59">
        <f ca="1">AVERAGE(OFFSET($CX$3,0,0,'Données projet'!$E$13+1,1))-AVERAGE(OFFSET($H$3,0,0,'Données projet'!$E$13+1,1))</f>
        <v>418.79317359649315</v>
      </c>
      <c r="CZ20" s="59">
        <f t="shared" si="42"/>
        <v>286.46514989661011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62.380179296154779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62.380179296154779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62.380179296154779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62.380179296154779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62.380179296154779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1.35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0.160056</v>
      </c>
      <c r="D21" s="11">
        <f t="shared" si="32"/>
        <v>9.1294952701675772E-2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4.9199025296822345</v>
      </c>
      <c r="H21" s="67">
        <f t="shared" si="1"/>
        <v>224.4344362426221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62.51236614999948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3.887142857142857</v>
      </c>
      <c r="N21" s="13">
        <f>IF('Données projet'!$A$36&gt;35,N20+M21-V20,IF(A21&lt;'Données projet'!$A$36,$K$205^A21,IF(A21='Données projet'!$A$36,'Données projet'!$B$36,N20+M21-V20)))</f>
        <v>69.968571428571408</v>
      </c>
      <c r="O21" s="13">
        <f>N21*VLOOKUP('Données projet'!$B$9,Paramètres!$A$1:$I$89,3,0)*VLOOKUP('Données projet'!$B$9,Paramètres!$A$1:$I$89,5,0)</f>
        <v>70.948131428571415</v>
      </c>
      <c r="P21" s="13">
        <f t="shared" si="33"/>
        <v>19.908727340770373</v>
      </c>
      <c r="Q21" s="20">
        <f t="shared" si="2"/>
        <v>158.24236235660359</v>
      </c>
      <c r="R21" s="59">
        <f t="shared" si="0"/>
        <v>409.45437157326836</v>
      </c>
      <c r="S21" s="59">
        <f ca="1">AVERAGE(OFFSET($R$3,0,0,'Données projet'!$E$9+1,1))-AVERAGE(OFFSET($H$3,0,0,'Données projet'!$E$9+1,1))</f>
        <v>665.7907881991157</v>
      </c>
      <c r="T21" s="59">
        <f t="shared" si="34"/>
        <v>306.76923535735227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62.51236614999948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9.9228571428571435</v>
      </c>
      <c r="AI21" s="13">
        <f>IF('Données projet'!$A$62&gt;35,AI20+AH21-AQ20,IF(A21&lt;'Données projet'!$A$62,$AF$205^A21,IF(A21='Données projet'!$A$62,'Données projet'!$B$62,AI20+AH21-AQ20)))</f>
        <v>178.61142857142855</v>
      </c>
      <c r="AJ21" s="13">
        <f>AI21*VLOOKUP('Données projet'!$B$10,Paramètres!$A$1:$I$89,3,0)*VLOOKUP('Données projet'!$B$10,Paramètres!$A$1:$I$89,5,0)</f>
        <v>83.590148571428557</v>
      </c>
      <c r="AK21" s="13">
        <f t="shared" si="35"/>
        <v>23.012738829225075</v>
      </c>
      <c r="AL21" s="20">
        <f t="shared" si="4"/>
        <v>185.66669555613839</v>
      </c>
      <c r="AM21" s="59">
        <f t="shared" si="5"/>
        <v>436.87870477280319</v>
      </c>
      <c r="AN21" s="59">
        <f ca="1">AVERAGE(OFFSET($AM$3,0,0,'Données projet'!$E$10+1,1))-AVERAGE(OFFSET($H$3,0,0,'Données projet'!$E$10+1,1))</f>
        <v>370.42479501931444</v>
      </c>
      <c r="AO21" s="59">
        <f t="shared" si="36"/>
        <v>351.95632347830144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62.51236614999948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0.90124999999999988</v>
      </c>
      <c r="BD21" s="12">
        <f>IF('Données projet'!$A$88&gt;35,BD20+BC21-BL20,IF(A21&lt;'Données projet'!$A$88,$BA$205^A21,IF(A21='Données projet'!$A$88,'Données projet'!$B$88,BD20+BC21-BL20)))</f>
        <v>13.49856947282686</v>
      </c>
      <c r="BE21" s="13">
        <f>BD21*VLOOKUP('Données projet'!$B$11,Paramètres!$A$1:$I$89,3,0)*VLOOKUP('Données projet'!$B$11,Paramètres!$A$1:$I$89,5,0)</f>
        <v>11.792350291461547</v>
      </c>
      <c r="BF21" s="13">
        <f t="shared" si="37"/>
        <v>4.0777270586186791</v>
      </c>
      <c r="BG21" s="20">
        <f t="shared" si="7"/>
        <v>27.640384718056396</v>
      </c>
      <c r="BH21" s="59">
        <f t="shared" si="8"/>
        <v>278.85239393472114</v>
      </c>
      <c r="BI21" s="59">
        <f ca="1">AVERAGE(OFFSET($BH$3,0,0,'Données projet'!$E$11+1,1))-AVERAGE(OFFSET($H$3,0,0,'Données projet'!$E$11+1,1))</f>
        <v>128.92423054779167</v>
      </c>
      <c r="BJ21" s="59">
        <f t="shared" si="38"/>
        <v>127.5443711972687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62.51236614999948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3.887142857142857</v>
      </c>
      <c r="BY21" s="12">
        <f>IF('Données projet'!$A$114&gt;35,BY20+BX21-CG20,IF(A21&lt;'Données projet'!$A$114,$BV$205^A21,IF(A21='Données projet'!$A$114,'Données projet'!$B$114,BY20+BX21-CG20)))</f>
        <v>69.968571428571408</v>
      </c>
      <c r="BZ21" s="13">
        <f>BY21*VLOOKUP('Données projet'!$B$12,Paramètres!$A$1:$I$89,3,0)*VLOOKUP('Données projet'!$B$12,Paramètres!$A$1:$I$89,5,0)</f>
        <v>63.307563428571406</v>
      </c>
      <c r="CA21" s="13">
        <f t="shared" si="39"/>
        <v>18.001895319269028</v>
      </c>
      <c r="CB21" s="20">
        <f t="shared" si="10"/>
        <v>141.61397398582207</v>
      </c>
      <c r="CC21" s="59">
        <f t="shared" si="11"/>
        <v>392.82598320248684</v>
      </c>
      <c r="CD21" s="59">
        <f ca="1">AVERAGE(OFFSET($CC$3,0,0,'Données projet'!$E$12+1,1))-AVERAGE(OFFSET($H$3,0,0,'Données projet'!$E$12+1,1))</f>
        <v>601.17090553269054</v>
      </c>
      <c r="CE21" s="59">
        <f t="shared" si="40"/>
        <v>279.37477930888042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62.51236614999948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3.8113157894736847</v>
      </c>
      <c r="CT21" s="12">
        <f>IF('Données projet'!$A$140&gt;35,CT20+CS21-DB20,IF(A21&lt;'Données projet'!$A$140,$CQ$205^A21,IF(A21='Données projet'!$A$140,'Données projet'!$B$140,CT20+CS21-DB20)))</f>
        <v>68.603684210526296</v>
      </c>
      <c r="CU21" s="17">
        <f>CT21*VLOOKUP('Données projet'!$B$13,Paramètres!$A$1:$I$89,3,0)*VLOOKUP('Données projet'!$B$13,Paramètres!$A$1:$I$89,5,0)</f>
        <v>65.283265894736829</v>
      </c>
      <c r="CV21" s="13">
        <f t="shared" si="41"/>
        <v>18.497413259108615</v>
      </c>
      <c r="CW21" s="20">
        <f t="shared" si="13"/>
        <v>145.91801619294748</v>
      </c>
      <c r="CX21" s="59">
        <f t="shared" si="14"/>
        <v>397.13002540961224</v>
      </c>
      <c r="CY21" s="59">
        <f ca="1">AVERAGE(OFFSET($CX$3,0,0,'Données projet'!$E$13+1,1))-AVERAGE(OFFSET($H$3,0,0,'Données projet'!$E$13+1,1))</f>
        <v>418.79317359649315</v>
      </c>
      <c r="CZ21" s="59">
        <f t="shared" si="42"/>
        <v>286.46514989661011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62.51236614999948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62.51236614999948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62.51236614999948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62.51236614999948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62.51236614999948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1.35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0.16894800000000001</v>
      </c>
      <c r="D22" s="11">
        <f t="shared" si="32"/>
        <v>9.5762321151989488E-2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4.9209337791766448</v>
      </c>
      <c r="H22" s="67">
        <f t="shared" si="1"/>
        <v>224.45770380933971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62.642259857455507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3.887142857142857</v>
      </c>
      <c r="N22" s="13">
        <f>IF('Données projet'!$A$36&gt;35,N21+M22-V21,IF(A22&lt;'Données projet'!$A$36,$K$205^A22,IF(A22='Données projet'!$A$36,'Données projet'!$B$36,N21+M22-V21)))</f>
        <v>73.855714285714271</v>
      </c>
      <c r="O22" s="13">
        <f>N22*VLOOKUP('Données projet'!$B$9,Paramètres!$A$1:$I$89,3,0)*VLOOKUP('Données projet'!$B$9,Paramètres!$A$1:$I$89,5,0)</f>
        <v>74.889694285714285</v>
      </c>
      <c r="P22" s="13">
        <f t="shared" si="33"/>
        <v>20.882928189514811</v>
      </c>
      <c r="Q22" s="20">
        <f t="shared" si="2"/>
        <v>166.80398414435732</v>
      </c>
      <c r="R22" s="59">
        <f t="shared" si="0"/>
        <v>419.71449251058306</v>
      </c>
      <c r="S22" s="59">
        <f ca="1">AVERAGE(OFFSET($R$3,0,0,'Données projet'!$E$9+1,1))-AVERAGE(OFFSET($H$3,0,0,'Données projet'!$E$9+1,1))</f>
        <v>665.7907881991157</v>
      </c>
      <c r="T22" s="59">
        <f t="shared" si="34"/>
        <v>306.76923535735227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62.642259857455507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9.9228571428571435</v>
      </c>
      <c r="AI22" s="13">
        <f>IF('Données projet'!$A$62&gt;35,AI21+AH22-AQ21,IF(A22&lt;'Données projet'!$A$62,$AF$205^A22,IF(A22='Données projet'!$A$62,'Données projet'!$B$62,AI21+AH22-AQ21)))</f>
        <v>188.53428571428569</v>
      </c>
      <c r="AJ22" s="13">
        <f>AI22*VLOOKUP('Données projet'!$B$10,Paramètres!$A$1:$I$89,3,0)*VLOOKUP('Données projet'!$B$10,Paramètres!$A$1:$I$89,5,0)</f>
        <v>88.234045714285699</v>
      </c>
      <c r="AK22" s="13">
        <f t="shared" si="35"/>
        <v>24.138829378139974</v>
      </c>
      <c r="AL22" s="20">
        <f t="shared" si="4"/>
        <v>195.71609078597473</v>
      </c>
      <c r="AM22" s="59">
        <f t="shared" si="5"/>
        <v>448.62659915220047</v>
      </c>
      <c r="AN22" s="59">
        <f ca="1">AVERAGE(OFFSET($AM$3,0,0,'Données projet'!$E$10+1,1))-AVERAGE(OFFSET($H$3,0,0,'Données projet'!$E$10+1,1))</f>
        <v>370.42479501931444</v>
      </c>
      <c r="AO22" s="59">
        <f t="shared" si="36"/>
        <v>351.95632347830144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62.642259857455507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0.90124999999999988</v>
      </c>
      <c r="BD22" s="12">
        <f>IF('Données projet'!$A$88&gt;35,BD21+BC22-BL21,IF(A22&lt;'Données projet'!$A$88,$BA$205^A22,IF(A22='Données projet'!$A$88,'Données projet'!$B$88,BD21+BC22-BL21)))</f>
        <v>15.598452318986778</v>
      </c>
      <c r="BE22" s="13">
        <f>BD22*VLOOKUP('Données projet'!$B$11,Paramètres!$A$1:$I$89,3,0)*VLOOKUP('Données projet'!$B$11,Paramètres!$A$1:$I$89,5,0)</f>
        <v>13.626807945866853</v>
      </c>
      <c r="BF22" s="13">
        <f t="shared" si="37"/>
        <v>4.6334312415197285</v>
      </c>
      <c r="BG22" s="20">
        <f t="shared" si="7"/>
        <v>31.803249918031625</v>
      </c>
      <c r="BH22" s="59">
        <f t="shared" si="8"/>
        <v>284.71375828425738</v>
      </c>
      <c r="BI22" s="59">
        <f ca="1">AVERAGE(OFFSET($BH$3,0,0,'Données projet'!$E$11+1,1))-AVERAGE(OFFSET($H$3,0,0,'Données projet'!$E$11+1,1))</f>
        <v>128.92423054779167</v>
      </c>
      <c r="BJ22" s="59">
        <f t="shared" si="38"/>
        <v>127.5443711972687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62.642259857455507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3.887142857142857</v>
      </c>
      <c r="BY22" s="12">
        <f>IF('Données projet'!$A$114&gt;35,BY21+BX22-CG21,IF(A22&lt;'Données projet'!$A$114,$BV$205^A22,IF(A22='Données projet'!$A$114,'Données projet'!$B$114,BY21+BX22-CG21)))</f>
        <v>73.855714285714271</v>
      </c>
      <c r="BZ22" s="13">
        <f>BY22*VLOOKUP('Données projet'!$B$12,Paramètres!$A$1:$I$89,3,0)*VLOOKUP('Données projet'!$B$12,Paramètres!$A$1:$I$89,5,0)</f>
        <v>66.82465028571427</v>
      </c>
      <c r="CA22" s="13">
        <f t="shared" si="39"/>
        <v>18.882788477272459</v>
      </c>
      <c r="CB22" s="20">
        <f t="shared" si="10"/>
        <v>149.27378917886855</v>
      </c>
      <c r="CC22" s="59">
        <f t="shared" si="11"/>
        <v>402.1842975450943</v>
      </c>
      <c r="CD22" s="59">
        <f ca="1">AVERAGE(OFFSET($CC$3,0,0,'Données projet'!$E$12+1,1))-AVERAGE(OFFSET($H$3,0,0,'Données projet'!$E$12+1,1))</f>
        <v>601.17090553269054</v>
      </c>
      <c r="CE22" s="59">
        <f t="shared" si="40"/>
        <v>279.37477930888042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62.642259857455507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3.8113157894736847</v>
      </c>
      <c r="CT22" s="12">
        <f>IF('Données projet'!$A$140&gt;35,CT21+CS22-DB21,IF(A22&lt;'Données projet'!$A$140,$CQ$205^A22,IF(A22='Données projet'!$A$140,'Données projet'!$B$140,CT21+CS22-DB21)))</f>
        <v>72.414999999999978</v>
      </c>
      <c r="CU22" s="17">
        <f>CT22*VLOOKUP('Données projet'!$B$13,Paramètres!$A$1:$I$89,3,0)*VLOOKUP('Données projet'!$B$13,Paramètres!$A$1:$I$89,5,0)</f>
        <v>68.910113999999979</v>
      </c>
      <c r="CV22" s="13">
        <f t="shared" si="41"/>
        <v>19.402553773022696</v>
      </c>
      <c r="CW22" s="20">
        <f t="shared" si="13"/>
        <v>153.81122970468115</v>
      </c>
      <c r="CX22" s="59">
        <f t="shared" si="14"/>
        <v>406.72173807090689</v>
      </c>
      <c r="CY22" s="59">
        <f ca="1">AVERAGE(OFFSET($CX$3,0,0,'Données projet'!$E$13+1,1))-AVERAGE(OFFSET($H$3,0,0,'Données projet'!$E$13+1,1))</f>
        <v>418.79317359649315</v>
      </c>
      <c r="CZ22" s="59">
        <f t="shared" si="42"/>
        <v>286.46514989661011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62.642259857455507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62.642259857455507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62.642259857455507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62.642259857455507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62.642259857455507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1.35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0.17784000000000003</v>
      </c>
      <c r="D23" s="11">
        <f t="shared" si="32"/>
        <v>0.10020239145091038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4.9219629214453331</v>
      </c>
      <c r="H23" s="67">
        <f t="shared" si="1"/>
        <v>224.48092383177701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62.769900199486003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3.887142857142857</v>
      </c>
      <c r="N23" s="13">
        <f>IF('Données projet'!$A$36&gt;35,N22+M23-V22,IF(A23&lt;'Données projet'!$A$36,$K$205^A23,IF(A23='Données projet'!$A$36,'Données projet'!$B$36,N22+M23-V22)))</f>
        <v>77.742857142857133</v>
      </c>
      <c r="O23" s="13">
        <f>N23*VLOOKUP('Données projet'!$B$9,Paramètres!$A$1:$I$89,3,0)*VLOOKUP('Données projet'!$B$9,Paramètres!$A$1:$I$89,5,0)</f>
        <v>78.83125714285714</v>
      </c>
      <c r="P23" s="13">
        <f t="shared" si="33"/>
        <v>21.851176119320101</v>
      </c>
      <c r="Q23" s="20">
        <f t="shared" si="2"/>
        <v>175.35523793162534</v>
      </c>
      <c r="R23" s="59">
        <f t="shared" si="0"/>
        <v>429.95598310751848</v>
      </c>
      <c r="S23" s="59">
        <f ca="1">AVERAGE(OFFSET($R$3,0,0,'Données projet'!$E$9+1,1))-AVERAGE(OFFSET($H$3,0,0,'Données projet'!$E$9+1,1))</f>
        <v>665.7907881991157</v>
      </c>
      <c r="T23" s="59">
        <f t="shared" si="34"/>
        <v>306.76923535735227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62.769900199486003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9.9228571428571435</v>
      </c>
      <c r="AI23" s="13">
        <f>IF('Données projet'!$A$62&gt;35,AI22+AH23-AQ22,IF(A23&lt;'Données projet'!$A$62,$AF$205^A23,IF(A23='Données projet'!$A$62,'Données projet'!$B$62,AI22+AH23-AQ22)))</f>
        <v>198.45714285714283</v>
      </c>
      <c r="AJ23" s="13">
        <f>AI23*VLOOKUP('Données projet'!$B$10,Paramètres!$A$1:$I$89,3,0)*VLOOKUP('Données projet'!$B$10,Paramètres!$A$1:$I$89,5,0)</f>
        <v>92.877942857142855</v>
      </c>
      <c r="AK23" s="13">
        <f t="shared" si="35"/>
        <v>25.258038876022667</v>
      </c>
      <c r="AL23" s="20">
        <f t="shared" si="4"/>
        <v>205.75350151859661</v>
      </c>
      <c r="AM23" s="59">
        <f t="shared" si="5"/>
        <v>460.35424669448975</v>
      </c>
      <c r="AN23" s="59">
        <f ca="1">AVERAGE(OFFSET($AM$3,0,0,'Données projet'!$E$10+1,1))-AVERAGE(OFFSET($H$3,0,0,'Données projet'!$E$10+1,1))</f>
        <v>370.42479501931444</v>
      </c>
      <c r="AO23" s="59">
        <f t="shared" si="36"/>
        <v>351.95632347830144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62.769900199486003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18.024999999999999</v>
      </c>
      <c r="BB23" s="12">
        <f>VLOOKUP(A23,'Données projet'!$A$87:$I$107,9,0)</f>
        <v>0.90124999999999988</v>
      </c>
      <c r="BC23" s="12">
        <f t="array" ref="BC23">INDEX(BB:BB,MIN(IF(ISNUMBER(BB23:BB219),ROW(BB23:BB219),"")))</f>
        <v>0.90124999999999988</v>
      </c>
      <c r="BD23" s="12">
        <f>IF('Données projet'!$A$88&gt;35,BD22+BC23-BL22,IF(A23&lt;'Données projet'!$A$88,$BA$205^A23,IF(A23='Données projet'!$A$88,'Données projet'!$B$88,BD22+BC23-BL22)))</f>
        <v>18.024999999999999</v>
      </c>
      <c r="BE23" s="13">
        <f>BD23*VLOOKUP('Données projet'!$B$11,Paramètres!$A$1:$I$89,3,0)*VLOOKUP('Données projet'!$B$11,Paramètres!$A$1:$I$89,5,0)</f>
        <v>15.746639999999999</v>
      </c>
      <c r="BF23" s="13">
        <f t="shared" si="37"/>
        <v>5.2648656374670475</v>
      </c>
      <c r="BG23" s="20">
        <f t="shared" si="7"/>
        <v>36.595038985255101</v>
      </c>
      <c r="BH23" s="59">
        <f t="shared" si="8"/>
        <v>291.19578416114825</v>
      </c>
      <c r="BI23" s="59">
        <f ca="1">AVERAGE(OFFSET($BH$3,0,0,'Données projet'!$E$11+1,1))-AVERAGE(OFFSET($H$3,0,0,'Données projet'!$E$11+1,1))</f>
        <v>128.92423054779167</v>
      </c>
      <c r="BJ23" s="59">
        <f t="shared" si="38"/>
        <v>127.5443711972687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6.4889999999999999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62.769900199486003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3.887142857142857</v>
      </c>
      <c r="BY23" s="12">
        <f>IF('Données projet'!$A$114&gt;35,BY22+BX23-CG22,IF(A23&lt;'Données projet'!$A$114,$BV$205^A23,IF(A23='Données projet'!$A$114,'Données projet'!$B$114,BY22+BX23-CG22)))</f>
        <v>77.742857142857133</v>
      </c>
      <c r="BZ23" s="13">
        <f>BY23*VLOOKUP('Données projet'!$B$12,Paramètres!$A$1:$I$89,3,0)*VLOOKUP('Données projet'!$B$12,Paramètres!$A$1:$I$89,5,0)</f>
        <v>70.341737142857127</v>
      </c>
      <c r="CA23" s="13">
        <f t="shared" si="39"/>
        <v>19.758298879173367</v>
      </c>
      <c r="CB23" s="20">
        <f t="shared" si="10"/>
        <v>156.92422940503644</v>
      </c>
      <c r="CC23" s="59">
        <f t="shared" si="11"/>
        <v>411.52497458092955</v>
      </c>
      <c r="CD23" s="59">
        <f ca="1">AVERAGE(OFFSET($CC$3,0,0,'Données projet'!$E$12+1,1))-AVERAGE(OFFSET($H$3,0,0,'Données projet'!$E$12+1,1))</f>
        <v>601.17090553269054</v>
      </c>
      <c r="CE23" s="59">
        <f t="shared" si="40"/>
        <v>279.37477930888042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62.769900199486003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3.8113157894736847</v>
      </c>
      <c r="CT23" s="12">
        <f>IF('Données projet'!$A$140&gt;35,CT22+CS23-DB22,IF(A23&lt;'Données projet'!$A$140,$CQ$205^A23,IF(A23='Données projet'!$A$140,'Données projet'!$B$140,CT22+CS23-DB22)))</f>
        <v>76.226315789473659</v>
      </c>
      <c r="CU23" s="17">
        <f>CT23*VLOOKUP('Données projet'!$B$13,Paramètres!$A$1:$I$89,3,0)*VLOOKUP('Données projet'!$B$13,Paramètres!$A$1:$I$89,5,0)</f>
        <v>72.536962105263129</v>
      </c>
      <c r="CV23" s="13">
        <f t="shared" si="41"/>
        <v>20.302163365756808</v>
      </c>
      <c r="CW23" s="20">
        <f t="shared" si="13"/>
        <v>161.69481019535974</v>
      </c>
      <c r="CX23" s="59">
        <f t="shared" si="14"/>
        <v>416.29555537125287</v>
      </c>
      <c r="CY23" s="59">
        <f ca="1">AVERAGE(OFFSET($CX$3,0,0,'Données projet'!$E$13+1,1))-AVERAGE(OFFSET($H$3,0,0,'Données projet'!$E$13+1,1))</f>
        <v>418.79317359649315</v>
      </c>
      <c r="CZ23" s="59">
        <f t="shared" si="42"/>
        <v>286.46514989661011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62.769900199486003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62.769900199486003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62.769900199486003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62.769900199486003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62.769900199486003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1.35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0.18673200000000004</v>
      </c>
      <c r="D24" s="11">
        <f t="shared" si="32"/>
        <v>0.10461668425337732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4.9229900738721906</v>
      </c>
      <c r="H24" s="67">
        <f t="shared" si="1"/>
        <v>224.50409895840798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62.895326266943322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3.887142857142857</v>
      </c>
      <c r="N24" s="13">
        <f>IF('Données projet'!$A$36&gt;35,N23+M24-V23,IF(A24&lt;'Données projet'!$A$36,$K$205^A24,IF(A24='Données projet'!$A$36,'Données projet'!$B$36,N23+M24-V23)))</f>
        <v>81.63</v>
      </c>
      <c r="O24" s="13">
        <f>N24*VLOOKUP('Données projet'!$B$9,Paramètres!$A$1:$I$89,3,0)*VLOOKUP('Données projet'!$B$9,Paramètres!$A$1:$I$89,5,0)</f>
        <v>82.772819999999996</v>
      </c>
      <c r="P24" s="13">
        <f t="shared" si="33"/>
        <v>22.813802740025121</v>
      </c>
      <c r="Q24" s="20">
        <f t="shared" si="2"/>
        <v>183.89670127221041</v>
      </c>
      <c r="R24" s="59">
        <f t="shared" si="0"/>
        <v>440.1795642510026</v>
      </c>
      <c r="S24" s="59">
        <f ca="1">AVERAGE(OFFSET($R$3,0,0,'Données projet'!$E$9+1,1))-AVERAGE(OFFSET($H$3,0,0,'Données projet'!$E$9+1,1))</f>
        <v>665.7907881991157</v>
      </c>
      <c r="T24" s="59">
        <f t="shared" si="34"/>
        <v>306.76923535735227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62.895326266943322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9.9228571428571435</v>
      </c>
      <c r="AI24" s="13">
        <f>IF('Données projet'!$A$62&gt;35,AI23+AH24-AQ23,IF(A24&lt;'Données projet'!$A$62,$AF$205^A24,IF(A24='Données projet'!$A$62,'Données projet'!$B$62,AI23+AH24-AQ23)))</f>
        <v>208.37999999999997</v>
      </c>
      <c r="AJ24" s="13">
        <f>AI24*VLOOKUP('Données projet'!$B$10,Paramètres!$A$1:$I$89,3,0)*VLOOKUP('Données projet'!$B$10,Paramètres!$A$1:$I$89,5,0)</f>
        <v>97.521839999999983</v>
      </c>
      <c r="AK24" s="13">
        <f t="shared" si="35"/>
        <v>26.370750634698393</v>
      </c>
      <c r="AL24" s="20">
        <f t="shared" si="4"/>
        <v>215.779595355433</v>
      </c>
      <c r="AM24" s="59">
        <f t="shared" si="5"/>
        <v>472.0624583342252</v>
      </c>
      <c r="AN24" s="59">
        <f ca="1">AVERAGE(OFFSET($AM$3,0,0,'Données projet'!$E$10+1,1))-AVERAGE(OFFSET($H$3,0,0,'Données projet'!$E$10+1,1))</f>
        <v>370.42479501931444</v>
      </c>
      <c r="AO24" s="59">
        <f t="shared" si="36"/>
        <v>351.95632347830144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62.895326266943322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3.78525</v>
      </c>
      <c r="BD24" s="12">
        <f>IF('Données projet'!$A$88&gt;35,BD23+BC24-BL23,IF(A24&lt;'Données projet'!$A$88,$BA$205^A24,IF(A24='Données projet'!$A$88,'Données projet'!$B$88,BD23+BC24-BL23)))</f>
        <v>15.321249999999999</v>
      </c>
      <c r="BE24" s="13">
        <f>BD24*VLOOKUP('Données projet'!$B$11,Paramètres!$A$1:$I$89,3,0)*VLOOKUP('Données projet'!$B$11,Paramètres!$A$1:$I$89,5,0)</f>
        <v>13.384644000000002</v>
      </c>
      <c r="BF24" s="13">
        <f t="shared" si="37"/>
        <v>4.5605986563966985</v>
      </c>
      <c r="BG24" s="20">
        <f t="shared" si="7"/>
        <v>31.254630959890918</v>
      </c>
      <c r="BH24" s="59">
        <f t="shared" si="8"/>
        <v>287.5374939386831</v>
      </c>
      <c r="BI24" s="59">
        <f ca="1">AVERAGE(OFFSET($BH$3,0,0,'Données projet'!$E$11+1,1))-AVERAGE(OFFSET($H$3,0,0,'Données projet'!$E$11+1,1))</f>
        <v>128.92423054779167</v>
      </c>
      <c r="BJ24" s="59">
        <f t="shared" si="38"/>
        <v>127.5443711972687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62.895326266943322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3.887142857142857</v>
      </c>
      <c r="BY24" s="12">
        <f>IF('Données projet'!$A$114&gt;35,BY23+BX24-CG23,IF(A24&lt;'Données projet'!$A$114,$BV$205^A24,IF(A24='Données projet'!$A$114,'Données projet'!$B$114,BY23+BX24-CG23)))</f>
        <v>81.63</v>
      </c>
      <c r="BZ24" s="13">
        <f>BY24*VLOOKUP('Données projet'!$B$12,Paramètres!$A$1:$I$89,3,0)*VLOOKUP('Données projet'!$B$12,Paramètres!$A$1:$I$89,5,0)</f>
        <v>73.858823999999984</v>
      </c>
      <c r="CA24" s="13">
        <f t="shared" si="39"/>
        <v>20.628726373651425</v>
      </c>
      <c r="CB24" s="20">
        <f t="shared" si="10"/>
        <v>164.56581690077618</v>
      </c>
      <c r="CC24" s="59">
        <f t="shared" si="11"/>
        <v>420.84867987956841</v>
      </c>
      <c r="CD24" s="59">
        <f ca="1">AVERAGE(OFFSET($CC$3,0,0,'Données projet'!$E$12+1,1))-AVERAGE(OFFSET($H$3,0,0,'Données projet'!$E$12+1,1))</f>
        <v>601.17090553269054</v>
      </c>
      <c r="CE24" s="59">
        <f t="shared" si="40"/>
        <v>279.37477930888042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62.895326266943322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3.8113157894736847</v>
      </c>
      <c r="CT24" s="12">
        <f>IF('Données projet'!$A$140&gt;35,CT23+CS24-DB23,IF(A24&lt;'Données projet'!$A$140,$CQ$205^A24,IF(A24='Données projet'!$A$140,'Données projet'!$B$140,CT23+CS24-DB23)))</f>
        <v>80.037631578947341</v>
      </c>
      <c r="CU24" s="17">
        <f>CT24*VLOOKUP('Données projet'!$B$13,Paramètres!$A$1:$I$89,3,0)*VLOOKUP('Données projet'!$B$13,Paramètres!$A$1:$I$89,5,0)</f>
        <v>76.163810210526293</v>
      </c>
      <c r="CV24" s="13">
        <f t="shared" si="41"/>
        <v>21.196550139588165</v>
      </c>
      <c r="CW24" s="20">
        <f t="shared" si="13"/>
        <v>169.56929427644934</v>
      </c>
      <c r="CX24" s="59">
        <f t="shared" si="14"/>
        <v>425.85215725524154</v>
      </c>
      <c r="CY24" s="59">
        <f ca="1">AVERAGE(OFFSET($CX$3,0,0,'Données projet'!$E$13+1,1))-AVERAGE(OFFSET($H$3,0,0,'Données projet'!$E$13+1,1))</f>
        <v>418.79317359649315</v>
      </c>
      <c r="CZ24" s="59">
        <f t="shared" si="42"/>
        <v>286.46514989661011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62.895326266943322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62.895326266943322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62.895326266943322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62.895326266943322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62.895326266943322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1.35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0.19562400000000005</v>
      </c>
      <c r="D25" s="11">
        <f t="shared" si="32"/>
        <v>0.10900656720666189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4.9240153420299881</v>
      </c>
      <c r="H25" s="67">
        <f t="shared" si="1"/>
        <v>224.52723157121827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63.018576472540929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3.887142857142857</v>
      </c>
      <c r="N25" s="13">
        <f>IF('Données projet'!$A$36&gt;35,N24+M25-V24,IF(A25&lt;'Données projet'!$A$36,$K$205^A25,IF(A25='Données projet'!$A$36,'Données projet'!$B$36,N24+M25-V24)))</f>
        <v>85.517142857142858</v>
      </c>
      <c r="O25" s="13">
        <f>N25*VLOOKUP('Données projet'!$B$9,Paramètres!$A$1:$I$89,3,0)*VLOOKUP('Données projet'!$B$9,Paramètres!$A$1:$I$89,5,0)</f>
        <v>86.714382857142866</v>
      </c>
      <c r="P25" s="13">
        <f t="shared" si="33"/>
        <v>23.771106295024762</v>
      </c>
      <c r="Q25" s="20">
        <f t="shared" si="2"/>
        <v>192.42889360669196</v>
      </c>
      <c r="R25" s="59">
        <f t="shared" si="0"/>
        <v>450.38589622823088</v>
      </c>
      <c r="S25" s="59">
        <f ca="1">AVERAGE(OFFSET($R$3,0,0,'Données projet'!$E$9+1,1))-AVERAGE(OFFSET($H$3,0,0,'Données projet'!$E$9+1,1))</f>
        <v>665.7907881991157</v>
      </c>
      <c r="T25" s="59">
        <f t="shared" si="34"/>
        <v>306.76923535735227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63.018576472540929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9.9228571428571435</v>
      </c>
      <c r="AI25" s="13">
        <f>IF('Données projet'!$A$62&gt;35,AI24+AH25-AQ24,IF(A25&lt;'Données projet'!$A$62,$AF$205^A25,IF(A25='Données projet'!$A$62,'Données projet'!$B$62,AI24+AH25-AQ24)))</f>
        <v>218.30285714285711</v>
      </c>
      <c r="AJ25" s="13">
        <f>AI25*VLOOKUP('Données projet'!$B$10,Paramètres!$A$1:$I$89,3,0)*VLOOKUP('Données projet'!$B$10,Paramètres!$A$1:$I$89,5,0)</f>
        <v>102.16573714285713</v>
      </c>
      <c r="AK25" s="13">
        <f t="shared" si="35"/>
        <v>27.477309397316059</v>
      </c>
      <c r="AL25" s="20">
        <f t="shared" si="4"/>
        <v>225.79497272413494</v>
      </c>
      <c r="AM25" s="59">
        <f t="shared" si="5"/>
        <v>483.75197534567388</v>
      </c>
      <c r="AN25" s="59">
        <f ca="1">AVERAGE(OFFSET($AM$3,0,0,'Données projet'!$E$10+1,1))-AVERAGE(OFFSET($H$3,0,0,'Données projet'!$E$10+1,1))</f>
        <v>370.42479501931444</v>
      </c>
      <c r="AO25" s="59">
        <f t="shared" si="36"/>
        <v>351.95632347830144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63.018576472540929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3.78525</v>
      </c>
      <c r="BD25" s="12">
        <f>IF('Données projet'!$A$88&gt;35,BD24+BC25-BL24,IF(A25&lt;'Données projet'!$A$88,$BA$205^A25,IF(A25='Données projet'!$A$88,'Données projet'!$B$88,BD24+BC25-BL24)))</f>
        <v>19.1065</v>
      </c>
      <c r="BE25" s="13">
        <f>BD25*VLOOKUP('Données projet'!$B$11,Paramètres!$A$1:$I$89,3,0)*VLOOKUP('Données projet'!$B$11,Paramètres!$A$1:$I$89,5,0)</f>
        <v>16.691438400000003</v>
      </c>
      <c r="BF25" s="13">
        <f t="shared" si="37"/>
        <v>5.5430341565795223</v>
      </c>
      <c r="BG25" s="20">
        <f t="shared" si="7"/>
        <v>38.725039702709346</v>
      </c>
      <c r="BH25" s="59">
        <f t="shared" si="8"/>
        <v>296.6820423242483</v>
      </c>
      <c r="BI25" s="59">
        <f ca="1">AVERAGE(OFFSET($BH$3,0,0,'Données projet'!$E$11+1,1))-AVERAGE(OFFSET($H$3,0,0,'Données projet'!$E$11+1,1))</f>
        <v>128.92423054779167</v>
      </c>
      <c r="BJ25" s="59">
        <f t="shared" si="38"/>
        <v>127.5443711972687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63.018576472540929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3.887142857142857</v>
      </c>
      <c r="BY25" s="12">
        <f>IF('Données projet'!$A$114&gt;35,BY24+BX25-CG24,IF(A25&lt;'Données projet'!$A$114,$BV$205^A25,IF(A25='Données projet'!$A$114,'Données projet'!$B$114,BY24+BX25-CG24)))</f>
        <v>85.517142857142858</v>
      </c>
      <c r="BZ25" s="13">
        <f>BY25*VLOOKUP('Données projet'!$B$12,Paramètres!$A$1:$I$89,3,0)*VLOOKUP('Données projet'!$B$12,Paramètres!$A$1:$I$89,5,0)</f>
        <v>77.375910857142856</v>
      </c>
      <c r="CA25" s="13">
        <f t="shared" si="39"/>
        <v>21.49434063873689</v>
      </c>
      <c r="CB25" s="20">
        <f t="shared" si="10"/>
        <v>172.19902135532388</v>
      </c>
      <c r="CC25" s="59">
        <f t="shared" si="11"/>
        <v>430.1560239768628</v>
      </c>
      <c r="CD25" s="59">
        <f ca="1">AVERAGE(OFFSET($CC$3,0,0,'Données projet'!$E$12+1,1))-AVERAGE(OFFSET($H$3,0,0,'Données projet'!$E$12+1,1))</f>
        <v>601.17090553269054</v>
      </c>
      <c r="CE25" s="59">
        <f t="shared" si="40"/>
        <v>279.37477930888042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63.018576472540929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3.8113157894736847</v>
      </c>
      <c r="CT25" s="12">
        <f>IF('Données projet'!$A$140&gt;35,CT24+CS25-DB24,IF(A25&lt;'Données projet'!$A$140,$CQ$205^A25,IF(A25='Données projet'!$A$140,'Données projet'!$B$140,CT24+CS25-DB24)))</f>
        <v>83.848947368421022</v>
      </c>
      <c r="CU25" s="17">
        <f>CT25*VLOOKUP('Données projet'!$B$13,Paramètres!$A$1:$I$89,3,0)*VLOOKUP('Données projet'!$B$13,Paramètres!$A$1:$I$89,5,0)</f>
        <v>79.790658315789443</v>
      </c>
      <c r="CV25" s="13">
        <f t="shared" si="41"/>
        <v>22.085991195671117</v>
      </c>
      <c r="CW25" s="20">
        <f t="shared" si="13"/>
        <v>177.4351645657938</v>
      </c>
      <c r="CX25" s="59">
        <f t="shared" si="14"/>
        <v>435.39216718733275</v>
      </c>
      <c r="CY25" s="59">
        <f ca="1">AVERAGE(OFFSET($CX$3,0,0,'Données projet'!$E$13+1,1))-AVERAGE(OFFSET($H$3,0,0,'Données projet'!$E$13+1,1))</f>
        <v>418.79317359649315</v>
      </c>
      <c r="CZ25" s="59">
        <f t="shared" si="42"/>
        <v>286.46514989661011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63.018576472540929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63.018576472540929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63.018576472540929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63.018576472540929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63.018576472540929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1.35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0.20451600000000006</v>
      </c>
      <c r="D26" s="11">
        <f t="shared" si="32"/>
        <v>0.11337327659846529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4.9250388213514604</v>
      </c>
      <c r="H26" s="67">
        <f t="shared" si="1"/>
        <v>224.550323823409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63.139688562617607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3.887142857142857</v>
      </c>
      <c r="N26" s="13">
        <f>IF('Données projet'!$A$36&gt;35,N25+M26-V25,IF(A26&lt;'Données projet'!$A$36,$K$205^A26,IF(A26='Données projet'!$A$36,'Données projet'!$B$36,N25+M26-V25)))</f>
        <v>89.40428571428572</v>
      </c>
      <c r="O26" s="13">
        <f>N26*VLOOKUP('Données projet'!$B$9,Paramètres!$A$1:$I$89,3,0)*VLOOKUP('Données projet'!$B$9,Paramètres!$A$1:$I$89,5,0)</f>
        <v>90.655945714285721</v>
      </c>
      <c r="P26" s="13">
        <f t="shared" si="33"/>
        <v>24.723356382079128</v>
      </c>
      <c r="Q26" s="20">
        <f t="shared" si="2"/>
        <v>200.95228448450212</v>
      </c>
      <c r="R26" s="59">
        <f t="shared" si="0"/>
        <v>460.5755869918778</v>
      </c>
      <c r="S26" s="59">
        <f ca="1">AVERAGE(OFFSET($R$3,0,0,'Données projet'!$E$9+1,1))-AVERAGE(OFFSET($H$3,0,0,'Données projet'!$E$9+1,1))</f>
        <v>665.7907881991157</v>
      </c>
      <c r="T26" s="59">
        <f t="shared" si="34"/>
        <v>306.76923535735227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63.139688562617607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9.9228571428571435</v>
      </c>
      <c r="AI26" s="13">
        <f>IF('Données projet'!$A$62&gt;35,AI25+AH26-AQ25,IF(A26&lt;'Données projet'!$A$62,$AF$205^A26,IF(A26='Données projet'!$A$62,'Données projet'!$B$62,AI25+AH26-AQ25)))</f>
        <v>228.22571428571425</v>
      </c>
      <c r="AJ26" s="13">
        <f>AI26*VLOOKUP('Données projet'!$B$10,Paramètres!$A$1:$I$89,3,0)*VLOOKUP('Données projet'!$B$10,Paramètres!$A$1:$I$89,5,0)</f>
        <v>106.80963428571427</v>
      </c>
      <c r="AK26" s="13">
        <f t="shared" si="35"/>
        <v>28.578026795188716</v>
      </c>
      <c r="AL26" s="20">
        <f t="shared" si="4"/>
        <v>235.80017638257266</v>
      </c>
      <c r="AM26" s="59">
        <f t="shared" si="5"/>
        <v>495.42347888994834</v>
      </c>
      <c r="AN26" s="59">
        <f ca="1">AVERAGE(OFFSET($AM$3,0,0,'Données projet'!$E$10+1,1))-AVERAGE(OFFSET($H$3,0,0,'Données projet'!$E$10+1,1))</f>
        <v>370.42479501931444</v>
      </c>
      <c r="AO26" s="59">
        <f t="shared" si="36"/>
        <v>351.95632347830144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63.139688562617607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3.78525</v>
      </c>
      <c r="BD26" s="12">
        <f>IF('Données projet'!$A$88&gt;35,BD25+BC26-BL25,IF(A26&lt;'Données projet'!$A$88,$BA$205^A26,IF(A26='Données projet'!$A$88,'Données projet'!$B$88,BD25+BC26-BL25)))</f>
        <v>22.891750000000002</v>
      </c>
      <c r="BE26" s="13">
        <f>BD26*VLOOKUP('Données projet'!$B$11,Paramètres!$A$1:$I$89,3,0)*VLOOKUP('Données projet'!$B$11,Paramètres!$A$1:$I$89,5,0)</f>
        <v>19.998232800000004</v>
      </c>
      <c r="BF26" s="13">
        <f t="shared" si="37"/>
        <v>6.5029177354876868</v>
      </c>
      <c r="BG26" s="20">
        <f t="shared" si="7"/>
        <v>46.156170515974388</v>
      </c>
      <c r="BH26" s="59">
        <f t="shared" si="8"/>
        <v>305.77947302335008</v>
      </c>
      <c r="BI26" s="59">
        <f ca="1">AVERAGE(OFFSET($BH$3,0,0,'Données projet'!$E$11+1,1))-AVERAGE(OFFSET($H$3,0,0,'Données projet'!$E$11+1,1))</f>
        <v>128.92423054779167</v>
      </c>
      <c r="BJ26" s="59">
        <f t="shared" si="38"/>
        <v>127.5443711972687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63.139688562617607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3.887142857142857</v>
      </c>
      <c r="BY26" s="12">
        <f>IF('Données projet'!$A$114&gt;35,BY25+BX26-CG25,IF(A26&lt;'Données projet'!$A$114,$BV$205^A26,IF(A26='Données projet'!$A$114,'Données projet'!$B$114,BY25+BX26-CG25)))</f>
        <v>89.40428571428572</v>
      </c>
      <c r="BZ26" s="13">
        <f>BY26*VLOOKUP('Données projet'!$B$12,Paramètres!$A$1:$I$89,3,0)*VLOOKUP('Données projet'!$B$12,Paramètres!$A$1:$I$89,5,0)</f>
        <v>80.892997714285713</v>
      </c>
      <c r="CA26" s="13">
        <f t="shared" si="39"/>
        <v>22.355385450466887</v>
      </c>
      <c r="CB26" s="20">
        <f t="shared" si="10"/>
        <v>179.82426734527743</v>
      </c>
      <c r="CC26" s="59">
        <f t="shared" si="11"/>
        <v>439.44756985265315</v>
      </c>
      <c r="CD26" s="59">
        <f ca="1">AVERAGE(OFFSET($CC$3,0,0,'Données projet'!$E$12+1,1))-AVERAGE(OFFSET($H$3,0,0,'Données projet'!$E$12+1,1))</f>
        <v>601.17090553269054</v>
      </c>
      <c r="CE26" s="59">
        <f t="shared" si="40"/>
        <v>279.37477930888042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63.139688562617607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3.8113157894736847</v>
      </c>
      <c r="CT26" s="12">
        <f>IF('Données projet'!$A$140&gt;35,CT25+CS26-DB25,IF(A26&lt;'Données projet'!$A$140,$CQ$205^A26,IF(A26='Données projet'!$A$140,'Données projet'!$B$140,CT25+CS26-DB25)))</f>
        <v>87.660263157894704</v>
      </c>
      <c r="CU26" s="17">
        <f>CT26*VLOOKUP('Données projet'!$B$13,Paramètres!$A$1:$I$89,3,0)*VLOOKUP('Données projet'!$B$13,Paramètres!$A$1:$I$89,5,0)</f>
        <v>83.417506421052593</v>
      </c>
      <c r="CV26" s="13">
        <f t="shared" si="41"/>
        <v>22.97073702019177</v>
      </c>
      <c r="CW26" s="20">
        <f t="shared" si="13"/>
        <v>185.29285732683388</v>
      </c>
      <c r="CX26" s="59">
        <f t="shared" si="14"/>
        <v>444.91615983420957</v>
      </c>
      <c r="CY26" s="59">
        <f ca="1">AVERAGE(OFFSET($CX$3,0,0,'Données projet'!$E$13+1,1))-AVERAGE(OFFSET($H$3,0,0,'Données projet'!$E$13+1,1))</f>
        <v>418.79317359649315</v>
      </c>
      <c r="CZ26" s="59">
        <f t="shared" si="42"/>
        <v>286.46514989661011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63.139688562617607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63.139688562617607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63.139688562617607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63.139688562617607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63.139688562617607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1.35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0.21340800000000007</v>
      </c>
      <c r="D27" s="11">
        <f t="shared" si="32"/>
        <v>0.11771793513389542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4.9260605985015635</v>
      </c>
      <c r="H27" s="67">
        <f t="shared" si="1"/>
        <v>224.57337767035821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63.258699628697521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3.887142857142857</v>
      </c>
      <c r="N27" s="13">
        <f>IF('Données projet'!$A$36&gt;35,N26+M27-V26,IF(A27&lt;'Données projet'!$A$36,$K$205^A27,IF(A27='Données projet'!$A$36,'Données projet'!$B$36,N26+M27-V26)))</f>
        <v>93.291428571428582</v>
      </c>
      <c r="O27" s="13">
        <f>N27*VLOOKUP('Données projet'!$B$9,Paramètres!$A$1:$I$89,3,0)*VLOOKUP('Données projet'!$B$9,Paramètres!$A$1:$I$89,5,0)</f>
        <v>94.597508571428591</v>
      </c>
      <c r="P27" s="13">
        <f t="shared" si="33"/>
        <v>25.670797829946185</v>
      </c>
      <c r="Q27" s="20">
        <f t="shared" si="2"/>
        <v>209.4673003157277</v>
      </c>
      <c r="R27" s="59">
        <f t="shared" si="0"/>
        <v>470.74919895428525</v>
      </c>
      <c r="S27" s="59">
        <f ca="1">AVERAGE(OFFSET($R$3,0,0,'Données projet'!$E$9+1,1))-AVERAGE(OFFSET($H$3,0,0,'Données projet'!$E$9+1,1))</f>
        <v>665.7907881991157</v>
      </c>
      <c r="T27" s="59">
        <f t="shared" si="34"/>
        <v>306.76923535735227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63.258699628697521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9.9228571428571435</v>
      </c>
      <c r="AI27" s="13">
        <f>IF('Données projet'!$A$62&gt;35,AI26+AH27-AQ26,IF(A27&lt;'Données projet'!$A$62,$AF$205^A27,IF(A27='Données projet'!$A$62,'Données projet'!$B$62,AI26+AH27-AQ26)))</f>
        <v>238.14857142857139</v>
      </c>
      <c r="AJ27" s="13">
        <f>AI27*VLOOKUP('Données projet'!$B$10,Paramètres!$A$1:$I$89,3,0)*VLOOKUP('Données projet'!$B$10,Paramètres!$A$1:$I$89,5,0)</f>
        <v>111.45353142857141</v>
      </c>
      <c r="AK27" s="13">
        <f t="shared" si="35"/>
        <v>29.673185828840097</v>
      </c>
      <c r="AL27" s="20">
        <f t="shared" si="4"/>
        <v>245.79569922332504</v>
      </c>
      <c r="AM27" s="59">
        <f t="shared" si="5"/>
        <v>507.07759786188262</v>
      </c>
      <c r="AN27" s="59">
        <f ca="1">AVERAGE(OFFSET($AM$3,0,0,'Données projet'!$E$10+1,1))-AVERAGE(OFFSET($H$3,0,0,'Données projet'!$E$10+1,1))</f>
        <v>370.42479501931444</v>
      </c>
      <c r="AO27" s="59">
        <f t="shared" si="36"/>
        <v>351.95632347830144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63.258699628697521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3.78525</v>
      </c>
      <c r="BD27" s="12">
        <f>IF('Données projet'!$A$88&gt;35,BD26+BC27-BL26,IF(A27&lt;'Données projet'!$A$88,$BA$205^A27,IF(A27='Données projet'!$A$88,'Données projet'!$B$88,BD26+BC27-BL26)))</f>
        <v>26.677000000000003</v>
      </c>
      <c r="BE27" s="13">
        <f>BD27*VLOOKUP('Données projet'!$B$11,Paramètres!$A$1:$I$89,3,0)*VLOOKUP('Données projet'!$B$11,Paramètres!$A$1:$I$89,5,0)</f>
        <v>23.305027200000005</v>
      </c>
      <c r="BF27" s="13">
        <f t="shared" si="37"/>
        <v>7.4444144583955385</v>
      </c>
      <c r="BG27" s="20">
        <f t="shared" si="7"/>
        <v>53.555277555038906</v>
      </c>
      <c r="BH27" s="59">
        <f t="shared" si="8"/>
        <v>314.83717619359646</v>
      </c>
      <c r="BI27" s="59">
        <f ca="1">AVERAGE(OFFSET($BH$3,0,0,'Données projet'!$E$11+1,1))-AVERAGE(OFFSET($H$3,0,0,'Données projet'!$E$11+1,1))</f>
        <v>128.92423054779167</v>
      </c>
      <c r="BJ27" s="59">
        <f t="shared" si="38"/>
        <v>127.5443711972687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63.258699628697521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3.887142857142857</v>
      </c>
      <c r="BY27" s="12">
        <f>IF('Données projet'!$A$114&gt;35,BY26+BX27-CG26,IF(A27&lt;'Données projet'!$A$114,$BV$205^A27,IF(A27='Données projet'!$A$114,'Données projet'!$B$114,BY26+BX27-CG26)))</f>
        <v>93.291428571428582</v>
      </c>
      <c r="BZ27" s="13">
        <f>BY27*VLOOKUP('Données projet'!$B$12,Paramètres!$A$1:$I$89,3,0)*VLOOKUP('Données projet'!$B$12,Paramètres!$A$1:$I$89,5,0)</f>
        <v>84.410084571428584</v>
      </c>
      <c r="CA27" s="13">
        <f t="shared" si="39"/>
        <v>23.212082188219242</v>
      </c>
      <c r="CB27" s="20">
        <f t="shared" si="10"/>
        <v>187.44194043971996</v>
      </c>
      <c r="CC27" s="59">
        <f t="shared" si="11"/>
        <v>448.72383907827748</v>
      </c>
      <c r="CD27" s="59">
        <f ca="1">AVERAGE(OFFSET($CC$3,0,0,'Données projet'!$E$12+1,1))-AVERAGE(OFFSET($H$3,0,0,'Données projet'!$E$12+1,1))</f>
        <v>601.17090553269054</v>
      </c>
      <c r="CE27" s="59">
        <f t="shared" si="40"/>
        <v>279.37477930888042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63.258699628697521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3.8113157894736847</v>
      </c>
      <c r="CT27" s="12">
        <f>IF('Données projet'!$A$140&gt;35,CT26+CS27-DB26,IF(A27&lt;'Données projet'!$A$140,$CQ$205^A27,IF(A27='Données projet'!$A$140,'Données projet'!$B$140,CT26+CS27-DB26)))</f>
        <v>91.471578947368386</v>
      </c>
      <c r="CU27" s="17">
        <f>CT27*VLOOKUP('Données projet'!$B$13,Paramètres!$A$1:$I$89,3,0)*VLOOKUP('Données projet'!$B$13,Paramètres!$A$1:$I$89,5,0)</f>
        <v>87.044354526315757</v>
      </c>
      <c r="CV27" s="13">
        <f t="shared" si="41"/>
        <v>23.851015086189264</v>
      </c>
      <c r="CW27" s="20">
        <f t="shared" si="13"/>
        <v>193.14276874177958</v>
      </c>
      <c r="CX27" s="59">
        <f t="shared" si="14"/>
        <v>454.42466738033716</v>
      </c>
      <c r="CY27" s="59">
        <f ca="1">AVERAGE(OFFSET($CX$3,0,0,'Données projet'!$E$13+1,1))-AVERAGE(OFFSET($H$3,0,0,'Données projet'!$E$13+1,1))</f>
        <v>418.79317359649315</v>
      </c>
      <c r="CZ27" s="59">
        <f t="shared" si="42"/>
        <v>286.46514989661011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63.258699628697521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63.258699628697521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63.258699628697521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63.258699628697521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63.258699628697521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1.35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0.22230000000000008</v>
      </c>
      <c r="D28" s="11">
        <f t="shared" si="32"/>
        <v>0.12204156666612705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4.9270807525145779</v>
      </c>
      <c r="H28" s="67">
        <f t="shared" si="1"/>
        <v>224.59639489527683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63.375646118849829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3.887142857142857</v>
      </c>
      <c r="N28" s="13">
        <f>IF('Données projet'!$A$36&gt;35,N27+M28-V27,IF(A28&lt;'Données projet'!$A$36,$K$205^A28,IF(A28='Données projet'!$A$36,'Données projet'!$B$36,N27+M28-V27)))</f>
        <v>97.178571428571445</v>
      </c>
      <c r="O28" s="13">
        <f>N28*VLOOKUP('Données projet'!$B$9,Paramètres!$A$1:$I$89,3,0)*VLOOKUP('Données projet'!$B$9,Paramètres!$A$1:$I$89,5,0)</f>
        <v>98.539071428571447</v>
      </c>
      <c r="P28" s="13">
        <f t="shared" si="33"/>
        <v>26.613653910702727</v>
      </c>
      <c r="Q28" s="20">
        <f t="shared" si="2"/>
        <v>217.97432996590248</v>
      </c>
      <c r="R28" s="59">
        <f t="shared" si="0"/>
        <v>480.90725462390736</v>
      </c>
      <c r="S28" s="59">
        <f ca="1">AVERAGE(OFFSET($R$3,0,0,'Données projet'!$E$9+1,1))-AVERAGE(OFFSET($H$3,0,0,'Données projet'!$E$9+1,1))</f>
        <v>665.7907881991157</v>
      </c>
      <c r="T28" s="59">
        <f t="shared" si="34"/>
        <v>306.76923535735227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63.375646118849829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9.9228571428571435</v>
      </c>
      <c r="AI28" s="13">
        <f>IF('Données projet'!$A$62&gt;35,AI27+AH28-AQ27,IF(A28&lt;'Données projet'!$A$62,$AF$205^A28,IF(A28='Données projet'!$A$62,'Données projet'!$B$62,AI27+AH28-AQ27)))</f>
        <v>248.07142857142853</v>
      </c>
      <c r="AJ28" s="13">
        <f>AI28*VLOOKUP('Données projet'!$B$10,Paramètres!$A$1:$I$89,3,0)*VLOOKUP('Données projet'!$B$10,Paramètres!$A$1:$I$89,5,0)</f>
        <v>116.09742857142854</v>
      </c>
      <c r="AK28" s="13">
        <f t="shared" si="35"/>
        <v>30.763044581165421</v>
      </c>
      <c r="AL28" s="20">
        <f t="shared" si="4"/>
        <v>255.78199074076778</v>
      </c>
      <c r="AM28" s="59">
        <f t="shared" si="5"/>
        <v>518.71491539877263</v>
      </c>
      <c r="AN28" s="59">
        <f ca="1">AVERAGE(OFFSET($AM$3,0,0,'Données projet'!$E$10+1,1))-AVERAGE(OFFSET($H$3,0,0,'Données projet'!$E$10+1,1))</f>
        <v>370.42479501931444</v>
      </c>
      <c r="AO28" s="59">
        <f t="shared" si="36"/>
        <v>351.95632347830144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63.375646118849829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30.462249999999997</v>
      </c>
      <c r="BB28" s="12">
        <f>VLOOKUP(A28,'Données projet'!$A$87:$I$107,9,0)</f>
        <v>3.78525</v>
      </c>
      <c r="BC28" s="12">
        <f t="array" ref="BC28">INDEX(BB:BB,MIN(IF(ISNUMBER(BB28:BB224),ROW(BB28:BB224),"")))</f>
        <v>3.78525</v>
      </c>
      <c r="BD28" s="12">
        <f>IF('Données projet'!$A$88&gt;35,BD27+BC28-BL27,IF(A28&lt;'Données projet'!$A$88,$BA$205^A28,IF(A28='Données projet'!$A$88,'Données projet'!$B$88,BD27+BC28-BL27)))</f>
        <v>30.462250000000004</v>
      </c>
      <c r="BE28" s="13">
        <f>BD28*VLOOKUP('Données projet'!$B$11,Paramètres!$A$1:$I$89,3,0)*VLOOKUP('Données projet'!$B$11,Paramètres!$A$1:$I$89,5,0)</f>
        <v>26.611821600000006</v>
      </c>
      <c r="BF28" s="13">
        <f t="shared" si="37"/>
        <v>8.3704341545935144</v>
      </c>
      <c r="BG28" s="20">
        <f t="shared" si="7"/>
        <v>60.927428772583717</v>
      </c>
      <c r="BH28" s="59">
        <f t="shared" si="8"/>
        <v>323.86035343058859</v>
      </c>
      <c r="BI28" s="59">
        <f ca="1">AVERAGE(OFFSET($BH$3,0,0,'Données projet'!$E$11+1,1))-AVERAGE(OFFSET($H$3,0,0,'Données projet'!$E$11+1,1))</f>
        <v>128.92423054779167</v>
      </c>
      <c r="BJ28" s="59">
        <f t="shared" si="38"/>
        <v>127.5443711972687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7.5705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63.375646118849829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3.887142857142857</v>
      </c>
      <c r="BY28" s="12">
        <f>IF('Données projet'!$A$114&gt;35,BY27+BX28-CG27,IF(A28&lt;'Données projet'!$A$114,$BV$205^A28,IF(A28='Données projet'!$A$114,'Données projet'!$B$114,BY27+BX28-CG27)))</f>
        <v>97.178571428571445</v>
      </c>
      <c r="BZ28" s="13">
        <f>BY28*VLOOKUP('Données projet'!$B$12,Paramètres!$A$1:$I$89,3,0)*VLOOKUP('Données projet'!$B$12,Paramètres!$A$1:$I$89,5,0)</f>
        <v>87.927171428571441</v>
      </c>
      <c r="CA28" s="13">
        <f t="shared" si="39"/>
        <v>24.06463273936156</v>
      </c>
      <c r="CB28" s="20">
        <f t="shared" si="10"/>
        <v>195.05239225914997</v>
      </c>
      <c r="CC28" s="59">
        <f t="shared" si="11"/>
        <v>457.98531691715482</v>
      </c>
      <c r="CD28" s="59">
        <f ca="1">AVERAGE(OFFSET($CC$3,0,0,'Données projet'!$E$12+1,1))-AVERAGE(OFFSET($H$3,0,0,'Données projet'!$E$12+1,1))</f>
        <v>601.17090553269054</v>
      </c>
      <c r="CE28" s="59">
        <f t="shared" si="40"/>
        <v>279.37477930888042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63.375646118849829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3.8113157894736847</v>
      </c>
      <c r="CT28" s="12">
        <f>IF('Données projet'!$A$140&gt;35,CT27+CS28-DB27,IF(A28&lt;'Données projet'!$A$140,$CQ$205^A28,IF(A28='Données projet'!$A$140,'Données projet'!$B$140,CT27+CS28-DB27)))</f>
        <v>95.282894736842067</v>
      </c>
      <c r="CU28" s="17">
        <f>CT28*VLOOKUP('Données projet'!$B$13,Paramètres!$A$1:$I$89,3,0)*VLOOKUP('Données projet'!$B$13,Paramètres!$A$1:$I$89,5,0)</f>
        <v>90.671202631578922</v>
      </c>
      <c r="CV28" s="13">
        <f t="shared" si="41"/>
        <v>24.727032838157871</v>
      </c>
      <c r="CW28" s="20">
        <f t="shared" si="13"/>
        <v>200.9852601097916</v>
      </c>
      <c r="CX28" s="59">
        <f t="shared" si="14"/>
        <v>463.91818476779645</v>
      </c>
      <c r="CY28" s="59">
        <f ca="1">AVERAGE(OFFSET($CX$3,0,0,'Données projet'!$E$13+1,1))-AVERAGE(OFFSET($H$3,0,0,'Données projet'!$E$13+1,1))</f>
        <v>418.79317359649315</v>
      </c>
      <c r="CZ28" s="59">
        <f t="shared" si="42"/>
        <v>286.46514989661011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63.375646118849829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63.375646118849829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63.375646118849829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63.375646118849829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63.375646118849829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1.35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0.23119200000000009</v>
      </c>
      <c r="D29" s="11">
        <f t="shared" si="32"/>
        <v>0.12634510850381217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4.9280993557441537</v>
      </c>
      <c r="H29" s="67">
        <f t="shared" si="1"/>
        <v>224.61937713064415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63.490563848851181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3.887142857142857</v>
      </c>
      <c r="N29" s="13">
        <f>IF('Données projet'!$A$36&gt;35,N28+M29-V28,IF(A29&lt;'Données projet'!$A$36,$K$205^A29,IF(A29='Données projet'!$A$36,'Données projet'!$B$36,N28+M29-V28)))</f>
        <v>101.06571428571431</v>
      </c>
      <c r="O29" s="13">
        <f>N29*VLOOKUP('Données projet'!$B$9,Paramètres!$A$1:$I$89,3,0)*VLOOKUP('Données projet'!$B$9,Paramètres!$A$1:$I$89,5,0)</f>
        <v>102.48063428571432</v>
      </c>
      <c r="P29" s="13">
        <f t="shared" si="33"/>
        <v>27.552129023626446</v>
      </c>
      <c r="Q29" s="20">
        <f t="shared" si="2"/>
        <v>226.47372943043516</v>
      </c>
      <c r="R29" s="59">
        <f t="shared" si="0"/>
        <v>491.05024132066728</v>
      </c>
      <c r="S29" s="59">
        <f ca="1">AVERAGE(OFFSET($R$3,0,0,'Données projet'!$E$9+1,1))-AVERAGE(OFFSET($H$3,0,0,'Données projet'!$E$9+1,1))</f>
        <v>665.7907881991157</v>
      </c>
      <c r="T29" s="59">
        <f t="shared" si="34"/>
        <v>306.76923535735227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63.490563848851181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9.9228571428571435</v>
      </c>
      <c r="AI29" s="13">
        <f>IF('Données projet'!$A$62&gt;35,AI28+AH29-AQ28,IF(A29&lt;'Données projet'!$A$62,$AF$205^A29,IF(A29='Données projet'!$A$62,'Données projet'!$B$62,AI28+AH29-AQ28)))</f>
        <v>257.9942857142857</v>
      </c>
      <c r="AJ29" s="13">
        <f>AI29*VLOOKUP('Données projet'!$B$10,Paramètres!$A$1:$I$89,3,0)*VLOOKUP('Données projet'!$B$10,Paramètres!$A$1:$I$89,5,0)</f>
        <v>120.74132571428569</v>
      </c>
      <c r="AK29" s="13">
        <f t="shared" si="35"/>
        <v>31.847839319762979</v>
      </c>
      <c r="AL29" s="20">
        <f t="shared" si="4"/>
        <v>265.75946243430144</v>
      </c>
      <c r="AM29" s="59">
        <f t="shared" si="5"/>
        <v>530.33597432453348</v>
      </c>
      <c r="AN29" s="59">
        <f ca="1">AVERAGE(OFFSET($AM$3,0,0,'Données projet'!$E$10+1,1))-AVERAGE(OFFSET($H$3,0,0,'Données projet'!$E$10+1,1))</f>
        <v>370.42479501931444</v>
      </c>
      <c r="AO29" s="59">
        <f t="shared" si="36"/>
        <v>351.95632347830144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63.490563848851181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3.6050000000000004</v>
      </c>
      <c r="BD29" s="12">
        <f>IF('Données projet'!$A$88&gt;35,BD28+BC29-BL28,IF(A29&lt;'Données projet'!$A$88,$BA$205^A29,IF(A29='Données projet'!$A$88,'Données projet'!$B$88,BD28+BC29-BL28)))</f>
        <v>26.496750000000002</v>
      </c>
      <c r="BE29" s="13">
        <f>BD29*VLOOKUP('Données projet'!$B$11,Paramètres!$A$1:$I$89,3,0)*VLOOKUP('Données projet'!$B$11,Paramètres!$A$1:$I$89,5,0)</f>
        <v>23.147560800000004</v>
      </c>
      <c r="BF29" s="13">
        <f t="shared" si="37"/>
        <v>7.3999517702095465</v>
      </c>
      <c r="BG29" s="20">
        <f t="shared" si="7"/>
        <v>53.203584393114966</v>
      </c>
      <c r="BH29" s="59">
        <f t="shared" si="8"/>
        <v>317.78009628334706</v>
      </c>
      <c r="BI29" s="59">
        <f ca="1">AVERAGE(OFFSET($BH$3,0,0,'Données projet'!$E$11+1,1))-AVERAGE(OFFSET($H$3,0,0,'Données projet'!$E$11+1,1))</f>
        <v>128.92423054779167</v>
      </c>
      <c r="BJ29" s="59">
        <f t="shared" si="38"/>
        <v>127.5443711972687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63.490563848851181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3.887142857142857</v>
      </c>
      <c r="BY29" s="12">
        <f>IF('Données projet'!$A$114&gt;35,BY28+BX29-CG28,IF(A29&lt;'Données projet'!$A$114,$BV$205^A29,IF(A29='Données projet'!$A$114,'Données projet'!$B$114,BY28+BX29-CG28)))</f>
        <v>101.06571428571431</v>
      </c>
      <c r="BZ29" s="13">
        <f>BY29*VLOOKUP('Données projet'!$B$12,Paramètres!$A$1:$I$89,3,0)*VLOOKUP('Données projet'!$B$12,Paramètres!$A$1:$I$89,5,0)</f>
        <v>91.444258285714298</v>
      </c>
      <c r="CA29" s="13">
        <f t="shared" si="39"/>
        <v>24.913221926074399</v>
      </c>
      <c r="CB29" s="20">
        <f t="shared" si="10"/>
        <v>202.65594470219867</v>
      </c>
      <c r="CC29" s="59">
        <f t="shared" si="11"/>
        <v>467.23245659243076</v>
      </c>
      <c r="CD29" s="59">
        <f ca="1">AVERAGE(OFFSET($CC$3,0,0,'Données projet'!$E$12+1,1))-AVERAGE(OFFSET($H$3,0,0,'Données projet'!$E$12+1,1))</f>
        <v>601.17090553269054</v>
      </c>
      <c r="CE29" s="59">
        <f t="shared" si="40"/>
        <v>279.37477930888042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63.490563848851181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3.8113157894736847</v>
      </c>
      <c r="CT29" s="12">
        <f>IF('Données projet'!$A$140&gt;35,CT28+CS29-DB28,IF(A29&lt;'Données projet'!$A$140,$CQ$205^A29,IF(A29='Données projet'!$A$140,'Données projet'!$B$140,CT28+CS29-DB28)))</f>
        <v>99.094210526315749</v>
      </c>
      <c r="CU29" s="17">
        <f>CT29*VLOOKUP('Données projet'!$B$13,Paramètres!$A$1:$I$89,3,0)*VLOOKUP('Données projet'!$B$13,Paramètres!$A$1:$I$89,5,0)</f>
        <v>94.298050736842072</v>
      </c>
      <c r="CV29" s="13">
        <f t="shared" si="41"/>
        <v>25.59898018567057</v>
      </c>
      <c r="CW29" s="20">
        <f t="shared" si="13"/>
        <v>208.82066219004287</v>
      </c>
      <c r="CX29" s="59">
        <f t="shared" si="14"/>
        <v>473.39717408027497</v>
      </c>
      <c r="CY29" s="59">
        <f ca="1">AVERAGE(OFFSET($CX$3,0,0,'Données projet'!$E$13+1,1))-AVERAGE(OFFSET($H$3,0,0,'Données projet'!$E$13+1,1))</f>
        <v>418.79317359649315</v>
      </c>
      <c r="CZ29" s="59">
        <f t="shared" si="42"/>
        <v>286.46514989661011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63.490563848851181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63.490563848851181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63.490563848851181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63.490563848851181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63.490563848851181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1.35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0.2400840000000001</v>
      </c>
      <c r="D30" s="11">
        <f t="shared" si="32"/>
        <v>0.13062942177178546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4.9291164746630853</v>
      </c>
      <c r="H30" s="67">
        <f t="shared" si="1"/>
        <v>224.64232587625253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63.603488013154561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3.887142857142857</v>
      </c>
      <c r="N30" s="13">
        <f>IF('Données projet'!$A$36&gt;35,N29+M30-V29,IF(A30&lt;'Données projet'!$A$36,$K$205^A30,IF(A30='Données projet'!$A$36,'Données projet'!$B$36,N29+M30-V29)))</f>
        <v>104.95285714285717</v>
      </c>
      <c r="O30" s="13">
        <f>N30*VLOOKUP('Données projet'!$B$9,Paramètres!$A$1:$I$89,3,0)*VLOOKUP('Données projet'!$B$9,Paramètres!$A$1:$I$89,5,0)</f>
        <v>106.42219714285717</v>
      </c>
      <c r="P30" s="13">
        <f t="shared" si="33"/>
        <v>28.486410954559084</v>
      </c>
      <c r="Q30" s="20">
        <f t="shared" si="2"/>
        <v>234.96582576966659</v>
      </c>
      <c r="R30" s="59">
        <f t="shared" si="0"/>
        <v>501.17861515123332</v>
      </c>
      <c r="S30" s="59">
        <f ca="1">AVERAGE(OFFSET($R$3,0,0,'Données projet'!$E$9+1,1))-AVERAGE(OFFSET($H$3,0,0,'Données projet'!$E$9+1,1))</f>
        <v>665.7907881991157</v>
      </c>
      <c r="T30" s="59">
        <f t="shared" si="34"/>
        <v>306.76923535735227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63.603488013154561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9.9228571428571435</v>
      </c>
      <c r="AI30" s="13">
        <f>IF('Données projet'!$A$62&gt;35,AI29+AH30-AQ29,IF(A30&lt;'Données projet'!$A$62,$AF$205^A30,IF(A30='Données projet'!$A$62,'Données projet'!$B$62,AI29+AH30-AQ29)))</f>
        <v>267.91714285714284</v>
      </c>
      <c r="AJ30" s="13">
        <f>AI30*VLOOKUP('Données projet'!$B$10,Paramètres!$A$1:$I$89,3,0)*VLOOKUP('Données projet'!$B$10,Paramètres!$A$1:$I$89,5,0)</f>
        <v>125.38522285714285</v>
      </c>
      <c r="AK30" s="13">
        <f t="shared" si="35"/>
        <v>32.927787108559478</v>
      </c>
      <c r="AL30" s="20">
        <f t="shared" si="4"/>
        <v>275.72849235693155</v>
      </c>
      <c r="AM30" s="59">
        <f t="shared" si="5"/>
        <v>541.94128173849822</v>
      </c>
      <c r="AN30" s="59">
        <f ca="1">AVERAGE(OFFSET($AM$3,0,0,'Données projet'!$E$10+1,1))-AVERAGE(OFFSET($H$3,0,0,'Données projet'!$E$10+1,1))</f>
        <v>370.42479501931444</v>
      </c>
      <c r="AO30" s="59">
        <f t="shared" si="36"/>
        <v>351.95632347830144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63.603488013154561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3.6050000000000004</v>
      </c>
      <c r="BD30" s="12">
        <f>IF('Données projet'!$A$88&gt;35,BD29+BC30-BL29,IF(A30&lt;'Données projet'!$A$88,$BA$205^A30,IF(A30='Données projet'!$A$88,'Données projet'!$B$88,BD29+BC30-BL29)))</f>
        <v>30.101750000000003</v>
      </c>
      <c r="BE30" s="13">
        <f>BD30*VLOOKUP('Données projet'!$B$11,Paramètres!$A$1:$I$89,3,0)*VLOOKUP('Données projet'!$B$11,Paramètres!$A$1:$I$89,5,0)</f>
        <v>26.296888800000005</v>
      </c>
      <c r="BF30" s="13">
        <f t="shared" si="37"/>
        <v>8.2828456063790963</v>
      </c>
      <c r="BG30" s="20">
        <f t="shared" si="7"/>
        <v>60.226370757776941</v>
      </c>
      <c r="BH30" s="59">
        <f t="shared" si="8"/>
        <v>326.43916013934364</v>
      </c>
      <c r="BI30" s="59">
        <f ca="1">AVERAGE(OFFSET($BH$3,0,0,'Données projet'!$E$11+1,1))-AVERAGE(OFFSET($H$3,0,0,'Données projet'!$E$11+1,1))</f>
        <v>128.92423054779167</v>
      </c>
      <c r="BJ30" s="59">
        <f t="shared" si="38"/>
        <v>127.5443711972687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63.603488013154561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3.887142857142857</v>
      </c>
      <c r="BY30" s="12">
        <f>IF('Données projet'!$A$114&gt;35,BY29+BX30-CG29,IF(A30&lt;'Données projet'!$A$114,$BV$205^A30,IF(A30='Données projet'!$A$114,'Données projet'!$B$114,BY29+BX30-CG29)))</f>
        <v>104.95285714285717</v>
      </c>
      <c r="BZ30" s="13">
        <f>BY30*VLOOKUP('Données projet'!$B$12,Paramètres!$A$1:$I$89,3,0)*VLOOKUP('Données projet'!$B$12,Paramètres!$A$1:$I$89,5,0)</f>
        <v>94.961345142857169</v>
      </c>
      <c r="CA30" s="13">
        <f t="shared" si="39"/>
        <v>25.758019548315733</v>
      </c>
      <c r="CB30" s="20">
        <f t="shared" si="10"/>
        <v>210.25289350379276</v>
      </c>
      <c r="CC30" s="59">
        <f t="shared" si="11"/>
        <v>476.46568288535946</v>
      </c>
      <c r="CD30" s="59">
        <f ca="1">AVERAGE(OFFSET($CC$3,0,0,'Données projet'!$E$12+1,1))-AVERAGE(OFFSET($H$3,0,0,'Données projet'!$E$12+1,1))</f>
        <v>601.17090553269054</v>
      </c>
      <c r="CE30" s="59">
        <f t="shared" si="40"/>
        <v>279.37477930888042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63.603488013154561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3.8113157894736847</v>
      </c>
      <c r="CT30" s="12">
        <f>IF('Données projet'!$A$140&gt;35,CT29+CS30-DB29,IF(A30&lt;'Données projet'!$A$140,$CQ$205^A30,IF(A30='Données projet'!$A$140,'Données projet'!$B$140,CT29+CS30-DB29)))</f>
        <v>102.90552631578943</v>
      </c>
      <c r="CU30" s="17">
        <f>CT30*VLOOKUP('Données projet'!$B$13,Paramètres!$A$1:$I$89,3,0)*VLOOKUP('Données projet'!$B$13,Paramètres!$A$1:$I$89,5,0)</f>
        <v>97.924898842105222</v>
      </c>
      <c r="CV30" s="13">
        <f t="shared" si="41"/>
        <v>26.467031602577997</v>
      </c>
      <c r="CW30" s="20">
        <f t="shared" si="13"/>
        <v>216.64927885782325</v>
      </c>
      <c r="CX30" s="59">
        <f t="shared" si="14"/>
        <v>482.86206823938994</v>
      </c>
      <c r="CY30" s="59">
        <f ca="1">AVERAGE(OFFSET($CX$3,0,0,'Données projet'!$E$13+1,1))-AVERAGE(OFFSET($H$3,0,0,'Données projet'!$E$13+1,1))</f>
        <v>418.79317359649315</v>
      </c>
      <c r="CZ30" s="59">
        <f t="shared" si="42"/>
        <v>286.46514989661011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63.603488013154561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63.603488013154561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63.603488013154561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63.603488013154561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63.603488013154561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1.35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0.24897600000000011</v>
      </c>
      <c r="D31" s="11">
        <f t="shared" si="32"/>
        <v>0.13489530019370102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4.9301321705412686</v>
      </c>
      <c r="H31" s="67">
        <f t="shared" si="1"/>
        <v>224.66524251450403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63.714453195667893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3.887142857142857</v>
      </c>
      <c r="N31" s="13">
        <f>IF('Données projet'!$A$36&gt;35,N30+M31-V30,IF(A31&lt;'Données projet'!$A$36,$K$205^A31,IF(A31='Données projet'!$A$36,'Données projet'!$B$36,N30+M31-V30)))</f>
        <v>108.84000000000003</v>
      </c>
      <c r="O31" s="13">
        <f>N31*VLOOKUP('Données projet'!$B$9,Paramètres!$A$1:$I$89,3,0)*VLOOKUP('Données projet'!$B$9,Paramètres!$A$1:$I$89,5,0)</f>
        <v>110.36376000000004</v>
      </c>
      <c r="P31" s="13">
        <f t="shared" si="33"/>
        <v>29.416672791139618</v>
      </c>
      <c r="Q31" s="20">
        <f t="shared" si="2"/>
        <v>243.45092044456825</v>
      </c>
      <c r="R31" s="59">
        <f t="shared" si="0"/>
        <v>511.29280438423939</v>
      </c>
      <c r="S31" s="59">
        <f ca="1">AVERAGE(OFFSET($R$3,0,0,'Données projet'!$E$9+1,1))-AVERAGE(OFFSET($H$3,0,0,'Données projet'!$E$9+1,1))</f>
        <v>665.7907881991157</v>
      </c>
      <c r="T31" s="59">
        <f t="shared" si="34"/>
        <v>306.76923535735227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63.714453195667893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9.9228571428571435</v>
      </c>
      <c r="AI31" s="13">
        <f>IF('Données projet'!$A$62&gt;35,AI30+AH31-AQ30,IF(A31&lt;'Données projet'!$A$62,$AF$205^A31,IF(A31='Données projet'!$A$62,'Données projet'!$B$62,AI30+AH31-AQ30)))</f>
        <v>277.83999999999997</v>
      </c>
      <c r="AJ31" s="13">
        <f>AI31*VLOOKUP('Données projet'!$B$10,Paramètres!$A$1:$I$89,3,0)*VLOOKUP('Données projet'!$B$10,Paramètres!$A$1:$I$89,5,0)</f>
        <v>130.02912000000001</v>
      </c>
      <c r="AK31" s="13">
        <f t="shared" si="35"/>
        <v>34.003088021651131</v>
      </c>
      <c r="AL31" s="20">
        <f t="shared" si="4"/>
        <v>285.68942897104239</v>
      </c>
      <c r="AM31" s="59">
        <f t="shared" si="5"/>
        <v>553.5313129107135</v>
      </c>
      <c r="AN31" s="59">
        <f ca="1">AVERAGE(OFFSET($AM$3,0,0,'Données projet'!$E$10+1,1))-AVERAGE(OFFSET($H$3,0,0,'Données projet'!$E$10+1,1))</f>
        <v>370.42479501931444</v>
      </c>
      <c r="AO31" s="59">
        <f t="shared" si="36"/>
        <v>351.95632347830144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63.714453195667893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3.6050000000000004</v>
      </c>
      <c r="BD31" s="12">
        <f>IF('Données projet'!$A$88&gt;35,BD30+BC31-BL30,IF(A31&lt;'Données projet'!$A$88,$BA$205^A31,IF(A31='Données projet'!$A$88,'Données projet'!$B$88,BD30+BC31-BL30)))</f>
        <v>33.70675</v>
      </c>
      <c r="BE31" s="13">
        <f>BD31*VLOOKUP('Données projet'!$B$11,Paramètres!$A$1:$I$89,3,0)*VLOOKUP('Données projet'!$B$11,Paramètres!$A$1:$I$89,5,0)</f>
        <v>29.446216800000006</v>
      </c>
      <c r="BF31" s="13">
        <f t="shared" si="37"/>
        <v>9.1534862973646831</v>
      </c>
      <c r="BG31" s="20">
        <f t="shared" si="7"/>
        <v>67.227816227910168</v>
      </c>
      <c r="BH31" s="59">
        <f t="shared" si="8"/>
        <v>335.06970016758135</v>
      </c>
      <c r="BI31" s="59">
        <f ca="1">AVERAGE(OFFSET($BH$3,0,0,'Données projet'!$E$11+1,1))-AVERAGE(OFFSET($H$3,0,0,'Données projet'!$E$11+1,1))</f>
        <v>128.92423054779167</v>
      </c>
      <c r="BJ31" s="59">
        <f t="shared" si="38"/>
        <v>127.5443711972687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63.714453195667893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3.887142857142857</v>
      </c>
      <c r="BY31" s="12">
        <f>IF('Données projet'!$A$114&gt;35,BY30+BX31-CG30,IF(A31&lt;'Données projet'!$A$114,$BV$205^A31,IF(A31='Données projet'!$A$114,'Données projet'!$B$114,BY30+BX31-CG30)))</f>
        <v>108.84000000000003</v>
      </c>
      <c r="BZ31" s="13">
        <f>BY31*VLOOKUP('Données projet'!$B$12,Paramètres!$A$1:$I$89,3,0)*VLOOKUP('Données projet'!$B$12,Paramètres!$A$1:$I$89,5,0)</f>
        <v>98.478432000000026</v>
      </c>
      <c r="CA31" s="13">
        <f t="shared" si="39"/>
        <v>26.599182115615513</v>
      </c>
      <c r="CB31" s="20">
        <f t="shared" si="10"/>
        <v>217.84351125136371</v>
      </c>
      <c r="CC31" s="59">
        <f t="shared" si="11"/>
        <v>485.6853951910349</v>
      </c>
      <c r="CD31" s="59">
        <f ca="1">AVERAGE(OFFSET($CC$3,0,0,'Données projet'!$E$12+1,1))-AVERAGE(OFFSET($H$3,0,0,'Données projet'!$E$12+1,1))</f>
        <v>601.17090553269054</v>
      </c>
      <c r="CE31" s="59">
        <f t="shared" si="40"/>
        <v>279.37477930888042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63.714453195667893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3.8113157894736847</v>
      </c>
      <c r="CT31" s="12">
        <f>IF('Données projet'!$A$140&gt;35,CT30+CS31-DB30,IF(A31&lt;'Données projet'!$A$140,$CQ$205^A31,IF(A31='Données projet'!$A$140,'Données projet'!$B$140,CT30+CS31-DB30)))</f>
        <v>106.71684210526311</v>
      </c>
      <c r="CU31" s="17">
        <f>CT31*VLOOKUP('Données projet'!$B$13,Paramètres!$A$1:$I$89,3,0)*VLOOKUP('Données projet'!$B$13,Paramètres!$A$1:$I$89,5,0)</f>
        <v>101.55174694736837</v>
      </c>
      <c r="CV31" s="13">
        <f t="shared" si="41"/>
        <v>27.331347906471947</v>
      </c>
      <c r="CW31" s="20">
        <f t="shared" si="13"/>
        <v>224.47139020377185</v>
      </c>
      <c r="CX31" s="59">
        <f t="shared" si="14"/>
        <v>492.31327414344298</v>
      </c>
      <c r="CY31" s="59">
        <f ca="1">AVERAGE(OFFSET($CX$3,0,0,'Données projet'!$E$13+1,1))-AVERAGE(OFFSET($H$3,0,0,'Données projet'!$E$13+1,1))</f>
        <v>418.79317359649315</v>
      </c>
      <c r="CZ31" s="59">
        <f t="shared" si="42"/>
        <v>286.46514989661011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63.714453195667893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63.714453195667893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63.714453195667893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63.714453195667893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63.714453195667893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1.35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0.2578680000000001</v>
      </c>
      <c r="D32" s="11">
        <f t="shared" si="32"/>
        <v>0.13914347758474926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4.9311465000240862</v>
      </c>
      <c r="H32" s="67">
        <f t="shared" si="1"/>
        <v>224.68812832346012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63.823493380345596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3.887142857142857</v>
      </c>
      <c r="N32" s="13">
        <f>IF('Données projet'!$A$36&gt;35,N31+M32-V31,IF(A32&lt;'Données projet'!$A$36,$K$205^A32,IF(A32='Données projet'!$A$36,'Données projet'!$B$36,N31+M32-V31)))</f>
        <v>112.72714285714289</v>
      </c>
      <c r="O32" s="13">
        <f>N32*VLOOKUP('Données projet'!$B$9,Paramètres!$A$1:$I$89,3,0)*VLOOKUP('Données projet'!$B$9,Paramètres!$A$1:$I$89,5,0)</f>
        <v>114.3053228571429</v>
      </c>
      <c r="P32" s="13">
        <f t="shared" si="33"/>
        <v>30.343074556744043</v>
      </c>
      <c r="Q32" s="20">
        <f t="shared" si="2"/>
        <v>251.92929216251972</v>
      </c>
      <c r="R32" s="59">
        <f t="shared" si="0"/>
        <v>521.39321233489807</v>
      </c>
      <c r="S32" s="59">
        <f ca="1">AVERAGE(OFFSET($R$3,0,0,'Données projet'!$E$9+1,1))-AVERAGE(OFFSET($H$3,0,0,'Données projet'!$E$9+1,1))</f>
        <v>665.7907881991157</v>
      </c>
      <c r="T32" s="59">
        <f t="shared" si="34"/>
        <v>306.76923535735227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63.823493380345596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9.9228571428571435</v>
      </c>
      <c r="AI32" s="13">
        <f>IF('Données projet'!$A$62&gt;35,AI31+AH32-AQ31,IF(A32&lt;'Données projet'!$A$62,$AF$205^A32,IF(A32='Données projet'!$A$62,'Données projet'!$B$62,AI31+AH32-AQ31)))</f>
        <v>287.76285714285711</v>
      </c>
      <c r="AJ32" s="13">
        <f>AI32*VLOOKUP('Données projet'!$B$10,Paramètres!$A$1:$I$89,3,0)*VLOOKUP('Données projet'!$B$10,Paramètres!$A$1:$I$89,5,0)</f>
        <v>134.67301714285713</v>
      </c>
      <c r="AK32" s="13">
        <f t="shared" si="35"/>
        <v>35.073927031994522</v>
      </c>
      <c r="AL32" s="20">
        <f t="shared" si="4"/>
        <v>295.64259443786659</v>
      </c>
      <c r="AM32" s="59">
        <f t="shared" si="5"/>
        <v>565.10651461024486</v>
      </c>
      <c r="AN32" s="59">
        <f ca="1">AVERAGE(OFFSET($AM$3,0,0,'Données projet'!$E$10+1,1))-AVERAGE(OFFSET($H$3,0,0,'Données projet'!$E$10+1,1))</f>
        <v>370.42479501931444</v>
      </c>
      <c r="AO32" s="59">
        <f t="shared" si="36"/>
        <v>351.95632347830144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63.823493380345596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3.6050000000000004</v>
      </c>
      <c r="BD32" s="12">
        <f>IF('Données projet'!$A$88&gt;35,BD31+BC32-BL31,IF(A32&lt;'Données projet'!$A$88,$BA$205^A32,IF(A32='Données projet'!$A$88,'Données projet'!$B$88,BD31+BC32-BL31)))</f>
        <v>37.311750000000004</v>
      </c>
      <c r="BE32" s="13">
        <f>BD32*VLOOKUP('Données projet'!$B$11,Paramètres!$A$1:$I$89,3,0)*VLOOKUP('Données projet'!$B$11,Paramètres!$A$1:$I$89,5,0)</f>
        <v>32.595544800000006</v>
      </c>
      <c r="BF32" s="13">
        <f t="shared" si="37"/>
        <v>10.013333698553641</v>
      </c>
      <c r="BG32" s="20">
        <f t="shared" si="7"/>
        <v>74.21046338498094</v>
      </c>
      <c r="BH32" s="59">
        <f t="shared" si="8"/>
        <v>343.67438355735925</v>
      </c>
      <c r="BI32" s="59">
        <f ca="1">AVERAGE(OFFSET($BH$3,0,0,'Données projet'!$E$11+1,1))-AVERAGE(OFFSET($H$3,0,0,'Données projet'!$E$11+1,1))</f>
        <v>128.92423054779167</v>
      </c>
      <c r="BJ32" s="59">
        <f t="shared" si="38"/>
        <v>127.5443711972687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63.823493380345596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3.887142857142857</v>
      </c>
      <c r="BY32" s="12">
        <f>IF('Données projet'!$A$114&gt;35,BY31+BX32-CG31,IF(A32&lt;'Données projet'!$A$114,$BV$205^A32,IF(A32='Données projet'!$A$114,'Données projet'!$B$114,BY31+BX32-CG31)))</f>
        <v>112.72714285714289</v>
      </c>
      <c r="BZ32" s="13">
        <f>BY32*VLOOKUP('Données projet'!$B$12,Paramètres!$A$1:$I$89,3,0)*VLOOKUP('Données projet'!$B$12,Paramètres!$A$1:$I$89,5,0)</f>
        <v>101.99551885714288</v>
      </c>
      <c r="CA32" s="13">
        <f t="shared" si="39"/>
        <v>27.436854324518826</v>
      </c>
      <c r="CB32" s="20">
        <f t="shared" si="10"/>
        <v>225.4280499580608</v>
      </c>
      <c r="CC32" s="59">
        <f t="shared" si="11"/>
        <v>494.89197013043912</v>
      </c>
      <c r="CD32" s="59">
        <f ca="1">AVERAGE(OFFSET($CC$3,0,0,'Données projet'!$E$12+1,1))-AVERAGE(OFFSET($H$3,0,0,'Données projet'!$E$12+1,1))</f>
        <v>601.17090553269054</v>
      </c>
      <c r="CE32" s="59">
        <f t="shared" si="40"/>
        <v>279.37477930888042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63.823493380345596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3.8113157894736847</v>
      </c>
      <c r="CT32" s="12">
        <f>IF('Données projet'!$A$140&gt;35,CT31+CS32-DB31,IF(A32&lt;'Données projet'!$A$140,$CQ$205^A32,IF(A32='Données projet'!$A$140,'Données projet'!$B$140,CT31+CS32-DB31)))</f>
        <v>110.52815789473679</v>
      </c>
      <c r="CU32" s="17">
        <f>CT32*VLOOKUP('Données projet'!$B$13,Paramètres!$A$1:$I$89,3,0)*VLOOKUP('Données projet'!$B$13,Paramètres!$A$1:$I$89,5,0)</f>
        <v>105.17859505263154</v>
      </c>
      <c r="CV32" s="13">
        <f t="shared" si="41"/>
        <v>28.192077776796737</v>
      </c>
      <c r="CW32" s="20">
        <f t="shared" si="13"/>
        <v>232.28725517792088</v>
      </c>
      <c r="CX32" s="59">
        <f t="shared" si="14"/>
        <v>501.75117535029921</v>
      </c>
      <c r="CY32" s="59">
        <f ca="1">AVERAGE(OFFSET($CX$3,0,0,'Données projet'!$E$13+1,1))-AVERAGE(OFFSET($H$3,0,0,'Données projet'!$E$13+1,1))</f>
        <v>418.79317359649315</v>
      </c>
      <c r="CZ32" s="59">
        <f t="shared" si="42"/>
        <v>286.46514989661011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63.823493380345596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63.823493380345596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63.823493380345596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63.823493380345596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63.823493380345596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1.35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0.26676000000000011</v>
      </c>
      <c r="D33" s="11">
        <f t="shared" si="32"/>
        <v>0.14337463428186062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4.9321595156287756</v>
      </c>
      <c r="H33" s="67">
        <f t="shared" si="1"/>
        <v>224.71098448804091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63.930641961596478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3.887142857142857</v>
      </c>
      <c r="N33" s="13">
        <f>IF('Données projet'!$A$36&gt;35,N32+M33-V32,IF(A33&lt;'Données projet'!$A$36,$K$205^A33,IF(A33='Données projet'!$A$36,'Données projet'!$B$36,N32+M33-V32)))</f>
        <v>116.61428571428576</v>
      </c>
      <c r="O33" s="13">
        <f>N33*VLOOKUP('Données projet'!$B$9,Paramètres!$A$1:$I$89,3,0)*VLOOKUP('Données projet'!$B$9,Paramètres!$A$1:$I$89,5,0)</f>
        <v>118.24688571428577</v>
      </c>
      <c r="P33" s="13">
        <f t="shared" si="33"/>
        <v>31.265764612722538</v>
      </c>
      <c r="Q33" s="20">
        <f t="shared" si="2"/>
        <v>260.40119931953944</v>
      </c>
      <c r="R33" s="59">
        <f t="shared" si="0"/>
        <v>531.48021984539321</v>
      </c>
      <c r="S33" s="59">
        <f ca="1">AVERAGE(OFFSET($R$3,0,0,'Données projet'!$E$9+1,1))-AVERAGE(OFFSET($H$3,0,0,'Données projet'!$E$9+1,1))</f>
        <v>665.7907881991157</v>
      </c>
      <c r="T33" s="59">
        <f t="shared" si="34"/>
        <v>306.76923535735227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63.930641961596478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9.9228571428571435</v>
      </c>
      <c r="AI33" s="13">
        <f>IF('Données projet'!$A$62&gt;35,AI32+AH33-AQ32,IF(A33&lt;'Données projet'!$A$62,$AF$205^A33,IF(A33='Données projet'!$A$62,'Données projet'!$B$62,AI32+AH33-AQ32)))</f>
        <v>297.68571428571425</v>
      </c>
      <c r="AJ33" s="13">
        <f>AI33*VLOOKUP('Données projet'!$B$10,Paramètres!$A$1:$I$89,3,0)*VLOOKUP('Données projet'!$B$10,Paramètres!$A$1:$I$89,5,0)</f>
        <v>139.31691428571426</v>
      </c>
      <c r="AK33" s="13">
        <f t="shared" si="35"/>
        <v>36.14047563226957</v>
      </c>
      <c r="AL33" s="20">
        <f t="shared" si="4"/>
        <v>305.58828744048856</v>
      </c>
      <c r="AM33" s="59">
        <f t="shared" si="5"/>
        <v>576.66730796634238</v>
      </c>
      <c r="AN33" s="59">
        <f ca="1">AVERAGE(OFFSET($AM$3,0,0,'Données projet'!$E$10+1,1))-AVERAGE(OFFSET($H$3,0,0,'Données projet'!$E$10+1,1))</f>
        <v>370.42479501931444</v>
      </c>
      <c r="AO33" s="59">
        <f t="shared" si="36"/>
        <v>351.95632347830144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63.930641961596478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40.91675</v>
      </c>
      <c r="BB33" s="12">
        <f>VLOOKUP(A33,'Données projet'!$A$87:$I$107,9,0)</f>
        <v>3.6050000000000004</v>
      </c>
      <c r="BC33" s="12">
        <f t="array" ref="BC33">INDEX(BB:BB,MIN(IF(ISNUMBER(BB33:BB229),ROW(BB33:BB229),"")))</f>
        <v>3.6050000000000004</v>
      </c>
      <c r="BD33" s="12">
        <f>IF('Données projet'!$A$88&gt;35,BD32+BC33-BL32,IF(A33&lt;'Données projet'!$A$88,$BA$205^A33,IF(A33='Données projet'!$A$88,'Données projet'!$B$88,BD32+BC33-BL32)))</f>
        <v>40.916750000000008</v>
      </c>
      <c r="BE33" s="13">
        <f>BD33*VLOOKUP('Données projet'!$B$11,Paramètres!$A$1:$I$89,3,0)*VLOOKUP('Données projet'!$B$11,Paramètres!$A$1:$I$89,5,0)</f>
        <v>35.74487280000001</v>
      </c>
      <c r="BF33" s="13">
        <f t="shared" si="37"/>
        <v>10.86354930112298</v>
      </c>
      <c r="BG33" s="20">
        <f t="shared" si="7"/>
        <v>81.17633515945586</v>
      </c>
      <c r="BH33" s="59">
        <f t="shared" si="8"/>
        <v>352.25535568530961</v>
      </c>
      <c r="BI33" s="59">
        <f ca="1">AVERAGE(OFFSET($BH$3,0,0,'Données projet'!$E$11+1,1))-AVERAGE(OFFSET($H$3,0,0,'Données projet'!$E$11+1,1))</f>
        <v>128.92423054779167</v>
      </c>
      <c r="BJ33" s="59">
        <f t="shared" si="38"/>
        <v>127.5443711972687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7.5705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63.930641961596478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3.887142857142857</v>
      </c>
      <c r="BY33" s="12">
        <f>IF('Données projet'!$A$114&gt;35,BY32+BX33-CG32,IF(A33&lt;'Données projet'!$A$114,$BV$205^A33,IF(A33='Données projet'!$A$114,'Données projet'!$B$114,BY32+BX33-CG32)))</f>
        <v>116.61428571428576</v>
      </c>
      <c r="BZ33" s="13">
        <f>BY33*VLOOKUP('Données projet'!$B$12,Paramètres!$A$1:$I$89,3,0)*VLOOKUP('Données projet'!$B$12,Paramètres!$A$1:$I$89,5,0)</f>
        <v>105.51260571428575</v>
      </c>
      <c r="CA33" s="13">
        <f t="shared" si="39"/>
        <v>28.271170326518615</v>
      </c>
      <c r="CB33" s="20">
        <f t="shared" si="10"/>
        <v>233.00674327106756</v>
      </c>
      <c r="CC33" s="59">
        <f t="shared" si="11"/>
        <v>504.08576379692136</v>
      </c>
      <c r="CD33" s="59">
        <f ca="1">AVERAGE(OFFSET($CC$3,0,0,'Données projet'!$E$12+1,1))-AVERAGE(OFFSET($H$3,0,0,'Données projet'!$E$12+1,1))</f>
        <v>601.17090553269054</v>
      </c>
      <c r="CE33" s="59">
        <f t="shared" si="40"/>
        <v>279.37477930888042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63.930641961596478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3.8113157894736847</v>
      </c>
      <c r="CT33" s="12">
        <f>IF('Données projet'!$A$140&gt;35,CT32+CS33-DB32,IF(A33&lt;'Données projet'!$A$140,$CQ$205^A33,IF(A33='Données projet'!$A$140,'Données projet'!$B$140,CT32+CS33-DB32)))</f>
        <v>114.33947368421047</v>
      </c>
      <c r="CU33" s="17">
        <f>CT33*VLOOKUP('Données projet'!$B$13,Paramètres!$A$1:$I$89,3,0)*VLOOKUP('Données projet'!$B$13,Paramètres!$A$1:$I$89,5,0)</f>
        <v>108.8054431578947</v>
      </c>
      <c r="CV33" s="13">
        <f t="shared" si="41"/>
        <v>29.049359057682665</v>
      </c>
      <c r="CW33" s="20">
        <f t="shared" si="13"/>
        <v>240.09711385879723</v>
      </c>
      <c r="CX33" s="59">
        <f t="shared" si="14"/>
        <v>511.17613438465099</v>
      </c>
      <c r="CY33" s="59">
        <f ca="1">AVERAGE(OFFSET($CX$3,0,0,'Données projet'!$E$13+1,1))-AVERAGE(OFFSET($H$3,0,0,'Données projet'!$E$13+1,1))</f>
        <v>418.79317359649315</v>
      </c>
      <c r="CZ33" s="59">
        <f t="shared" si="42"/>
        <v>286.46514989661011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63.930641961596478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63.930641961596478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63.930641961596478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63.930641961596478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63.930641961596478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1.35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0.27565200000000012</v>
      </c>
      <c r="D34" s="11">
        <f t="shared" si="32"/>
        <v>0.14758940269246412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4.933171266172752</v>
      </c>
      <c r="H34" s="67">
        <f t="shared" si="1"/>
        <v>224.73381210968938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64.035931754510997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3.887142857142857</v>
      </c>
      <c r="N34" s="13">
        <f>IF('Données projet'!$A$36&gt;35,N33+M34-V33,IF(A34&lt;'Données projet'!$A$36,$K$205^A34,IF(A34='Données projet'!$A$36,'Données projet'!$B$36,N33+M34-V33)))</f>
        <v>120.50142857142862</v>
      </c>
      <c r="O34" s="13">
        <f>N34*VLOOKUP('Données projet'!$B$9,Paramètres!$A$1:$I$89,3,0)*VLOOKUP('Données projet'!$B$9,Paramètres!$A$1:$I$89,5,0)</f>
        <v>122.18844857142862</v>
      </c>
      <c r="P34" s="13">
        <f t="shared" si="33"/>
        <v>32.184880868419519</v>
      </c>
      <c r="Q34" s="20">
        <f t="shared" si="2"/>
        <v>268.86688210773553</v>
      </c>
      <c r="R34" s="59">
        <f t="shared" si="0"/>
        <v>540.33196520760919</v>
      </c>
      <c r="S34" s="59">
        <f ca="1">AVERAGE(OFFSET($R$3,0,0,'Données projet'!$E$9+1,1))-AVERAGE(OFFSET($H$3,0,0,'Données projet'!$E$9+1,1))</f>
        <v>665.7907881991157</v>
      </c>
      <c r="T34" s="59">
        <f t="shared" si="34"/>
        <v>306.76923535735227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64.035931754510997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9.9228571428571435</v>
      </c>
      <c r="AI34" s="13">
        <f>IF('Données projet'!$A$62&gt;35,AI33+AH34-AQ33,IF(A34&lt;'Données projet'!$A$62,$AF$205^A34,IF(A34='Données projet'!$A$62,'Données projet'!$B$62,AI33+AH34-AQ33)))</f>
        <v>307.60857142857139</v>
      </c>
      <c r="AJ34" s="13">
        <f>AI34*VLOOKUP('Données projet'!$B$10,Paramètres!$A$1:$I$89,3,0)*VLOOKUP('Données projet'!$B$10,Paramètres!$A$1:$I$89,5,0)</f>
        <v>143.96081142857142</v>
      </c>
      <c r="AK34" s="13">
        <f t="shared" si="35"/>
        <v>37.202893233556154</v>
      </c>
      <c r="AL34" s="20">
        <f t="shared" si="4"/>
        <v>315.52678561987216</v>
      </c>
      <c r="AM34" s="59">
        <f t="shared" si="5"/>
        <v>586.99186871974575</v>
      </c>
      <c r="AN34" s="59">
        <f ca="1">AVERAGE(OFFSET($AM$3,0,0,'Données projet'!$E$10+1,1))-AVERAGE(OFFSET($H$3,0,0,'Données projet'!$E$10+1,1))</f>
        <v>370.42479501931444</v>
      </c>
      <c r="AO34" s="59">
        <f t="shared" si="36"/>
        <v>351.95632347830144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64.035931754510997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3.2445000000000008</v>
      </c>
      <c r="BD34" s="12">
        <f>IF('Données projet'!$A$88&gt;35,BD33+BC34-BL33,IF(A34&lt;'Données projet'!$A$88,$BA$205^A34,IF(A34='Données projet'!$A$88,'Données projet'!$B$88,BD33+BC34-BL33)))</f>
        <v>36.590750000000007</v>
      </c>
      <c r="BE34" s="13">
        <f>BD34*VLOOKUP('Données projet'!$B$11,Paramètres!$A$1:$I$89,3,0)*VLOOKUP('Données projet'!$B$11,Paramètres!$A$1:$I$89,5,0)</f>
        <v>31.965679200000011</v>
      </c>
      <c r="BF34" s="13">
        <f t="shared" si="37"/>
        <v>9.8421683942170777</v>
      </c>
      <c r="BG34" s="20">
        <f t="shared" si="7"/>
        <v>72.81533455992809</v>
      </c>
      <c r="BH34" s="59">
        <f t="shared" si="8"/>
        <v>344.28041765980174</v>
      </c>
      <c r="BI34" s="59">
        <f ca="1">AVERAGE(OFFSET($BH$3,0,0,'Données projet'!$E$11+1,1))-AVERAGE(OFFSET($H$3,0,0,'Données projet'!$E$11+1,1))</f>
        <v>128.92423054779167</v>
      </c>
      <c r="BJ34" s="59">
        <f t="shared" si="38"/>
        <v>127.5443711972687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64.035931754510997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3.887142857142857</v>
      </c>
      <c r="BY34" s="12">
        <f>IF('Données projet'!$A$114&gt;35,BY33+BX34-CG33,IF(A34&lt;'Données projet'!$A$114,$BV$205^A34,IF(A34='Données projet'!$A$114,'Données projet'!$B$114,BY33+BX34-CG33)))</f>
        <v>120.50142857142862</v>
      </c>
      <c r="BZ34" s="13">
        <f>BY34*VLOOKUP('Données projet'!$B$12,Paramètres!$A$1:$I$89,3,0)*VLOOKUP('Données projet'!$B$12,Paramètres!$A$1:$I$89,5,0)</f>
        <v>109.02969257142863</v>
      </c>
      <c r="CA34" s="13">
        <f t="shared" si="39"/>
        <v>29.102254822181546</v>
      </c>
      <c r="CB34" s="20">
        <f t="shared" si="10"/>
        <v>240.57980837720436</v>
      </c>
      <c r="CC34" s="59">
        <f t="shared" si="11"/>
        <v>512.04489147707795</v>
      </c>
      <c r="CD34" s="59">
        <f ca="1">AVERAGE(OFFSET($CC$3,0,0,'Données projet'!$E$12+1,1))-AVERAGE(OFFSET($H$3,0,0,'Données projet'!$E$12+1,1))</f>
        <v>601.17090553269054</v>
      </c>
      <c r="CE34" s="59">
        <f t="shared" si="40"/>
        <v>279.37477930888042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64.035931754510997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3.8113157894736847</v>
      </c>
      <c r="CT34" s="12">
        <f>IF('Données projet'!$A$140&gt;35,CT33+CS34-DB33,IF(A34&lt;'Données projet'!$A$140,$CQ$205^A34,IF(A34='Données projet'!$A$140,'Données projet'!$B$140,CT33+CS34-DB33)))</f>
        <v>118.15078947368416</v>
      </c>
      <c r="CU34" s="17">
        <f>CT34*VLOOKUP('Données projet'!$B$13,Paramètres!$A$1:$I$89,3,0)*VLOOKUP('Données projet'!$B$13,Paramètres!$A$1:$I$89,5,0)</f>
        <v>112.43229126315784</v>
      </c>
      <c r="CV34" s="13">
        <f t="shared" si="41"/>
        <v>29.903319882188772</v>
      </c>
      <c r="CW34" s="20">
        <f t="shared" si="13"/>
        <v>247.90118941147867</v>
      </c>
      <c r="CX34" s="59">
        <f t="shared" si="14"/>
        <v>519.36627251135235</v>
      </c>
      <c r="CY34" s="59">
        <f ca="1">AVERAGE(OFFSET($CX$3,0,0,'Données projet'!$E$13+1,1))-AVERAGE(OFFSET($H$3,0,0,'Données projet'!$E$13+1,1))</f>
        <v>418.79317359649315</v>
      </c>
      <c r="CZ34" s="59">
        <f t="shared" si="42"/>
        <v>286.46514989661011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64.035931754510997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64.035931754510997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64.035931754510997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64.035931754510997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64.035931754510997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1.35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0.28454400000000013</v>
      </c>
      <c r="D35" s="11">
        <f t="shared" si="32"/>
        <v>0.15178837210716523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4.934181797145115</v>
      </c>
      <c r="H35" s="67">
        <f t="shared" si="1"/>
        <v>224.75661221475332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64.139395004911165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3.887142857142857</v>
      </c>
      <c r="N35" s="13">
        <f>IF('Données projet'!$A$36&gt;35,N34+M35-V34,IF(A35&lt;'Données projet'!$A$36,$K$205^A35,IF(A35='Données projet'!$A$36,'Données projet'!$B$36,N34+M35-V34)))</f>
        <v>124.38857142857148</v>
      </c>
      <c r="O35" s="13">
        <f>N35*VLOOKUP('Données projet'!$B$9,Paramètres!$A$1:$I$89,3,0)*VLOOKUP('Données projet'!$B$9,Paramètres!$A$1:$I$89,5,0)</f>
        <v>126.13001142857149</v>
      </c>
      <c r="P35" s="13">
        <f t="shared" si="33"/>
        <v>33.100551830676153</v>
      </c>
      <c r="Q35" s="20">
        <f t="shared" ref="Q35:Q66" si="53">(O35+P35)*0.475*44/12</f>
        <v>277.32656434318966</v>
      </c>
      <c r="R35" s="59">
        <f t="shared" si="0"/>
        <v>549.17101269453065</v>
      </c>
      <c r="S35" s="59">
        <f ca="1">AVERAGE(OFFSET($R$3,0,0,'Données projet'!$E$9+1,1))-AVERAGE(OFFSET($H$3,0,0,'Données projet'!$E$9+1,1))</f>
        <v>665.7907881991157</v>
      </c>
      <c r="T35" s="59">
        <f t="shared" si="34"/>
        <v>306.76923535735227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64.139395004911165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9.9228571428571435</v>
      </c>
      <c r="AI35" s="13">
        <f>IF('Données projet'!$A$62&gt;35,AI34+AH35-AQ34,IF(A35&lt;'Données projet'!$A$62,$AF$205^A35,IF(A35='Données projet'!$A$62,'Données projet'!$B$62,AI34+AH35-AQ34)))</f>
        <v>317.53142857142853</v>
      </c>
      <c r="AJ35" s="13">
        <f>AI35*VLOOKUP('Données projet'!$B$10,Paramètres!$A$1:$I$89,3,0)*VLOOKUP('Données projet'!$B$10,Paramètres!$A$1:$I$89,5,0)</f>
        <v>148.60470857142857</v>
      </c>
      <c r="AK35" s="13">
        <f t="shared" si="35"/>
        <v>38.261328378466914</v>
      </c>
      <c r="AL35" s="20">
        <f t="shared" si="4"/>
        <v>325.4583476877346</v>
      </c>
      <c r="AM35" s="59">
        <f t="shared" si="5"/>
        <v>597.30279603907547</v>
      </c>
      <c r="AN35" s="59">
        <f ca="1">AVERAGE(OFFSET($AM$3,0,0,'Données projet'!$E$10+1,1))-AVERAGE(OFFSET($H$3,0,0,'Données projet'!$E$10+1,1))</f>
        <v>370.42479501931444</v>
      </c>
      <c r="AO35" s="59">
        <f t="shared" si="36"/>
        <v>351.95632347830144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64.139395004911165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3.2445000000000008</v>
      </c>
      <c r="BD35" s="12">
        <f>IF('Données projet'!$A$88&gt;35,BD34+BC35-BL34,IF(A35&lt;'Données projet'!$A$88,$BA$205^A35,IF(A35='Données projet'!$A$88,'Données projet'!$B$88,BD34+BC35-BL34)))</f>
        <v>39.835250000000009</v>
      </c>
      <c r="BE35" s="13">
        <f>BD35*VLOOKUP('Données projet'!$B$11,Paramètres!$A$1:$I$89,3,0)*VLOOKUP('Données projet'!$B$11,Paramètres!$A$1:$I$89,5,0)</f>
        <v>34.800074400000014</v>
      </c>
      <c r="BF35" s="13">
        <f t="shared" si="37"/>
        <v>10.60943619329038</v>
      </c>
      <c r="BG35" s="20">
        <f t="shared" si="7"/>
        <v>79.088230949980755</v>
      </c>
      <c r="BH35" s="59">
        <f t="shared" si="8"/>
        <v>350.93267930132168</v>
      </c>
      <c r="BI35" s="59">
        <f ca="1">AVERAGE(OFFSET($BH$3,0,0,'Données projet'!$E$11+1,1))-AVERAGE(OFFSET($H$3,0,0,'Données projet'!$E$11+1,1))</f>
        <v>128.92423054779167</v>
      </c>
      <c r="BJ35" s="59">
        <f t="shared" si="38"/>
        <v>127.5443711972687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64.139395004911165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3.887142857142857</v>
      </c>
      <c r="BY35" s="12">
        <f>IF('Données projet'!$A$114&gt;35,BY34+BX35-CG34,IF(A35&lt;'Données projet'!$A$114,$BV$205^A35,IF(A35='Données projet'!$A$114,'Données projet'!$B$114,BY34+BX35-CG34)))</f>
        <v>124.38857142857148</v>
      </c>
      <c r="BZ35" s="13">
        <f>BY35*VLOOKUP('Données projet'!$B$12,Paramètres!$A$1:$I$89,3,0)*VLOOKUP('Données projet'!$B$12,Paramètres!$A$1:$I$89,5,0)</f>
        <v>112.54677942857147</v>
      </c>
      <c r="CA35" s="13">
        <f t="shared" si="39"/>
        <v>29.930224010130704</v>
      </c>
      <c r="CB35" s="20">
        <f t="shared" si="10"/>
        <v>248.14744765573963</v>
      </c>
      <c r="CC35" s="59">
        <f t="shared" si="11"/>
        <v>519.99189600708053</v>
      </c>
      <c r="CD35" s="59">
        <f ca="1">AVERAGE(OFFSET($CC$3,0,0,'Données projet'!$E$12+1,1))-AVERAGE(OFFSET($H$3,0,0,'Données projet'!$E$12+1,1))</f>
        <v>601.17090553269054</v>
      </c>
      <c r="CE35" s="59">
        <f t="shared" si="40"/>
        <v>279.37477930888042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64.139395004911165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3.8113157894736847</v>
      </c>
      <c r="CT35" s="12">
        <f>IF('Données projet'!$A$140&gt;35,CT34+CS35-DB34,IF(A35&lt;'Données projet'!$A$140,$CQ$205^A35,IF(A35='Données projet'!$A$140,'Données projet'!$B$140,CT34+CS35-DB34)))</f>
        <v>121.96210526315784</v>
      </c>
      <c r="CU35" s="17">
        <f>CT35*VLOOKUP('Données projet'!$B$13,Paramètres!$A$1:$I$89,3,0)*VLOOKUP('Données projet'!$B$13,Paramètres!$A$1:$I$89,5,0)</f>
        <v>116.059139368421</v>
      </c>
      <c r="CV35" s="13">
        <f t="shared" si="41"/>
        <v>30.754079647406954</v>
      </c>
      <c r="CW35" s="20">
        <f t="shared" si="13"/>
        <v>255.69968978590032</v>
      </c>
      <c r="CX35" s="59">
        <f t="shared" si="14"/>
        <v>527.54413813724125</v>
      </c>
      <c r="CY35" s="59">
        <f ca="1">AVERAGE(OFFSET($CX$3,0,0,'Données projet'!$E$13+1,1))-AVERAGE(OFFSET($H$3,0,0,'Données projet'!$E$13+1,1))</f>
        <v>418.79317359649315</v>
      </c>
      <c r="CZ35" s="59">
        <f t="shared" si="42"/>
        <v>286.46514989661011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64.139395004911165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64.139395004911165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64.139395004911165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64.139395004911165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64.139395004911165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1.35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0.29343600000000014</v>
      </c>
      <c r="D36" s="11">
        <f t="shared" si="32"/>
        <v>0.15597209289393868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4.9351911510304092</v>
      </c>
      <c r="H36" s="67">
        <f t="shared" si="1"/>
        <v>224.77938576179028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64.24106339922605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3.887142857142857</v>
      </c>
      <c r="N36" s="13">
        <f>IF('Données projet'!$A$36&gt;35,N35+M36-V35,IF(A36&lt;'Données projet'!$A$36,$K$205^A36,IF(A36='Données projet'!$A$36,'Données projet'!$B$36,N35+M36-V35)))</f>
        <v>128.27571428571434</v>
      </c>
      <c r="O36" s="13">
        <f>N36*VLOOKUP('Données projet'!$B$9,Paramètres!$A$1:$I$89,3,0)*VLOOKUP('Données projet'!$B$9,Paramètres!$A$1:$I$89,5,0)</f>
        <v>130.07157428571435</v>
      </c>
      <c r="P36" s="13">
        <f t="shared" si="33"/>
        <v>34.012897518459816</v>
      </c>
      <c r="Q36" s="20">
        <f t="shared" si="53"/>
        <v>285.78045505893664</v>
      </c>
      <c r="R36" s="59">
        <f t="shared" si="0"/>
        <v>557.99768752276555</v>
      </c>
      <c r="S36" s="59">
        <f ca="1">AVERAGE(OFFSET($R$3,0,0,'Données projet'!$E$9+1,1))-AVERAGE(OFFSET($H$3,0,0,'Données projet'!$E$9+1,1))</f>
        <v>665.7907881991157</v>
      </c>
      <c r="T36" s="59">
        <f t="shared" si="34"/>
        <v>306.76923535735227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64.24106339922605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9.9228571428571435</v>
      </c>
      <c r="AI36" s="13">
        <f>IF('Données projet'!$A$62&gt;35,AI35+AH36-AQ35,IF(A36&lt;'Données projet'!$A$62,$AF$205^A36,IF(A36='Données projet'!$A$62,'Données projet'!$B$62,AI35+AH36-AQ35)))</f>
        <v>327.45428571428567</v>
      </c>
      <c r="AJ36" s="13">
        <f>AI36*VLOOKUP('Données projet'!$B$10,Paramètres!$A$1:$I$89,3,0)*VLOOKUP('Données projet'!$B$10,Paramètres!$A$1:$I$89,5,0)</f>
        <v>153.2486057142857</v>
      </c>
      <c r="AK36" s="13">
        <f t="shared" si="35"/>
        <v>39.315919798378474</v>
      </c>
      <c r="AL36" s="20">
        <f t="shared" si="4"/>
        <v>335.38321526789008</v>
      </c>
      <c r="AM36" s="59">
        <f t="shared" si="5"/>
        <v>607.60044773171899</v>
      </c>
      <c r="AN36" s="59">
        <f ca="1">AVERAGE(OFFSET($AM$3,0,0,'Données projet'!$E$10+1,1))-AVERAGE(OFFSET($H$3,0,0,'Données projet'!$E$10+1,1))</f>
        <v>370.42479501931444</v>
      </c>
      <c r="AO36" s="59">
        <f t="shared" si="36"/>
        <v>351.95632347830144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64.24106339922605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3.2445000000000008</v>
      </c>
      <c r="BD36" s="12">
        <f>IF('Données projet'!$A$88&gt;35,BD35+BC36-BL35,IF(A36&lt;'Données projet'!$A$88,$BA$205^A36,IF(A36='Données projet'!$A$88,'Données projet'!$B$88,BD35+BC36-BL35)))</f>
        <v>43.079750000000011</v>
      </c>
      <c r="BE36" s="13">
        <f>BD36*VLOOKUP('Données projet'!$B$11,Paramètres!$A$1:$I$89,3,0)*VLOOKUP('Données projet'!$B$11,Paramètres!$A$1:$I$89,5,0)</f>
        <v>37.634469600000017</v>
      </c>
      <c r="BF36" s="13">
        <f t="shared" si="37"/>
        <v>11.369455795889664</v>
      </c>
      <c r="BG36" s="20">
        <f t="shared" si="7"/>
        <v>85.348503397841185</v>
      </c>
      <c r="BH36" s="59">
        <f t="shared" si="8"/>
        <v>357.56573586167002</v>
      </c>
      <c r="BI36" s="59">
        <f ca="1">AVERAGE(OFFSET($BH$3,0,0,'Données projet'!$E$11+1,1))-AVERAGE(OFFSET($H$3,0,0,'Données projet'!$E$11+1,1))</f>
        <v>128.92423054779167</v>
      </c>
      <c r="BJ36" s="59">
        <f t="shared" si="38"/>
        <v>127.5443711972687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64.24106339922605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3.887142857142857</v>
      </c>
      <c r="BY36" s="12">
        <f>IF('Données projet'!$A$114&gt;35,BY35+BX36-CG35,IF(A36&lt;'Données projet'!$A$114,$BV$205^A36,IF(A36='Données projet'!$A$114,'Données projet'!$B$114,BY35+BX36-CG35)))</f>
        <v>128.27571428571434</v>
      </c>
      <c r="BZ36" s="13">
        <f>BY36*VLOOKUP('Données projet'!$B$12,Paramètres!$A$1:$I$89,3,0)*VLOOKUP('Données projet'!$B$12,Paramètres!$A$1:$I$89,5,0)</f>
        <v>116.06386628571434</v>
      </c>
      <c r="CA36" s="13">
        <f t="shared" si="39"/>
        <v>30.755186414072718</v>
      </c>
      <c r="CB36" s="20">
        <f t="shared" si="10"/>
        <v>255.70985011879577</v>
      </c>
      <c r="CC36" s="59">
        <f t="shared" si="11"/>
        <v>527.92708258262462</v>
      </c>
      <c r="CD36" s="59">
        <f ca="1">AVERAGE(OFFSET($CC$3,0,0,'Données projet'!$E$12+1,1))-AVERAGE(OFFSET($H$3,0,0,'Données projet'!$E$12+1,1))</f>
        <v>601.17090553269054</v>
      </c>
      <c r="CE36" s="59">
        <f t="shared" si="40"/>
        <v>279.37477930888042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64.24106339922605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3.8113157894736847</v>
      </c>
      <c r="CT36" s="12">
        <f>IF('Données projet'!$A$140&gt;35,CT35+CS36-DB35,IF(A36&lt;'Données projet'!$A$140,$CQ$205^A36,IF(A36='Données projet'!$A$140,'Données projet'!$B$140,CT35+CS36-DB35)))</f>
        <v>125.77342105263152</v>
      </c>
      <c r="CU36" s="17">
        <f>CT36*VLOOKUP('Données projet'!$B$13,Paramètres!$A$1:$I$89,3,0)*VLOOKUP('Données projet'!$B$13,Paramètres!$A$1:$I$89,5,0)</f>
        <v>119.68598747368416</v>
      </c>
      <c r="CV36" s="13">
        <f t="shared" si="41"/>
        <v>31.601749864254028</v>
      </c>
      <c r="CW36" s="20">
        <f t="shared" si="13"/>
        <v>263.49280919690904</v>
      </c>
      <c r="CX36" s="59">
        <f t="shared" si="14"/>
        <v>535.71004166073794</v>
      </c>
      <c r="CY36" s="59">
        <f ca="1">AVERAGE(OFFSET($CX$3,0,0,'Données projet'!$E$13+1,1))-AVERAGE(OFFSET($H$3,0,0,'Données projet'!$E$13+1,1))</f>
        <v>418.79317359649315</v>
      </c>
      <c r="CZ36" s="59">
        <f t="shared" si="42"/>
        <v>286.46514989661011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64.24106339922605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64.24106339922605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64.24106339922605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64.24106339922605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64.24106339922605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1.35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0.30232800000000015</v>
      </c>
      <c r="D37" s="11">
        <f t="shared" si="32"/>
        <v>0.16014108016965103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4.9361993675920433</v>
      </c>
      <c r="H37" s="67">
        <f t="shared" si="1"/>
        <v>224.80213364796214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64.34096807419607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3.887142857142857</v>
      </c>
      <c r="N37" s="13">
        <f>IF('Données projet'!$A$36&gt;35,N36+M37-V36,IF(A37&lt;'Données projet'!$A$36,$K$205^A37,IF(A37='Données projet'!$A$36,'Données projet'!$B$36,N36+M37-V36)))</f>
        <v>132.16285714285721</v>
      </c>
      <c r="O37" s="13">
        <f>N37*VLOOKUP('Données projet'!$B$9,Paramètres!$A$1:$I$89,3,0)*VLOOKUP('Données projet'!$B$9,Paramètres!$A$1:$I$89,5,0)</f>
        <v>134.0131371428572</v>
      </c>
      <c r="P37" s="13">
        <f t="shared" si="33"/>
        <v>34.92203026351433</v>
      </c>
      <c r="Q37" s="20">
        <f t="shared" si="53"/>
        <v>294.2287498994304</v>
      </c>
      <c r="R37" s="59">
        <f t="shared" si="0"/>
        <v>566.812299504816</v>
      </c>
      <c r="S37" s="59">
        <f ca="1">AVERAGE(OFFSET($R$3,0,0,'Données projet'!$E$9+1,1))-AVERAGE(OFFSET($H$3,0,0,'Données projet'!$E$9+1,1))</f>
        <v>665.7907881991157</v>
      </c>
      <c r="T37" s="59">
        <f t="shared" si="34"/>
        <v>306.76923535735227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64.34096807419607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9.9228571428571435</v>
      </c>
      <c r="AI37" s="13">
        <f>IF('Données projet'!$A$62&gt;35,AI36+AH37-AQ36,IF(A37&lt;'Données projet'!$A$62,$AF$205^A37,IF(A37='Données projet'!$A$62,'Données projet'!$B$62,AI36+AH37-AQ36)))</f>
        <v>337.37714285714281</v>
      </c>
      <c r="AJ37" s="13">
        <f>AI37*VLOOKUP('Données projet'!$B$10,Paramètres!$A$1:$I$89,3,0)*VLOOKUP('Données projet'!$B$10,Paramètres!$A$1:$I$89,5,0)</f>
        <v>157.89250285714283</v>
      </c>
      <c r="AK37" s="13">
        <f t="shared" si="35"/>
        <v>40.366797338912775</v>
      </c>
      <c r="AL37" s="20">
        <f t="shared" si="4"/>
        <v>345.30161450813017</v>
      </c>
      <c r="AM37" s="59">
        <f t="shared" si="5"/>
        <v>617.88516411351577</v>
      </c>
      <c r="AN37" s="59">
        <f ca="1">AVERAGE(OFFSET($AM$3,0,0,'Données projet'!$E$10+1,1))-AVERAGE(OFFSET($H$3,0,0,'Données projet'!$E$10+1,1))</f>
        <v>370.42479501931444</v>
      </c>
      <c r="AO37" s="59">
        <f t="shared" si="36"/>
        <v>351.95632347830144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64.34096807419607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3.2445000000000008</v>
      </c>
      <c r="BD37" s="12">
        <f>IF('Données projet'!$A$88&gt;35,BD36+BC37-BL36,IF(A37&lt;'Données projet'!$A$88,$BA$205^A37,IF(A37='Données projet'!$A$88,'Données projet'!$B$88,BD36+BC37-BL36)))</f>
        <v>46.324250000000013</v>
      </c>
      <c r="BE37" s="13">
        <f>BD37*VLOOKUP('Données projet'!$B$11,Paramètres!$A$1:$I$89,3,0)*VLOOKUP('Données projet'!$B$11,Paramètres!$A$1:$I$89,5,0)</f>
        <v>40.468864800000013</v>
      </c>
      <c r="BF37" s="13">
        <f t="shared" si="37"/>
        <v>12.122835162518593</v>
      </c>
      <c r="BG37" s="20">
        <f t="shared" si="7"/>
        <v>91.59721076805323</v>
      </c>
      <c r="BH37" s="59">
        <f t="shared" si="8"/>
        <v>364.18076037343883</v>
      </c>
      <c r="BI37" s="59">
        <f ca="1">AVERAGE(OFFSET($BH$3,0,0,'Données projet'!$E$11+1,1))-AVERAGE(OFFSET($H$3,0,0,'Données projet'!$E$11+1,1))</f>
        <v>128.92423054779167</v>
      </c>
      <c r="BJ37" s="59">
        <f t="shared" si="38"/>
        <v>127.5443711972687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64.34096807419607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3.887142857142857</v>
      </c>
      <c r="BY37" s="12">
        <f>IF('Données projet'!$A$114&gt;35,BY36+BX37-CG36,IF(A37&lt;'Données projet'!$A$114,$BV$205^A37,IF(A37='Données projet'!$A$114,'Données projet'!$B$114,BY36+BX37-CG36)))</f>
        <v>132.16285714285721</v>
      </c>
      <c r="BZ37" s="13">
        <f>BY37*VLOOKUP('Données projet'!$B$12,Paramètres!$A$1:$I$89,3,0)*VLOOKUP('Données projet'!$B$12,Paramètres!$A$1:$I$89,5,0)</f>
        <v>119.58095314285718</v>
      </c>
      <c r="CA37" s="13">
        <f t="shared" si="39"/>
        <v>31.577243606763055</v>
      </c>
      <c r="CB37" s="20">
        <f t="shared" si="10"/>
        <v>263.26719267225525</v>
      </c>
      <c r="CC37" s="59">
        <f t="shared" si="11"/>
        <v>535.85074227764085</v>
      </c>
      <c r="CD37" s="59">
        <f ca="1">AVERAGE(OFFSET($CC$3,0,0,'Données projet'!$E$12+1,1))-AVERAGE(OFFSET($H$3,0,0,'Données projet'!$E$12+1,1))</f>
        <v>601.17090553269054</v>
      </c>
      <c r="CE37" s="59">
        <f t="shared" si="40"/>
        <v>279.37477930888042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64.34096807419607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3.8113157894736847</v>
      </c>
      <c r="CT37" s="12">
        <f>IF('Données projet'!$A$140&gt;35,CT36+CS37-DB36,IF(A37&lt;'Données projet'!$A$140,$CQ$205^A37,IF(A37='Données projet'!$A$140,'Données projet'!$B$140,CT36+CS37-DB36)))</f>
        <v>129.5847368421052</v>
      </c>
      <c r="CU37" s="17">
        <f>CT37*VLOOKUP('Données projet'!$B$13,Paramètres!$A$1:$I$89,3,0)*VLOOKUP('Données projet'!$B$13,Paramètres!$A$1:$I$89,5,0)</f>
        <v>123.3128355789473</v>
      </c>
      <c r="CV37" s="13">
        <f t="shared" si="41"/>
        <v>32.446434901364547</v>
      </c>
      <c r="CW37" s="20">
        <f t="shared" si="13"/>
        <v>271.28072941987642</v>
      </c>
      <c r="CX37" s="59">
        <f t="shared" si="14"/>
        <v>543.86427902526202</v>
      </c>
      <c r="CY37" s="59">
        <f ca="1">AVERAGE(OFFSET($CX$3,0,0,'Données projet'!$E$13+1,1))-AVERAGE(OFFSET($H$3,0,0,'Données projet'!$E$13+1,1))</f>
        <v>418.79317359649315</v>
      </c>
      <c r="CZ37" s="59">
        <f t="shared" si="42"/>
        <v>286.46514989661011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64.34096807419607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64.34096807419607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64.34096807419607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64.34096807419607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64.34096807419607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1.35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0.31122000000000016</v>
      </c>
      <c r="D38" s="11">
        <f t="shared" si="32"/>
        <v>0.16429581702750073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4.9372064841214209</v>
      </c>
      <c r="H38" s="67">
        <f t="shared" si="1"/>
        <v>224.82485671465622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64.439139626408746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3.887142857142857</v>
      </c>
      <c r="N38" s="13">
        <f>IF('Données projet'!$A$36&gt;35,N37+M38-V37,IF(A38&lt;'Données projet'!$A$36,$K$205^A38,IF(A38='Données projet'!$A$36,'Données projet'!$B$36,N37+M38-V37)))</f>
        <v>136.05000000000007</v>
      </c>
      <c r="O38" s="13">
        <f>N38*VLOOKUP('Données projet'!$B$9,Paramètres!$A$1:$I$89,3,0)*VLOOKUP('Données projet'!$B$9,Paramètres!$A$1:$I$89,5,0)</f>
        <v>137.95470000000009</v>
      </c>
      <c r="P38" s="13">
        <f t="shared" si="33"/>
        <v>35.828055414169384</v>
      </c>
      <c r="Q38" s="20">
        <f t="shared" si="53"/>
        <v>302.67163234634512</v>
      </c>
      <c r="R38" s="59">
        <f t="shared" si="0"/>
        <v>575.6151443098438</v>
      </c>
      <c r="S38" s="59">
        <f ca="1">AVERAGE(OFFSET($R$3,0,0,'Données projet'!$E$9+1,1))-AVERAGE(OFFSET($H$3,0,0,'Données projet'!$E$9+1,1))</f>
        <v>665.7907881991157</v>
      </c>
      <c r="T38" s="59">
        <f t="shared" si="34"/>
        <v>306.76923535735227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64.439139626408746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9.9228571428571435</v>
      </c>
      <c r="AI38" s="13">
        <f>IF('Données projet'!$A$62&gt;35,AI37+AH38-AQ37,IF(A38&lt;'Données projet'!$A$62,$AF$205^A38,IF(A38='Données projet'!$A$62,'Données projet'!$B$62,AI37+AH38-AQ37)))</f>
        <v>347.29999999999995</v>
      </c>
      <c r="AJ38" s="13">
        <f>AI38*VLOOKUP('Données projet'!$B$10,Paramètres!$A$1:$I$89,3,0)*VLOOKUP('Données projet'!$B$10,Paramètres!$A$1:$I$89,5,0)</f>
        <v>162.53639999999999</v>
      </c>
      <c r="AK38" s="13">
        <f t="shared" si="35"/>
        <v>41.414082773478739</v>
      </c>
      <c r="AL38" s="20">
        <f t="shared" si="4"/>
        <v>355.21375749714207</v>
      </c>
      <c r="AM38" s="59">
        <f t="shared" si="5"/>
        <v>628.1572694606408</v>
      </c>
      <c r="AN38" s="59">
        <f ca="1">AVERAGE(OFFSET($AM$3,0,0,'Données projet'!$E$10+1,1))-AVERAGE(OFFSET($H$3,0,0,'Données projet'!$E$10+1,1))</f>
        <v>370.42479501931444</v>
      </c>
      <c r="AO38" s="59">
        <f t="shared" si="36"/>
        <v>351.95632347830144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64.439139626408746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49.568750000000001</v>
      </c>
      <c r="BB38" s="12">
        <f>VLOOKUP(A38,'Données projet'!$A$87:$I$107,9,0)</f>
        <v>3.2445000000000008</v>
      </c>
      <c r="BC38" s="12">
        <f t="array" ref="BC38">INDEX(BB:BB,MIN(IF(ISNUMBER(BB38:BB234),ROW(BB38:BB234),"")))</f>
        <v>3.2445000000000008</v>
      </c>
      <c r="BD38" s="12">
        <f>IF('Données projet'!$A$88&gt;35,BD37+BC38-BL37,IF(A38&lt;'Données projet'!$A$88,$BA$205^A38,IF(A38='Données projet'!$A$88,'Données projet'!$B$88,BD37+BC38-BL37)))</f>
        <v>49.568750000000016</v>
      </c>
      <c r="BE38" s="13">
        <f>BD38*VLOOKUP('Données projet'!$B$11,Paramètres!$A$1:$I$89,3,0)*VLOOKUP('Données projet'!$B$11,Paramètres!$A$1:$I$89,5,0)</f>
        <v>43.303260000000023</v>
      </c>
      <c r="BF38" s="13">
        <f t="shared" si="37"/>
        <v>12.87009226873386</v>
      </c>
      <c r="BG38" s="20">
        <f t="shared" si="7"/>
        <v>97.835255201378175</v>
      </c>
      <c r="BH38" s="59">
        <f t="shared" si="8"/>
        <v>370.77876716487691</v>
      </c>
      <c r="BI38" s="59">
        <f ca="1">AVERAGE(OFFSET($BH$3,0,0,'Données projet'!$E$11+1,1))-AVERAGE(OFFSET($H$3,0,0,'Données projet'!$E$11+1,1))</f>
        <v>128.92423054779167</v>
      </c>
      <c r="BJ38" s="59">
        <f t="shared" si="38"/>
        <v>127.5443711972687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7.5705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64.439139626408746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3.887142857142857</v>
      </c>
      <c r="BY38" s="12">
        <f>IF('Données projet'!$A$114&gt;35,BY37+BX38-CG37,IF(A38&lt;'Données projet'!$A$114,$BV$205^A38,IF(A38='Données projet'!$A$114,'Données projet'!$B$114,BY37+BX38-CG37)))</f>
        <v>136.05000000000007</v>
      </c>
      <c r="BZ38" s="13">
        <f>BY38*VLOOKUP('Données projet'!$B$12,Paramètres!$A$1:$I$89,3,0)*VLOOKUP('Données projet'!$B$12,Paramètres!$A$1:$I$89,5,0)</f>
        <v>123.09804000000005</v>
      </c>
      <c r="CA38" s="13">
        <f t="shared" si="39"/>
        <v>32.396490846405321</v>
      </c>
      <c r="CB38" s="20">
        <f t="shared" si="10"/>
        <v>270.81964122415599</v>
      </c>
      <c r="CC38" s="59">
        <f t="shared" si="11"/>
        <v>543.76315318765478</v>
      </c>
      <c r="CD38" s="59">
        <f ca="1">AVERAGE(OFFSET($CC$3,0,0,'Données projet'!$E$12+1,1))-AVERAGE(OFFSET($H$3,0,0,'Données projet'!$E$12+1,1))</f>
        <v>601.17090553269054</v>
      </c>
      <c r="CE38" s="59">
        <f t="shared" si="40"/>
        <v>279.37477930888042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64.439139626408746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3.8113157894736847</v>
      </c>
      <c r="CT38" s="12">
        <f>IF('Données projet'!$A$140&gt;35,CT37+CS38-DB37,IF(A38&lt;'Données projet'!$A$140,$CQ$205^A38,IF(A38='Données projet'!$A$140,'Données projet'!$B$140,CT37+CS38-DB37)))</f>
        <v>133.3960526315789</v>
      </c>
      <c r="CU38" s="17">
        <f>CT38*VLOOKUP('Données projet'!$B$13,Paramètres!$A$1:$I$89,3,0)*VLOOKUP('Données projet'!$B$13,Paramètres!$A$1:$I$89,5,0)</f>
        <v>126.93968368421046</v>
      </c>
      <c r="CV38" s="13">
        <f t="shared" si="41"/>
        <v>33.288232639007553</v>
      </c>
      <c r="CW38" s="20">
        <f t="shared" si="13"/>
        <v>279.06362092960472</v>
      </c>
      <c r="CX38" s="59">
        <f t="shared" si="14"/>
        <v>552.00713289310352</v>
      </c>
      <c r="CY38" s="59">
        <f ca="1">AVERAGE(OFFSET($CX$3,0,0,'Données projet'!$E$13+1,1))-AVERAGE(OFFSET($H$3,0,0,'Données projet'!$E$13+1,1))</f>
        <v>418.79317359649315</v>
      </c>
      <c r="CZ38" s="59">
        <f t="shared" si="42"/>
        <v>286.46514989661011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64.439139626408746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64.439139626408746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64.439139626408746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64.439139626408746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64.439139626408746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1.35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0.32011200000000017</v>
      </c>
      <c r="D39" s="11">
        <f t="shared" si="32"/>
        <v>0.168436757385242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4.9382125356578079</v>
      </c>
      <c r="H39" s="67">
        <f t="shared" si="1"/>
        <v>224.84755575244597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64.535608121669242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3.887142857142857</v>
      </c>
      <c r="N39" s="13">
        <f>IF('Données projet'!$A$36&gt;35,N38+M39-V38,IF(A39&lt;'Données projet'!$A$36,$K$205^A39,IF(A39='Données projet'!$A$36,'Données projet'!$B$36,N38+M39-V38)))</f>
        <v>139.93714285714293</v>
      </c>
      <c r="O39" s="13">
        <f>N39*VLOOKUP('Données projet'!$B$9,Paramètres!$A$1:$I$89,3,0)*VLOOKUP('Données projet'!$B$9,Paramètres!$A$1:$I$89,5,0)</f>
        <v>141.89626285714294</v>
      </c>
      <c r="P39" s="13">
        <f t="shared" si="33"/>
        <v>36.73107195645354</v>
      </c>
      <c r="Q39" s="20">
        <f t="shared" si="53"/>
        <v>311.10927480034724</v>
      </c>
      <c r="R39" s="59">
        <f t="shared" si="0"/>
        <v>584.40650457980109</v>
      </c>
      <c r="S39" s="59">
        <f ca="1">AVERAGE(OFFSET($R$3,0,0,'Données projet'!$E$9+1,1))-AVERAGE(OFFSET($H$3,0,0,'Données projet'!$E$9+1,1))</f>
        <v>665.7907881991157</v>
      </c>
      <c r="T39" s="59">
        <f t="shared" si="34"/>
        <v>306.76923535735227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64.535608121669242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9.9228571428571435</v>
      </c>
      <c r="AI39" s="13">
        <f>IF('Données projet'!$A$62&gt;35,AI38+AH39-AQ38,IF(A39&lt;'Données projet'!$A$62,$AF$205^A39,IF(A39='Données projet'!$A$62,'Données projet'!$B$62,AI38+AH39-AQ38)))</f>
        <v>357.22285714285709</v>
      </c>
      <c r="AJ39" s="13">
        <f>AI39*VLOOKUP('Données projet'!$B$10,Paramètres!$A$1:$I$89,3,0)*VLOOKUP('Données projet'!$B$10,Paramètres!$A$1:$I$89,5,0)</f>
        <v>167.18029714285711</v>
      </c>
      <c r="AK39" s="13">
        <f t="shared" si="35"/>
        <v>42.457890521224527</v>
      </c>
      <c r="AL39" s="20">
        <f t="shared" si="4"/>
        <v>365.1198435149422</v>
      </c>
      <c r="AM39" s="59">
        <f t="shared" si="5"/>
        <v>638.417073294396</v>
      </c>
      <c r="AN39" s="59">
        <f ca="1">AVERAGE(OFFSET($AM$3,0,0,'Données projet'!$E$10+1,1))-AVERAGE(OFFSET($H$3,0,0,'Données projet'!$E$10+1,1))</f>
        <v>370.42479501931444</v>
      </c>
      <c r="AO39" s="59">
        <f t="shared" si="36"/>
        <v>351.95632347830144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64.535608121669242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2.8119000000000001</v>
      </c>
      <c r="BD39" s="12">
        <f>IF('Données projet'!$A$88&gt;35,BD38+BC39-BL38,IF(A39&lt;'Données projet'!$A$88,$BA$205^A39,IF(A39='Données projet'!$A$88,'Données projet'!$B$88,BD38+BC39-BL38)))</f>
        <v>44.810150000000014</v>
      </c>
      <c r="BE39" s="13">
        <f>BD39*VLOOKUP('Données projet'!$B$11,Paramètres!$A$1:$I$89,3,0)*VLOOKUP('Données projet'!$B$11,Paramètres!$A$1:$I$89,5,0)</f>
        <v>39.146147040000017</v>
      </c>
      <c r="BF39" s="13">
        <f t="shared" si="37"/>
        <v>11.772049664204607</v>
      </c>
      <c r="BG39" s="20">
        <f t="shared" si="7"/>
        <v>88.682525926489731</v>
      </c>
      <c r="BH39" s="59">
        <f t="shared" si="8"/>
        <v>361.9797557059436</v>
      </c>
      <c r="BI39" s="59">
        <f ca="1">AVERAGE(OFFSET($BH$3,0,0,'Données projet'!$E$11+1,1))-AVERAGE(OFFSET($H$3,0,0,'Données projet'!$E$11+1,1))</f>
        <v>128.92423054779167</v>
      </c>
      <c r="BJ39" s="59">
        <f t="shared" si="38"/>
        <v>127.5443711972687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64.535608121669242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3.887142857142857</v>
      </c>
      <c r="BY39" s="12">
        <f>IF('Données projet'!$A$114&gt;35,BY38+BX39-CG38,IF(A39&lt;'Données projet'!$A$114,$BV$205^A39,IF(A39='Données projet'!$A$114,'Données projet'!$B$114,BY38+BX39-CG38)))</f>
        <v>139.93714285714293</v>
      </c>
      <c r="BZ39" s="13">
        <f>BY39*VLOOKUP('Données projet'!$B$12,Paramètres!$A$1:$I$89,3,0)*VLOOKUP('Données projet'!$B$12,Paramètres!$A$1:$I$89,5,0)</f>
        <v>126.61512685714293</v>
      </c>
      <c r="CA39" s="13">
        <f t="shared" si="39"/>
        <v>33.213017638275041</v>
      </c>
      <c r="CB39" s="20">
        <f t="shared" si="10"/>
        <v>278.36735166285297</v>
      </c>
      <c r="CC39" s="59">
        <f t="shared" si="11"/>
        <v>551.66458144230683</v>
      </c>
      <c r="CD39" s="59">
        <f ca="1">AVERAGE(OFFSET($CC$3,0,0,'Données projet'!$E$12+1,1))-AVERAGE(OFFSET($H$3,0,0,'Données projet'!$E$12+1,1))</f>
        <v>601.17090553269054</v>
      </c>
      <c r="CE39" s="59">
        <f t="shared" si="40"/>
        <v>279.37477930888042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64.535608121669242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3.8113157894736847</v>
      </c>
      <c r="CT39" s="12">
        <f>IF('Données projet'!$A$140&gt;35,CT38+CS39-DB38,IF(A39&lt;'Données projet'!$A$140,$CQ$205^A39,IF(A39='Données projet'!$A$140,'Données projet'!$B$140,CT38+CS39-DB38)))</f>
        <v>137.20736842105259</v>
      </c>
      <c r="CU39" s="17">
        <f>CT39*VLOOKUP('Données projet'!$B$13,Paramètres!$A$1:$I$89,3,0)*VLOOKUP('Données projet'!$B$13,Paramètres!$A$1:$I$89,5,0)</f>
        <v>130.56653178947366</v>
      </c>
      <c r="CV39" s="13">
        <f t="shared" si="41"/>
        <v>34.127235046169709</v>
      </c>
      <c r="CW39" s="20">
        <f t="shared" si="13"/>
        <v>286.84164390541218</v>
      </c>
      <c r="CX39" s="59">
        <f t="shared" si="14"/>
        <v>560.13887368486598</v>
      </c>
      <c r="CY39" s="59">
        <f ca="1">AVERAGE(OFFSET($CX$3,0,0,'Données projet'!$E$13+1,1))-AVERAGE(OFFSET($H$3,0,0,'Données projet'!$E$13+1,1))</f>
        <v>418.79317359649315</v>
      </c>
      <c r="CZ39" s="59">
        <f t="shared" si="42"/>
        <v>286.46514989661011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64.535608121669242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64.535608121669242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64.535608121669242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64.535608121669242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64.535608121669242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1.35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0.32900400000000019</v>
      </c>
      <c r="D40" s="11">
        <f t="shared" si="32"/>
        <v>0.17256432850804071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4.9392175551830766</v>
      </c>
      <c r="H40" s="67">
        <f t="shared" si="1"/>
        <v>224.87023150548484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64.630403104208213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3.887142857142857</v>
      </c>
      <c r="N40" s="13">
        <f>IF('Données projet'!$A$36&gt;35,N39+M40-V39,IF(A40&lt;'Données projet'!$A$36,$K$205^A40,IF(A40='Données projet'!$A$36,'Données projet'!$B$36,N39+M40-V39)))</f>
        <v>143.82428571428579</v>
      </c>
      <c r="O40" s="13">
        <f>N40*VLOOKUP('Données projet'!$B$9,Paramètres!$A$1:$I$89,3,0)*VLOOKUP('Données projet'!$B$9,Paramètres!$A$1:$I$89,5,0)</f>
        <v>145.8378257142858</v>
      </c>
      <c r="P40" s="13">
        <f t="shared" si="33"/>
        <v>37.631173064254732</v>
      </c>
      <c r="Q40" s="20">
        <f t="shared" si="53"/>
        <v>319.5418395392914</v>
      </c>
      <c r="R40" s="59">
        <f t="shared" si="0"/>
        <v>593.18665092138815</v>
      </c>
      <c r="S40" s="59">
        <f ca="1">AVERAGE(OFFSET($R$3,0,0,'Données projet'!$E$9+1,1))-AVERAGE(OFFSET($H$3,0,0,'Données projet'!$E$9+1,1))</f>
        <v>665.7907881991157</v>
      </c>
      <c r="T40" s="59">
        <f t="shared" si="34"/>
        <v>306.76923535735227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64.630403104208213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9.9228571428571435</v>
      </c>
      <c r="AI40" s="13">
        <f>IF('Données projet'!$A$62&gt;35,AI39+AH40-AQ39,IF(A40&lt;'Données projet'!$A$62,$AF$205^A40,IF(A40='Données projet'!$A$62,'Données projet'!$B$62,AI39+AH40-AQ39)))</f>
        <v>367.14571428571423</v>
      </c>
      <c r="AJ40" s="13">
        <f>AI40*VLOOKUP('Données projet'!$B$10,Paramètres!$A$1:$I$89,3,0)*VLOOKUP('Données projet'!$B$10,Paramètres!$A$1:$I$89,5,0)</f>
        <v>171.82419428571427</v>
      </c>
      <c r="AK40" s="13">
        <f t="shared" si="35"/>
        <v>43.498328282974661</v>
      </c>
      <c r="AL40" s="20">
        <f t="shared" si="4"/>
        <v>375.02006014046651</v>
      </c>
      <c r="AM40" s="59">
        <f t="shared" si="5"/>
        <v>648.66487152256332</v>
      </c>
      <c r="AN40" s="59">
        <f ca="1">AVERAGE(OFFSET($AM$3,0,0,'Données projet'!$E$10+1,1))-AVERAGE(OFFSET($H$3,0,0,'Données projet'!$E$10+1,1))</f>
        <v>370.42479501931444</v>
      </c>
      <c r="AO40" s="59">
        <f t="shared" si="36"/>
        <v>351.95632347830144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64.630403104208213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2.8119000000000001</v>
      </c>
      <c r="BD40" s="12">
        <f>IF('Données projet'!$A$88&gt;35,BD39+BC40-BL39,IF(A40&lt;'Données projet'!$A$88,$BA$205^A40,IF(A40='Données projet'!$A$88,'Données projet'!$B$88,BD39+BC40-BL39)))</f>
        <v>47.622050000000016</v>
      </c>
      <c r="BE40" s="13">
        <f>BD40*VLOOKUP('Données projet'!$B$11,Paramètres!$A$1:$I$89,3,0)*VLOOKUP('Données projet'!$B$11,Paramètres!$A$1:$I$89,5,0)</f>
        <v>41.60262288000002</v>
      </c>
      <c r="BF40" s="13">
        <f t="shared" si="37"/>
        <v>12.422446242080003</v>
      </c>
      <c r="BG40" s="20">
        <f t="shared" si="7"/>
        <v>94.093662054289368</v>
      </c>
      <c r="BH40" s="59">
        <f t="shared" si="8"/>
        <v>367.73847343638613</v>
      </c>
      <c r="BI40" s="59">
        <f ca="1">AVERAGE(OFFSET($BH$3,0,0,'Données projet'!$E$11+1,1))-AVERAGE(OFFSET($H$3,0,0,'Données projet'!$E$11+1,1))</f>
        <v>128.92423054779167</v>
      </c>
      <c r="BJ40" s="59">
        <f t="shared" si="38"/>
        <v>127.5443711972687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64.630403104208213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3.887142857142857</v>
      </c>
      <c r="BY40" s="12">
        <f>IF('Données projet'!$A$114&gt;35,BY39+BX40-CG39,IF(A40&lt;'Données projet'!$A$114,$BV$205^A40,IF(A40='Données projet'!$A$114,'Données projet'!$B$114,BY39+BX40-CG39)))</f>
        <v>143.82428571428579</v>
      </c>
      <c r="BZ40" s="13">
        <f>BY40*VLOOKUP('Données projet'!$B$12,Paramètres!$A$1:$I$89,3,0)*VLOOKUP('Données projet'!$B$12,Paramètres!$A$1:$I$89,5,0)</f>
        <v>130.13221371428577</v>
      </c>
      <c r="CA40" s="13">
        <f t="shared" si="39"/>
        <v>34.026908232186209</v>
      </c>
      <c r="CB40" s="20">
        <f t="shared" si="10"/>
        <v>285.91047072343866</v>
      </c>
      <c r="CC40" s="59">
        <f t="shared" si="11"/>
        <v>559.55528210553541</v>
      </c>
      <c r="CD40" s="59">
        <f ca="1">AVERAGE(OFFSET($CC$3,0,0,'Données projet'!$E$12+1,1))-AVERAGE(OFFSET($H$3,0,0,'Données projet'!$E$12+1,1))</f>
        <v>601.17090553269054</v>
      </c>
      <c r="CE40" s="59">
        <f t="shared" si="40"/>
        <v>279.37477930888042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64.630403104208213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3.8113157894736847</v>
      </c>
      <c r="CT40" s="12">
        <f>IF('Données projet'!$A$140&gt;35,CT39+CS40-DB39,IF(A40&lt;'Données projet'!$A$140,$CQ$205^A40,IF(A40='Données projet'!$A$140,'Données projet'!$B$140,CT39+CS40-DB39)))</f>
        <v>141.01868421052629</v>
      </c>
      <c r="CU40" s="17">
        <f>CT40*VLOOKUP('Données projet'!$B$13,Paramètres!$A$1:$I$89,3,0)*VLOOKUP('Données projet'!$B$13,Paramètres!$A$1:$I$89,5,0)</f>
        <v>134.19337989473681</v>
      </c>
      <c r="CV40" s="13">
        <f t="shared" si="41"/>
        <v>34.963528691715034</v>
      </c>
      <c r="CW40" s="20">
        <f t="shared" si="13"/>
        <v>294.61494912140364</v>
      </c>
      <c r="CX40" s="59">
        <f t="shared" si="14"/>
        <v>568.25976050350039</v>
      </c>
      <c r="CY40" s="59">
        <f ca="1">AVERAGE(OFFSET($CX$3,0,0,'Données projet'!$E$13+1,1))-AVERAGE(OFFSET($H$3,0,0,'Données projet'!$E$13+1,1))</f>
        <v>418.79317359649315</v>
      </c>
      <c r="CZ40" s="59">
        <f t="shared" si="42"/>
        <v>286.46514989661011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64.630403104208213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64.630403104208213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64.630403104208213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64.630403104208213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64.630403104208213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1.35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0.3378960000000002</v>
      </c>
      <c r="D41" s="11">
        <f t="shared" si="32"/>
        <v>0.17667893325092018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4.9402215737948083</v>
      </c>
      <c r="H41" s="67">
        <f t="shared" si="1"/>
        <v>224.89288467541203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64.723553605729961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3.887142857142857</v>
      </c>
      <c r="N41" s="13">
        <f>IF('Données projet'!$A$36&gt;35,N40+M41-V40,IF(A41&lt;'Données projet'!$A$36,$K$205^A41,IF(A41='Données projet'!$A$36,'Données projet'!$B$36,N40+M41-V40)))</f>
        <v>147.71142857142866</v>
      </c>
      <c r="O41" s="13">
        <f>N41*VLOOKUP('Données projet'!$B$9,Paramètres!$A$1:$I$89,3,0)*VLOOKUP('Données projet'!$B$9,Paramètres!$A$1:$I$89,5,0)</f>
        <v>149.77938857142865</v>
      </c>
      <c r="P41" s="13">
        <f t="shared" si="33"/>
        <v>38.528446588331214</v>
      </c>
      <c r="Q41" s="20">
        <f t="shared" si="53"/>
        <v>327.96947956991511</v>
      </c>
      <c r="R41" s="59">
        <f t="shared" si="0"/>
        <v>601.95584279092498</v>
      </c>
      <c r="S41" s="59">
        <f ca="1">AVERAGE(OFFSET($R$3,0,0,'Données projet'!$E$9+1,1))-AVERAGE(OFFSET($H$3,0,0,'Données projet'!$E$9+1,1))</f>
        <v>665.7907881991157</v>
      </c>
      <c r="T41" s="59">
        <f t="shared" si="34"/>
        <v>306.76923535735227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64.723553605729961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9.9228571428571435</v>
      </c>
      <c r="AI41" s="13">
        <f>IF('Données projet'!$A$62&gt;35,AI40+AH41-AQ40,IF(A41&lt;'Données projet'!$A$62,$AF$205^A41,IF(A41='Données projet'!$A$62,'Données projet'!$B$62,AI40+AH41-AQ40)))</f>
        <v>377.06857142857137</v>
      </c>
      <c r="AJ41" s="13">
        <f>AI41*VLOOKUP('Données projet'!$B$10,Paramètres!$A$1:$I$89,3,0)*VLOOKUP('Données projet'!$B$10,Paramètres!$A$1:$I$89,5,0)</f>
        <v>176.4680914285714</v>
      </c>
      <c r="AK41" s="13">
        <f t="shared" si="35"/>
        <v>44.535497606483588</v>
      </c>
      <c r="AL41" s="20">
        <f t="shared" si="4"/>
        <v>384.91458423605405</v>
      </c>
      <c r="AM41" s="59">
        <f t="shared" si="5"/>
        <v>658.90094745706392</v>
      </c>
      <c r="AN41" s="59">
        <f ca="1">AVERAGE(OFFSET($AM$3,0,0,'Données projet'!$E$10+1,1))-AVERAGE(OFFSET($H$3,0,0,'Données projet'!$E$10+1,1))</f>
        <v>370.42479501931444</v>
      </c>
      <c r="AO41" s="59">
        <f t="shared" si="36"/>
        <v>351.95632347830144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64.723553605729961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2.8119000000000001</v>
      </c>
      <c r="BD41" s="12">
        <f>IF('Données projet'!$A$88&gt;35,BD40+BC41-BL40,IF(A41&lt;'Données projet'!$A$88,$BA$205^A41,IF(A41='Données projet'!$A$88,'Données projet'!$B$88,BD40+BC41-BL40)))</f>
        <v>50.433950000000017</v>
      </c>
      <c r="BE41" s="13">
        <f>BD41*VLOOKUP('Données projet'!$B$11,Paramètres!$A$1:$I$89,3,0)*VLOOKUP('Données projet'!$B$11,Paramètres!$A$1:$I$89,5,0)</f>
        <v>44.059098720000016</v>
      </c>
      <c r="BF41" s="13">
        <f t="shared" si="37"/>
        <v>13.068385253203637</v>
      </c>
      <c r="BG41" s="20">
        <f t="shared" si="7"/>
        <v>99.49703458666302</v>
      </c>
      <c r="BH41" s="59">
        <f t="shared" si="8"/>
        <v>373.48339780767287</v>
      </c>
      <c r="BI41" s="59">
        <f ca="1">AVERAGE(OFFSET($BH$3,0,0,'Données projet'!$E$11+1,1))-AVERAGE(OFFSET($H$3,0,0,'Données projet'!$E$11+1,1))</f>
        <v>128.92423054779167</v>
      </c>
      <c r="BJ41" s="59">
        <f t="shared" si="38"/>
        <v>127.5443711972687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64.723553605729961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3.887142857142857</v>
      </c>
      <c r="BY41" s="12">
        <f>IF('Données projet'!$A$114&gt;35,BY40+BX41-CG40,IF(A41&lt;'Données projet'!$A$114,$BV$205^A41,IF(A41='Données projet'!$A$114,'Données projet'!$B$114,BY40+BX41-CG40)))</f>
        <v>147.71142857142866</v>
      </c>
      <c r="BZ41" s="13">
        <f>BY41*VLOOKUP('Données projet'!$B$12,Paramètres!$A$1:$I$89,3,0)*VLOOKUP('Données projet'!$B$12,Paramètres!$A$1:$I$89,5,0)</f>
        <v>133.64930057142865</v>
      </c>
      <c r="CA41" s="13">
        <f t="shared" si="39"/>
        <v>34.8382420646657</v>
      </c>
      <c r="CB41" s="20">
        <f t="shared" si="10"/>
        <v>293.44913675786432</v>
      </c>
      <c r="CC41" s="59">
        <f t="shared" si="11"/>
        <v>567.43549997887419</v>
      </c>
      <c r="CD41" s="59">
        <f ca="1">AVERAGE(OFFSET($CC$3,0,0,'Données projet'!$E$12+1,1))-AVERAGE(OFFSET($H$3,0,0,'Données projet'!$E$12+1,1))</f>
        <v>601.17090553269054</v>
      </c>
      <c r="CE41" s="59">
        <f t="shared" si="40"/>
        <v>279.37477930888042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64.723553605729961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>
        <f>VLOOKUP(A41,'Données projet'!$A$139:$I$159,2,0)</f>
        <v>144.83000000000001</v>
      </c>
      <c r="CR41" s="12">
        <f>VLOOKUP(A41,'Données projet'!$A$139:$I$159,9,0)</f>
        <v>3.8113157894736847</v>
      </c>
      <c r="CS41" s="12">
        <f t="array" ref="CS41">INDEX(CR:CR,MIN(IF(ISNUMBER(CR41:CR237),ROW(CR41:CR237),"")))</f>
        <v>3.8113157894736847</v>
      </c>
      <c r="CT41" s="12">
        <f>IF('Données projet'!$A$140&gt;35,CT40+CS41-DB40,IF(A41&lt;'Données projet'!$A$140,$CQ$205^A41,IF(A41='Données projet'!$A$140,'Données projet'!$B$140,CT40+CS41-DB40)))</f>
        <v>144.82999999999998</v>
      </c>
      <c r="CU41" s="17">
        <f>CT41*VLOOKUP('Données projet'!$B$13,Paramètres!$A$1:$I$89,3,0)*VLOOKUP('Données projet'!$B$13,Paramètres!$A$1:$I$89,5,0)</f>
        <v>137.82022799999999</v>
      </c>
      <c r="CV41" s="13">
        <f t="shared" si="41"/>
        <v>35.797195198730272</v>
      </c>
      <c r="CW41" s="20">
        <f t="shared" si="13"/>
        <v>302.3836787377885</v>
      </c>
      <c r="CX41" s="59">
        <f t="shared" si="14"/>
        <v>576.37004195879831</v>
      </c>
      <c r="CY41" s="59">
        <f ca="1">AVERAGE(OFFSET($CX$3,0,0,'Données projet'!$E$13+1,1))-AVERAGE(OFFSET($H$3,0,0,'Données projet'!$E$13+1,1))</f>
        <v>418.79317359649315</v>
      </c>
      <c r="CZ41" s="59">
        <f t="shared" si="42"/>
        <v>286.46514989661011</v>
      </c>
      <c r="DA41" s="15">
        <f>IF(ISNA(VLOOKUP(A41,'Données projet'!$A$139:$I$159,3,0)),0,VLOOKUP(A41,'Données projet'!$A$139:$I$159,3,0))</f>
        <v>1</v>
      </c>
      <c r="DB41" s="15">
        <f>IF(ISNA(VLOOKUP(A41,'Données projet'!$A$139:$I$159,4,0)),0,VLOOKUP(A41,'Données projet'!$A$139:$I$159,4,0))</f>
        <v>69.08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64.723553605729961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64.723553605729961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64.723553605729961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64.723553605729961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64.723553605729961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1.35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0.34678800000000021</v>
      </c>
      <c r="D42" s="11">
        <f t="shared" si="32"/>
        <v>0.18078095205851977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4.9412246208606581</v>
      </c>
      <c r="H42" s="67">
        <f t="shared" si="1"/>
        <v>224.91551592483526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64.815088154303623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3.887142857142857</v>
      </c>
      <c r="N42" s="13">
        <f>IF('Données projet'!$A$36&gt;35,N41+M42-V41,IF(A42&lt;'Données projet'!$A$36,$K$205^A42,IF(A42='Données projet'!$A$36,'Données projet'!$B$36,N41+M42-V41)))</f>
        <v>151.59857142857152</v>
      </c>
      <c r="O42" s="13">
        <f>N42*VLOOKUP('Données projet'!$B$9,Paramètres!$A$1:$I$89,3,0)*VLOOKUP('Données projet'!$B$9,Paramètres!$A$1:$I$89,5,0)</f>
        <v>153.72095142857154</v>
      </c>
      <c r="P42" s="13">
        <f t="shared" si="33"/>
        <v>39.422975492399672</v>
      </c>
      <c r="Q42" s="20">
        <f t="shared" si="53"/>
        <v>336.39233938735816</v>
      </c>
      <c r="R42" s="59">
        <f t="shared" si="0"/>
        <v>610.71432928647141</v>
      </c>
      <c r="S42" s="59">
        <f ca="1">AVERAGE(OFFSET($R$3,0,0,'Données projet'!$E$9+1,1))-AVERAGE(OFFSET($H$3,0,0,'Données projet'!$E$9+1,1))</f>
        <v>665.7907881991157</v>
      </c>
      <c r="T42" s="59">
        <f t="shared" si="34"/>
        <v>306.76923535735227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64.815088154303623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9.9228571428571435</v>
      </c>
      <c r="AI42" s="13">
        <f>IF('Données projet'!$A$62&gt;35,AI41+AH42-AQ41,IF(A42&lt;'Données projet'!$A$62,$AF$205^A42,IF(A42='Données projet'!$A$62,'Données projet'!$B$62,AI41+AH42-AQ41)))</f>
        <v>386.99142857142851</v>
      </c>
      <c r="AJ42" s="13">
        <f>AI42*VLOOKUP('Données projet'!$B$10,Paramètres!$A$1:$I$89,3,0)*VLOOKUP('Données projet'!$B$10,Paramètres!$A$1:$I$89,5,0)</f>
        <v>181.11198857142855</v>
      </c>
      <c r="AK42" s="13">
        <f t="shared" si="35"/>
        <v>45.569494390515281</v>
      </c>
      <c r="AL42" s="20">
        <f t="shared" si="4"/>
        <v>394.80358282538549</v>
      </c>
      <c r="AM42" s="59">
        <f t="shared" si="5"/>
        <v>669.12557272449885</v>
      </c>
      <c r="AN42" s="59">
        <f ca="1">AVERAGE(OFFSET($AM$3,0,0,'Données projet'!$E$10+1,1))-AVERAGE(OFFSET($H$3,0,0,'Données projet'!$E$10+1,1))</f>
        <v>370.42479501931444</v>
      </c>
      <c r="AO42" s="59">
        <f t="shared" si="36"/>
        <v>351.95632347830144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64.815088154303623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2.8119000000000001</v>
      </c>
      <c r="BD42" s="12">
        <f>IF('Données projet'!$A$88&gt;35,BD41+BC42-BL41,IF(A42&lt;'Données projet'!$A$88,$BA$205^A42,IF(A42='Données projet'!$A$88,'Données projet'!$B$88,BD41+BC42-BL41)))</f>
        <v>53.245850000000019</v>
      </c>
      <c r="BE42" s="13">
        <f>BD42*VLOOKUP('Données projet'!$B$11,Paramètres!$A$1:$I$89,3,0)*VLOOKUP('Données projet'!$B$11,Paramètres!$A$1:$I$89,5,0)</f>
        <v>46.515574560000019</v>
      </c>
      <c r="BF42" s="13">
        <f t="shared" si="37"/>
        <v>13.710143550150439</v>
      </c>
      <c r="BG42" s="20">
        <f t="shared" si="7"/>
        <v>104.89312570851204</v>
      </c>
      <c r="BH42" s="59">
        <f t="shared" si="8"/>
        <v>379.21511560762536</v>
      </c>
      <c r="BI42" s="59">
        <f ca="1">AVERAGE(OFFSET($BH$3,0,0,'Données projet'!$E$11+1,1))-AVERAGE(OFFSET($H$3,0,0,'Données projet'!$E$11+1,1))</f>
        <v>128.92423054779167</v>
      </c>
      <c r="BJ42" s="59">
        <f t="shared" si="38"/>
        <v>127.5443711972687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64.815088154303623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3.887142857142857</v>
      </c>
      <c r="BY42" s="12">
        <f>IF('Données projet'!$A$114&gt;35,BY41+BX42-CG41,IF(A42&lt;'Données projet'!$A$114,$BV$205^A42,IF(A42='Données projet'!$A$114,'Données projet'!$B$114,BY41+BX42-CG41)))</f>
        <v>151.59857142857152</v>
      </c>
      <c r="BZ42" s="13">
        <f>BY42*VLOOKUP('Données projet'!$B$12,Paramètres!$A$1:$I$89,3,0)*VLOOKUP('Données projet'!$B$12,Paramètres!$A$1:$I$89,5,0)</f>
        <v>137.16638742857151</v>
      </c>
      <c r="CA42" s="13">
        <f t="shared" si="39"/>
        <v>35.647094153273272</v>
      </c>
      <c r="CB42" s="20">
        <f t="shared" si="10"/>
        <v>300.98348042171295</v>
      </c>
      <c r="CC42" s="59">
        <f t="shared" si="11"/>
        <v>575.30547032082632</v>
      </c>
      <c r="CD42" s="59">
        <f ca="1">AVERAGE(OFFSET($CC$3,0,0,'Données projet'!$E$12+1,1))-AVERAGE(OFFSET($H$3,0,0,'Données projet'!$E$12+1,1))</f>
        <v>601.17090553269054</v>
      </c>
      <c r="CE42" s="59">
        <f t="shared" si="40"/>
        <v>279.37477930888042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64.815088154303623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8.9585714285714282</v>
      </c>
      <c r="CT42" s="12">
        <f>IF('Données projet'!$A$140&gt;35,CT41+CS42-DB41,IF(A42&lt;'Données projet'!$A$140,$CQ$205^A42,IF(A42='Données projet'!$A$140,'Données projet'!$B$140,CT41+CS42-DB41)))</f>
        <v>84.708571428571403</v>
      </c>
      <c r="CU42" s="17">
        <f>CT42*VLOOKUP('Données projet'!$B$13,Paramètres!$A$1:$I$89,3,0)*VLOOKUP('Données projet'!$B$13,Paramètres!$A$1:$I$89,5,0)</f>
        <v>80.608676571428546</v>
      </c>
      <c r="CV42" s="13">
        <f t="shared" si="41"/>
        <v>22.285942999202813</v>
      </c>
      <c r="CW42" s="20">
        <f t="shared" si="13"/>
        <v>179.20812908551628</v>
      </c>
      <c r="CX42" s="59">
        <f t="shared" si="14"/>
        <v>453.53011898462955</v>
      </c>
      <c r="CY42" s="59">
        <f ca="1">AVERAGE(OFFSET($CX$3,0,0,'Données projet'!$E$13+1,1))-AVERAGE(OFFSET($H$3,0,0,'Données projet'!$E$13+1,1))</f>
        <v>418.79317359649315</v>
      </c>
      <c r="CZ42" s="59">
        <f t="shared" si="42"/>
        <v>286.46514989661011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64.815088154303623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64.815088154303623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64.815088154303623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64.815088154303623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64.815088154303623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1.35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0.35568000000000022</v>
      </c>
      <c r="D43" s="11">
        <f t="shared" si="32"/>
        <v>0.18487074475397858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4.9422267241564475</v>
      </c>
      <c r="H43" s="67">
        <f t="shared" si="1"/>
        <v>224.93812588044651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64.905034783100149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3.887142857142857</v>
      </c>
      <c r="N43" s="13">
        <f>IF('Données projet'!$A$36&gt;35,N42+M43-V42,IF(A43&lt;'Données projet'!$A$36,$K$205^A43,IF(A43='Données projet'!$A$36,'Données projet'!$B$36,N42+M43-V42)))</f>
        <v>155.48571428571438</v>
      </c>
      <c r="O43" s="13">
        <f>N43*VLOOKUP('Données projet'!$B$9,Paramètres!$A$1:$I$89,3,0)*VLOOKUP('Données projet'!$B$9,Paramètres!$A$1:$I$89,5,0)</f>
        <v>157.66251428571439</v>
      </c>
      <c r="P43" s="13">
        <f t="shared" si="33"/>
        <v>40.314838243237894</v>
      </c>
      <c r="Q43" s="20">
        <f t="shared" si="53"/>
        <v>344.81055565459184</v>
      </c>
      <c r="R43" s="59">
        <f t="shared" si="0"/>
        <v>619.46234985929232</v>
      </c>
      <c r="S43" s="59">
        <f ca="1">AVERAGE(OFFSET($R$3,0,0,'Données projet'!$E$9+1,1))-AVERAGE(OFFSET($H$3,0,0,'Données projet'!$E$9+1,1))</f>
        <v>665.7907881991157</v>
      </c>
      <c r="T43" s="59">
        <f t="shared" si="34"/>
        <v>306.76923535735227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64.905034783100149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9.9228571428571435</v>
      </c>
      <c r="AI43" s="13">
        <f>IF('Données projet'!$A$62&gt;35,AI42+AH43-AQ42,IF(A43&lt;'Données projet'!$A$62,$AF$205^A43,IF(A43='Données projet'!$A$62,'Données projet'!$B$62,AI42+AH43-AQ42)))</f>
        <v>396.91428571428565</v>
      </c>
      <c r="AJ43" s="13">
        <f>AI43*VLOOKUP('Données projet'!$B$10,Paramètres!$A$1:$I$89,3,0)*VLOOKUP('Données projet'!$B$10,Paramètres!$A$1:$I$89,5,0)</f>
        <v>185.75588571428571</v>
      </c>
      <c r="AK43" s="13">
        <f t="shared" si="35"/>
        <v>46.60040933576763</v>
      </c>
      <c r="AL43" s="20">
        <f t="shared" si="4"/>
        <v>404.6872138788429</v>
      </c>
      <c r="AM43" s="59">
        <f t="shared" si="5"/>
        <v>679.33900808354338</v>
      </c>
      <c r="AN43" s="59">
        <f ca="1">AVERAGE(OFFSET($AM$3,0,0,'Données projet'!$E$10+1,1))-AVERAGE(OFFSET($H$3,0,0,'Données projet'!$E$10+1,1))</f>
        <v>370.42479501931444</v>
      </c>
      <c r="AO43" s="59">
        <f t="shared" si="36"/>
        <v>351.95632347830144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64.905034783100149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56.057749999999999</v>
      </c>
      <c r="BB43" s="12">
        <f>VLOOKUP(A43,'Données projet'!$A$87:$I$107,9,0)</f>
        <v>2.8119000000000001</v>
      </c>
      <c r="BC43" s="12">
        <f t="array" ref="BC43">INDEX(BB:BB,MIN(IF(ISNUMBER(BB43:BB239),ROW(BB43:BB239),"")))</f>
        <v>2.8119000000000001</v>
      </c>
      <c r="BD43" s="12">
        <f>IF('Données projet'!$A$88&gt;35,BD42+BC43-BL42,IF(A43&lt;'Données projet'!$A$88,$BA$205^A43,IF(A43='Données projet'!$A$88,'Données projet'!$B$88,BD42+BC43-BL42)))</f>
        <v>56.05775000000002</v>
      </c>
      <c r="BE43" s="13">
        <f>BD43*VLOOKUP('Données projet'!$B$11,Paramètres!$A$1:$I$89,3,0)*VLOOKUP('Données projet'!$B$11,Paramètres!$A$1:$I$89,5,0)</f>
        <v>48.972050400000022</v>
      </c>
      <c r="BF43" s="13">
        <f t="shared" si="37"/>
        <v>14.347967092949647</v>
      </c>
      <c r="BG43" s="20">
        <f t="shared" si="7"/>
        <v>110.28236380022066</v>
      </c>
      <c r="BH43" s="59">
        <f t="shared" si="8"/>
        <v>384.93415800492119</v>
      </c>
      <c r="BI43" s="59">
        <f ca="1">AVERAGE(OFFSET($BH$3,0,0,'Données projet'!$E$11+1,1))-AVERAGE(OFFSET($H$3,0,0,'Données projet'!$E$11+1,1))</f>
        <v>128.92423054779167</v>
      </c>
      <c r="BJ43" s="59">
        <f t="shared" si="38"/>
        <v>127.5443711972687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7.5705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64.905034783100149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3.887142857142857</v>
      </c>
      <c r="BY43" s="12">
        <f>IF('Données projet'!$A$114&gt;35,BY42+BX43-CG42,IF(A43&lt;'Données projet'!$A$114,$BV$205^A43,IF(A43='Données projet'!$A$114,'Données projet'!$B$114,BY42+BX43-CG42)))</f>
        <v>155.48571428571438</v>
      </c>
      <c r="BZ43" s="13">
        <f>BY43*VLOOKUP('Données projet'!$B$12,Paramètres!$A$1:$I$89,3,0)*VLOOKUP('Données projet'!$B$12,Paramètres!$A$1:$I$89,5,0)</f>
        <v>140.68347428571437</v>
      </c>
      <c r="CA43" s="13">
        <f t="shared" si="39"/>
        <v>36.453535449340755</v>
      </c>
      <c r="CB43" s="20">
        <f t="shared" si="10"/>
        <v>308.51362528855435</v>
      </c>
      <c r="CC43" s="59">
        <f t="shared" si="11"/>
        <v>583.16541949325483</v>
      </c>
      <c r="CD43" s="59">
        <f ca="1">AVERAGE(OFFSET($CC$3,0,0,'Données projet'!$E$12+1,1))-AVERAGE(OFFSET($H$3,0,0,'Données projet'!$E$12+1,1))</f>
        <v>601.17090553269054</v>
      </c>
      <c r="CE43" s="59">
        <f t="shared" si="40"/>
        <v>279.37477930888042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64.905034783100149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8.9585714285714282</v>
      </c>
      <c r="CT43" s="12">
        <f>IF('Données projet'!$A$140&gt;35,CT42+CS43-DB42,IF(A43&lt;'Données projet'!$A$140,$CQ$205^A43,IF(A43='Données projet'!$A$140,'Données projet'!$B$140,CT42+CS43-DB42)))</f>
        <v>93.667142857142835</v>
      </c>
      <c r="CU43" s="17">
        <f>CT43*VLOOKUP('Données projet'!$B$13,Paramètres!$A$1:$I$89,3,0)*VLOOKUP('Données projet'!$B$13,Paramètres!$A$1:$I$89,5,0)</f>
        <v>89.133653142857128</v>
      </c>
      <c r="CV43" s="13">
        <f t="shared" si="41"/>
        <v>24.356165514913592</v>
      </c>
      <c r="CW43" s="20">
        <f t="shared" si="13"/>
        <v>197.66143416228397</v>
      </c>
      <c r="CX43" s="59">
        <f t="shared" si="14"/>
        <v>472.3132283669845</v>
      </c>
      <c r="CY43" s="59">
        <f ca="1">AVERAGE(OFFSET($CX$3,0,0,'Données projet'!$E$13+1,1))-AVERAGE(OFFSET($H$3,0,0,'Données projet'!$E$13+1,1))</f>
        <v>418.79317359649315</v>
      </c>
      <c r="CZ43" s="59">
        <f t="shared" si="42"/>
        <v>286.46514989661011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64.905034783100149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64.905034783100149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64.905034783100149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64.905034783100149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64.905034783100149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1.35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0.36457200000000023</v>
      </c>
      <c r="D44" s="11">
        <f t="shared" si="32"/>
        <v>0.18894865214389536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4.9432279099900551</v>
      </c>
      <c r="H44" s="67">
        <f t="shared" si="1"/>
        <v>224.96071513581728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64.993421038977573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3.887142857142857</v>
      </c>
      <c r="N44" s="13">
        <f>IF('Données projet'!$A$36&gt;35,N43+M44-V43,IF(A44&lt;'Données projet'!$A$36,$K$205^A44,IF(A44='Données projet'!$A$36,'Données projet'!$B$36,N43+M44-V43)))</f>
        <v>159.37285714285724</v>
      </c>
      <c r="O44" s="13">
        <f>N44*VLOOKUP('Données projet'!$B$9,Paramètres!$A$1:$I$89,3,0)*VLOOKUP('Données projet'!$B$9,Paramètres!$A$1:$I$89,5,0)</f>
        <v>161.60407714285725</v>
      </c>
      <c r="P44" s="13">
        <f t="shared" si="33"/>
        <v>41.204109160679089</v>
      </c>
      <c r="Q44" s="20">
        <f t="shared" si="53"/>
        <v>353.2242578119924</v>
      </c>
      <c r="R44" s="59">
        <f t="shared" si="0"/>
        <v>628.20013495491025</v>
      </c>
      <c r="S44" s="59">
        <f ca="1">AVERAGE(OFFSET($R$3,0,0,'Données projet'!$E$9+1,1))-AVERAGE(OFFSET($H$3,0,0,'Données projet'!$E$9+1,1))</f>
        <v>665.7907881991157</v>
      </c>
      <c r="T44" s="59">
        <f t="shared" si="34"/>
        <v>306.76923535735227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64.993421038977573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9.9228571428571435</v>
      </c>
      <c r="AI44" s="13">
        <f>IF('Données projet'!$A$62&gt;35,AI43+AH44-AQ43,IF(A44&lt;'Données projet'!$A$62,$AF$205^A44,IF(A44='Données projet'!$A$62,'Données projet'!$B$62,AI43+AH44-AQ43)))</f>
        <v>406.83714285714279</v>
      </c>
      <c r="AJ44" s="13">
        <f>AI44*VLOOKUP('Données projet'!$B$10,Paramètres!$A$1:$I$89,3,0)*VLOOKUP('Données projet'!$B$10,Paramètres!$A$1:$I$89,5,0)</f>
        <v>190.39978285714281</v>
      </c>
      <c r="AK44" s="13">
        <f t="shared" si="35"/>
        <v>47.628328349435108</v>
      </c>
      <c r="AL44" s="20">
        <f t="shared" si="4"/>
        <v>414.56562701812322</v>
      </c>
      <c r="AM44" s="59">
        <f t="shared" si="5"/>
        <v>689.54150416104108</v>
      </c>
      <c r="AN44" s="59">
        <f ca="1">AVERAGE(OFFSET($AM$3,0,0,'Données projet'!$E$10+1,1))-AVERAGE(OFFSET($H$3,0,0,'Données projet'!$E$10+1,1))</f>
        <v>370.42479501931444</v>
      </c>
      <c r="AO44" s="59">
        <f t="shared" si="36"/>
        <v>351.95632347830144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64.993421038977573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2.415350000000001</v>
      </c>
      <c r="BD44" s="12">
        <f>IF('Données projet'!$A$88&gt;35,BD43+BC44-BL43,IF(A44&lt;'Données projet'!$A$88,$BA$205^A44,IF(A44='Données projet'!$A$88,'Données projet'!$B$88,BD43+BC44-BL43)))</f>
        <v>50.902600000000021</v>
      </c>
      <c r="BE44" s="13">
        <f>BD44*VLOOKUP('Données projet'!$B$11,Paramètres!$A$1:$I$89,3,0)*VLOOKUP('Données projet'!$B$11,Paramètres!$A$1:$I$89,5,0)</f>
        <v>44.468511360000022</v>
      </c>
      <c r="BF44" s="13">
        <f t="shared" si="37"/>
        <v>13.175628300554214</v>
      </c>
      <c r="BG44" s="20">
        <f t="shared" si="7"/>
        <v>100.39687657546528</v>
      </c>
      <c r="BH44" s="59">
        <f t="shared" si="8"/>
        <v>375.37275371838308</v>
      </c>
      <c r="BI44" s="59">
        <f ca="1">AVERAGE(OFFSET($BH$3,0,0,'Données projet'!$E$11+1,1))-AVERAGE(OFFSET($H$3,0,0,'Données projet'!$E$11+1,1))</f>
        <v>128.92423054779167</v>
      </c>
      <c r="BJ44" s="59">
        <f t="shared" si="38"/>
        <v>127.5443711972687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64.993421038977573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3.887142857142857</v>
      </c>
      <c r="BY44" s="12">
        <f>IF('Données projet'!$A$114&gt;35,BY43+BX44-CG43,IF(A44&lt;'Données projet'!$A$114,$BV$205^A44,IF(A44='Données projet'!$A$114,'Données projet'!$B$114,BY43+BX44-CG43)))</f>
        <v>159.37285714285724</v>
      </c>
      <c r="BZ44" s="13">
        <f>BY44*VLOOKUP('Données projet'!$B$12,Paramètres!$A$1:$I$89,3,0)*VLOOKUP('Données projet'!$B$12,Paramètres!$A$1:$I$89,5,0)</f>
        <v>144.20056114285723</v>
      </c>
      <c r="CA44" s="13">
        <f t="shared" si="39"/>
        <v>37.257633154444321</v>
      </c>
      <c r="CB44" s="20">
        <f t="shared" si="10"/>
        <v>316.03968840113345</v>
      </c>
      <c r="CC44" s="59">
        <f t="shared" si="11"/>
        <v>591.01556554405124</v>
      </c>
      <c r="CD44" s="59">
        <f ca="1">AVERAGE(OFFSET($CC$3,0,0,'Données projet'!$E$12+1,1))-AVERAGE(OFFSET($H$3,0,0,'Données projet'!$E$12+1,1))</f>
        <v>601.17090553269054</v>
      </c>
      <c r="CE44" s="59">
        <f t="shared" si="40"/>
        <v>279.37477930888042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64.993421038977573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8.9585714285714282</v>
      </c>
      <c r="CT44" s="12">
        <f>IF('Données projet'!$A$140&gt;35,CT43+CS44-DB43,IF(A44&lt;'Données projet'!$A$140,$CQ$205^A44,IF(A44='Données projet'!$A$140,'Données projet'!$B$140,CT43+CS44-DB43)))</f>
        <v>102.62571428571427</v>
      </c>
      <c r="CU44" s="17">
        <f>CT44*VLOOKUP('Données projet'!$B$13,Paramètres!$A$1:$I$89,3,0)*VLOOKUP('Données projet'!$B$13,Paramètres!$A$1:$I$89,5,0)</f>
        <v>97.658629714285695</v>
      </c>
      <c r="CV44" s="13">
        <f t="shared" si="41"/>
        <v>26.403431558054891</v>
      </c>
      <c r="CW44" s="20">
        <f t="shared" si="13"/>
        <v>216.07475671599317</v>
      </c>
      <c r="CX44" s="59">
        <f t="shared" si="14"/>
        <v>491.05063385891094</v>
      </c>
      <c r="CY44" s="59">
        <f ca="1">AVERAGE(OFFSET($CX$3,0,0,'Données projet'!$E$13+1,1))-AVERAGE(OFFSET($H$3,0,0,'Données projet'!$E$13+1,1))</f>
        <v>418.79317359649315</v>
      </c>
      <c r="CZ44" s="59">
        <f t="shared" si="42"/>
        <v>286.46514989661011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64.993421038977573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64.993421038977573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64.993421038977573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64.993421038977573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64.993421038977573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1.35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0.37346400000000024</v>
      </c>
      <c r="D45" s="11">
        <f t="shared" si="32"/>
        <v>0.1930149974622983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4.9442282033128793</v>
      </c>
      <c r="H45" s="67">
        <f t="shared" si="1"/>
        <v>224.9832842539135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65.08027399091759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163.26</v>
      </c>
      <c r="L45" s="12">
        <f>VLOOKUP(A45,'Données projet'!$A$35:$I$55,9,0)</f>
        <v>3.887142857142857</v>
      </c>
      <c r="M45" s="12">
        <f t="array" ref="M45">INDEX(L:L,MIN(IF(ISNUMBER(L45:L241),ROW(L45:L241),"")))</f>
        <v>3.887142857142857</v>
      </c>
      <c r="N45" s="13">
        <f>IF('Données projet'!$A$36&gt;35,N44+M45-V44,IF(A45&lt;'Données projet'!$A$36,$K$205^A45,IF(A45='Données projet'!$A$36,'Données projet'!$B$36,N44+M45-V44)))</f>
        <v>163.2600000000001</v>
      </c>
      <c r="O45" s="13">
        <f>N45*VLOOKUP('Données projet'!$B$9,Paramètres!$A$1:$I$89,3,0)*VLOOKUP('Données projet'!$B$9,Paramètres!$A$1:$I$89,5,0)</f>
        <v>165.54564000000011</v>
      </c>
      <c r="P45" s="13">
        <f t="shared" si="33"/>
        <v>42.090858732498674</v>
      </c>
      <c r="Q45" s="20">
        <f t="shared" si="53"/>
        <v>361.6335686257687</v>
      </c>
      <c r="R45" s="59">
        <f t="shared" si="0"/>
        <v>636.92790659246657</v>
      </c>
      <c r="S45" s="59">
        <f ca="1">AVERAGE(OFFSET($R$3,0,0,'Données projet'!$E$9+1,1))-AVERAGE(OFFSET($H$3,0,0,'Données projet'!$E$9+1,1))</f>
        <v>665.7907881991157</v>
      </c>
      <c r="T45" s="59">
        <f t="shared" si="34"/>
        <v>306.76923535735227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43.21</v>
      </c>
      <c r="W45" s="16">
        <f>IF(ISNA(VLOOKUP(A45,'Données projet'!$A$35:$I$55,5,0)),0%,VLOOKUP(A45,'Données projet'!$A$35:$I$55,5,0)*VLOOKUP('Données projet'!$B$9,Paramètres!$A$1:$I$89,7,0))</f>
        <v>0.129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6.2482592672807336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6.2482592672807336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65.08027399091759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416.76</v>
      </c>
      <c r="AG45" s="12">
        <f>VLOOKUP(A45,'Données projet'!$A$61:$I$81,9,0)</f>
        <v>9.9228571428571435</v>
      </c>
      <c r="AH45" s="12">
        <f t="array" ref="AH45">INDEX(AG:AG,MIN(IF(ISNUMBER(AG45:AG241),ROW(AG45:AG241),"")))</f>
        <v>9.9228571428571435</v>
      </c>
      <c r="AI45" s="13">
        <f>IF('Données projet'!$A$62&gt;35,AI44+AH45-AQ44,IF(A45&lt;'Données projet'!$A$62,$AF$205^A45,IF(A45='Données projet'!$A$62,'Données projet'!$B$62,AI44+AH45-AQ44)))</f>
        <v>416.75999999999993</v>
      </c>
      <c r="AJ45" s="13">
        <f>AI45*VLOOKUP('Données projet'!$B$10,Paramètres!$A$1:$I$89,3,0)*VLOOKUP('Données projet'!$B$10,Paramètres!$A$1:$I$89,5,0)</f>
        <v>195.04367999999997</v>
      </c>
      <c r="AK45" s="13">
        <f t="shared" si="35"/>
        <v>48.65333290919024</v>
      </c>
      <c r="AL45" s="20">
        <f t="shared" si="4"/>
        <v>424.43896415017292</v>
      </c>
      <c r="AM45" s="59">
        <f t="shared" si="5"/>
        <v>699.73330211687073</v>
      </c>
      <c r="AN45" s="59">
        <f ca="1">AVERAGE(OFFSET($AM$3,0,0,'Données projet'!$E$10+1,1))-AVERAGE(OFFSET($H$3,0,0,'Données projet'!$E$10+1,1))</f>
        <v>370.42479501931444</v>
      </c>
      <c r="AO45" s="59">
        <f t="shared" si="36"/>
        <v>351.95632347830144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182.39</v>
      </c>
      <c r="AR45" s="16">
        <f>IF(ISNA(VLOOKUP(A45,'Données projet'!$A$61:$I$81,5,0)),0%,VLOOKUP(A45,'Données projet'!$A$61:$I$81,5,0)*VLOOKUP('Données projet'!$B$10,Paramètres!$A$1:$I$89,7,0))</f>
        <v>0.27500000000000002</v>
      </c>
      <c r="AS45" s="16">
        <f>IF(ISNA(VLOOKUP(A45,'Données projet'!$A$61:$I$81,6,0)),0%,VLOOKUP(A45,'Données projet'!$A$61:$I$81,6,0)*VLOOKUP('Données projet'!$B$10,Paramètres!$A$1:$I$89,7,0))</f>
        <v>0.27500000000000002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31.1392341152544</v>
      </c>
      <c r="AV45" s="21">
        <f>EXP(-LN(2)/25)*AV44+(1-EXP(-LN(2)/25))/(LN(2)/25)*Calculateur!AQ45*Calculateur!AS45*VLOOKUP('Données projet'!$B$10,Paramètres!$A$1:$I$89,3,0)*0.475*44/12</f>
        <v>31.016627085564249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62.155861200818649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65.08027399091759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2.415350000000001</v>
      </c>
      <c r="BD45" s="12">
        <f>IF('Données projet'!$A$88&gt;35,BD44+BC45-BL44,IF(A45&lt;'Données projet'!$A$88,$BA$205^A45,IF(A45='Données projet'!$A$88,'Données projet'!$B$88,BD44+BC45-BL44)))</f>
        <v>53.317950000000025</v>
      </c>
      <c r="BE45" s="13">
        <f>BD45*VLOOKUP('Données projet'!$B$11,Paramètres!$A$1:$I$89,3,0)*VLOOKUP('Données projet'!$B$11,Paramètres!$A$1:$I$89,5,0)</f>
        <v>46.578561120000025</v>
      </c>
      <c r="BF45" s="13">
        <f t="shared" si="37"/>
        <v>13.726546161679835</v>
      </c>
      <c r="BG45" s="20">
        <f t="shared" si="7"/>
        <v>105.03139518225908</v>
      </c>
      <c r="BH45" s="59">
        <f t="shared" si="8"/>
        <v>380.32573314895689</v>
      </c>
      <c r="BI45" s="59">
        <f ca="1">AVERAGE(OFFSET($BH$3,0,0,'Données projet'!$E$11+1,1))-AVERAGE(OFFSET($H$3,0,0,'Données projet'!$E$11+1,1))</f>
        <v>128.92423054779167</v>
      </c>
      <c r="BJ45" s="59">
        <f t="shared" si="38"/>
        <v>127.5443711972687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65.08027399091759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163.26</v>
      </c>
      <c r="BW45" s="12">
        <f>VLOOKUP(A45,'Données projet'!$A$113:$I$133,9,0)</f>
        <v>3.887142857142857</v>
      </c>
      <c r="BX45" s="12">
        <f t="array" ref="BX45">INDEX(BW:BW,MIN(IF(ISNUMBER(BW45:BW241),ROW(BW45:BW241),"")))</f>
        <v>3.887142857142857</v>
      </c>
      <c r="BY45" s="12">
        <f>IF('Données projet'!$A$114&gt;35,BY44+BX45-CG44,IF(A45&lt;'Données projet'!$A$114,$BV$205^A45,IF(A45='Données projet'!$A$114,'Données projet'!$B$114,BY44+BX45-CG44)))</f>
        <v>163.2600000000001</v>
      </c>
      <c r="BZ45" s="13">
        <f>BY45*VLOOKUP('Données projet'!$B$12,Paramètres!$A$1:$I$89,3,0)*VLOOKUP('Données projet'!$B$12,Paramètres!$A$1:$I$89,5,0)</f>
        <v>147.71764800000008</v>
      </c>
      <c r="CA45" s="13">
        <f t="shared" si="39"/>
        <v>38.059451005131997</v>
      </c>
      <c r="CB45" s="20">
        <f t="shared" si="10"/>
        <v>323.56178076727167</v>
      </c>
      <c r="CC45" s="59">
        <f t="shared" si="11"/>
        <v>598.85611873396942</v>
      </c>
      <c r="CD45" s="59">
        <f ca="1">AVERAGE(OFFSET($CC$3,0,0,'Données projet'!$E$12+1,1))-AVERAGE(OFFSET($H$3,0,0,'Données projet'!$E$12+1,1))</f>
        <v>601.17090553269054</v>
      </c>
      <c r="CE45" s="59">
        <f t="shared" si="40"/>
        <v>279.37477930888042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43.21</v>
      </c>
      <c r="CH45" s="16">
        <f>IF(ISNA(VLOOKUP(A45,'Données projet'!$A$113:$I$133,5,0)),0%,VLOOKUP(A45,'Données projet'!$A$113:$I$133,5,0)*VLOOKUP('Données projet'!$B$12,Paramètres!$A$1:$I$89,7,0))</f>
        <v>0.129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5.575369807727423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5.575369807727423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65.08027399091759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8.9585714285714282</v>
      </c>
      <c r="CT45" s="12">
        <f>IF('Données projet'!$A$140&gt;35,CT44+CS45-DB44,IF(A45&lt;'Données projet'!$A$140,$CQ$205^A45,IF(A45='Données projet'!$A$140,'Données projet'!$B$140,CT44+CS45-DB44)))</f>
        <v>111.5842857142857</v>
      </c>
      <c r="CU45" s="17">
        <f>CT45*VLOOKUP('Données projet'!$B$13,Paramètres!$A$1:$I$89,3,0)*VLOOKUP('Données projet'!$B$13,Paramètres!$A$1:$I$89,5,0)</f>
        <v>106.18360628571428</v>
      </c>
      <c r="CV45" s="13">
        <f t="shared" si="41"/>
        <v>28.42997293972039</v>
      </c>
      <c r="CW45" s="20">
        <f t="shared" si="13"/>
        <v>234.45198381763205</v>
      </c>
      <c r="CX45" s="59">
        <f t="shared" si="14"/>
        <v>509.74632178432989</v>
      </c>
      <c r="CY45" s="59">
        <f ca="1">AVERAGE(OFFSET($CX$3,0,0,'Données projet'!$E$13+1,1))-AVERAGE(OFFSET($H$3,0,0,'Données projet'!$E$13+1,1))</f>
        <v>418.79317359649315</v>
      </c>
      <c r="CZ45" s="59">
        <f t="shared" si="42"/>
        <v>286.46514989661011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65.08027399091759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65.08027399091759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65.08027399091759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65.08027399091759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65.08027399091759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1.35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0.38235600000000025</v>
      </c>
      <c r="D46" s="11">
        <f t="shared" si="32"/>
        <v>0.19707008767321976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4.9452276278203886</v>
      </c>
      <c r="H46" s="67">
        <f t="shared" si="1"/>
        <v>225.00583376936419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65.165620238315555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9.3712500000000034</v>
      </c>
      <c r="N46" s="13">
        <f>IF('Données projet'!$A$36&gt;35,N45+M46-V45,IF(A46&lt;'Données projet'!$A$36,$K$205^A46,IF(A46='Données projet'!$A$36,'Données projet'!$B$36,N45+M46-V45)))</f>
        <v>129.4212500000001</v>
      </c>
      <c r="O46" s="13">
        <f>N46*VLOOKUP('Données projet'!$B$9,Paramètres!$A$1:$I$89,3,0)*VLOOKUP('Données projet'!$B$9,Paramètres!$A$1:$I$89,5,0)</f>
        <v>131.23314750000011</v>
      </c>
      <c r="P46" s="13">
        <f t="shared" si="33"/>
        <v>34.281146756704409</v>
      </c>
      <c r="Q46" s="20">
        <f t="shared" si="53"/>
        <v>288.27072916376034</v>
      </c>
      <c r="R46" s="59">
        <f t="shared" si="0"/>
        <v>563.87800337091744</v>
      </c>
      <c r="S46" s="59">
        <f ca="1">AVERAGE(OFFSET($R$3,0,0,'Données projet'!$E$9+1,1))-AVERAGE(OFFSET($H$3,0,0,'Données projet'!$E$9+1,1))</f>
        <v>665.7907881991157</v>
      </c>
      <c r="T46" s="59">
        <f t="shared" si="34"/>
        <v>306.76923535735227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6.1257347141112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6.1257347141112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65.165620238315555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18.127142857142854</v>
      </c>
      <c r="AI46" s="13">
        <f>IF('Données projet'!$A$62&gt;35,AI45+AH46-AQ45,IF(A46&lt;'Données projet'!$A$62,$AF$205^A46,IF(A46='Données projet'!$A$62,'Données projet'!$B$62,AI45+AH46-AQ45)))</f>
        <v>252.49714285714282</v>
      </c>
      <c r="AJ46" s="13">
        <f>AI46*VLOOKUP('Données projet'!$B$10,Paramètres!$A$1:$I$89,3,0)*VLOOKUP('Données projet'!$B$10,Paramètres!$A$1:$I$89,5,0)</f>
        <v>118.16866285714285</v>
      </c>
      <c r="AK46" s="13">
        <f t="shared" si="35"/>
        <v>31.247488431792092</v>
      </c>
      <c r="AL46" s="20">
        <f t="shared" si="4"/>
        <v>260.23313016156169</v>
      </c>
      <c r="AM46" s="59">
        <f t="shared" si="5"/>
        <v>535.84040436871874</v>
      </c>
      <c r="AN46" s="59">
        <f ca="1">AVERAGE(OFFSET($AM$3,0,0,'Données projet'!$E$10+1,1))-AVERAGE(OFFSET($H$3,0,0,'Données projet'!$E$10+1,1))</f>
        <v>370.42479501931444</v>
      </c>
      <c r="AO46" s="59">
        <f t="shared" si="36"/>
        <v>351.95632347830144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30.528612727311664</v>
      </c>
      <c r="AV46" s="21">
        <f>EXP(-LN(2)/25)*AV45+(1-EXP(-LN(2)/25))/(LN(2)/25)*Calculateur!AQ46*Calculateur!AS46*VLOOKUP('Données projet'!$B$10,Paramètres!$A$1:$I$89,3,0)*0.475*44/12</f>
        <v>30.168475786815964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60.697088514127628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65.165620238315555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2.415350000000001</v>
      </c>
      <c r="BD46" s="12">
        <f>IF('Données projet'!$A$88&gt;35,BD45+BC46-BL45,IF(A46&lt;'Données projet'!$A$88,$BA$205^A46,IF(A46='Données projet'!$A$88,'Données projet'!$B$88,BD45+BC46-BL45)))</f>
        <v>55.733300000000028</v>
      </c>
      <c r="BE46" s="13">
        <f>BD46*VLOOKUP('Données projet'!$B$11,Paramètres!$A$1:$I$89,3,0)*VLOOKUP('Données projet'!$B$11,Paramètres!$A$1:$I$89,5,0)</f>
        <v>48.688610880000034</v>
      </c>
      <c r="BF46" s="13">
        <f t="shared" si="37"/>
        <v>14.274565619468463</v>
      </c>
      <c r="BG46" s="20">
        <f t="shared" si="7"/>
        <v>109.66086573657429</v>
      </c>
      <c r="BH46" s="59">
        <f t="shared" si="8"/>
        <v>385.26813994373134</v>
      </c>
      <c r="BI46" s="59">
        <f ca="1">AVERAGE(OFFSET($BH$3,0,0,'Données projet'!$E$11+1,1))-AVERAGE(OFFSET($H$3,0,0,'Données projet'!$E$11+1,1))</f>
        <v>128.92423054779167</v>
      </c>
      <c r="BJ46" s="59">
        <f t="shared" si="38"/>
        <v>127.5443711972687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65.165620238315555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9.3712500000000034</v>
      </c>
      <c r="BY46" s="12">
        <f>IF('Données projet'!$A$114&gt;35,BY45+BX46-CG45,IF(A46&lt;'Données projet'!$A$114,$BV$205^A46,IF(A46='Données projet'!$A$114,'Données projet'!$B$114,BY45+BX46-CG45)))</f>
        <v>129.4212500000001</v>
      </c>
      <c r="BZ46" s="13">
        <f>BY46*VLOOKUP('Données projet'!$B$12,Paramètres!$A$1:$I$89,3,0)*VLOOKUP('Données projet'!$B$12,Paramètres!$A$1:$I$89,5,0)</f>
        <v>117.10034700000008</v>
      </c>
      <c r="CA46" s="13">
        <f t="shared" si="39"/>
        <v>30.997743089027207</v>
      </c>
      <c r="CB46" s="20">
        <f t="shared" si="10"/>
        <v>257.93750690505584</v>
      </c>
      <c r="CC46" s="59">
        <f t="shared" si="11"/>
        <v>533.54478111221283</v>
      </c>
      <c r="CD46" s="59">
        <f ca="1">AVERAGE(OFFSET($CC$3,0,0,'Données projet'!$E$12+1,1))-AVERAGE(OFFSET($H$3,0,0,'Données projet'!$E$12+1,1))</f>
        <v>601.17090553269054</v>
      </c>
      <c r="CE46" s="59">
        <f t="shared" si="40"/>
        <v>279.37477930888042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5.4660402064376861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5.4660402064376861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65.165620238315555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8.9585714285714282</v>
      </c>
      <c r="CT46" s="12">
        <f>IF('Données projet'!$A$140&gt;35,CT45+CS46-DB45,IF(A46&lt;'Données projet'!$A$140,$CQ$205^A46,IF(A46='Données projet'!$A$140,'Données projet'!$B$140,CT45+CS46-DB45)))</f>
        <v>120.54285714285713</v>
      </c>
      <c r="CU46" s="17">
        <f>CT46*VLOOKUP('Données projet'!$B$13,Paramètres!$A$1:$I$89,3,0)*VLOOKUP('Données projet'!$B$13,Paramètres!$A$1:$I$89,5,0)</f>
        <v>114.70858285714286</v>
      </c>
      <c r="CV46" s="13">
        <f t="shared" si="41"/>
        <v>30.437642712314688</v>
      </c>
      <c r="CW46" s="20">
        <f t="shared" si="13"/>
        <v>252.79634286680525</v>
      </c>
      <c r="CX46" s="59">
        <f t="shared" si="14"/>
        <v>528.40361707396232</v>
      </c>
      <c r="CY46" s="59">
        <f ca="1">AVERAGE(OFFSET($CX$3,0,0,'Données projet'!$E$13+1,1))-AVERAGE(OFFSET($H$3,0,0,'Données projet'!$E$13+1,1))</f>
        <v>418.79317359649315</v>
      </c>
      <c r="CZ46" s="59">
        <f t="shared" si="42"/>
        <v>286.46514989661011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65.165620238315555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65.165620238315555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65.165620238315555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65.165620238315555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65.165620238315555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1.35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0.39124800000000026</v>
      </c>
      <c r="D47" s="11">
        <f t="shared" si="32"/>
        <v>0.20111421464868745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4.9462262060430566</v>
      </c>
      <c r="H47" s="67">
        <f t="shared" si="1"/>
        <v>225.02836419051314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65.249485919126798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9.3712500000000034</v>
      </c>
      <c r="N47" s="13">
        <f>IF('Données projet'!$A$36&gt;35,N46+M47-V46,IF(A47&lt;'Données projet'!$A$36,$K$205^A47,IF(A47='Données projet'!$A$36,'Données projet'!$B$36,N46+M47-V46)))</f>
        <v>138.7925000000001</v>
      </c>
      <c r="O47" s="13">
        <f>N47*VLOOKUP('Données projet'!$B$9,Paramètres!$A$1:$I$89,3,0)*VLOOKUP('Données projet'!$B$9,Paramètres!$A$1:$I$89,5,0)</f>
        <v>140.7355950000001</v>
      </c>
      <c r="P47" s="13">
        <f t="shared" si="33"/>
        <v>36.465468549139587</v>
      </c>
      <c r="Q47" s="20">
        <f t="shared" si="53"/>
        <v>308.62518568141826</v>
      </c>
      <c r="R47" s="59">
        <f t="shared" si="0"/>
        <v>584.5399673848832</v>
      </c>
      <c r="S47" s="59">
        <f ca="1">AVERAGE(OFFSET($R$3,0,0,'Données projet'!$E$9+1,1))-AVERAGE(OFFSET($H$3,0,0,'Données projet'!$E$9+1,1))</f>
        <v>665.7907881991157</v>
      </c>
      <c r="T47" s="59">
        <f t="shared" si="34"/>
        <v>306.76923535735227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6.0056127926967227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6.0056127926967227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65.249485919126798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18.127142857142854</v>
      </c>
      <c r="AI47" s="13">
        <f>IF('Données projet'!$A$62&gt;35,AI46+AH47-AQ46,IF(A47&lt;'Données projet'!$A$62,$AF$205^A47,IF(A47='Données projet'!$A$62,'Données projet'!$B$62,AI46+AH47-AQ46)))</f>
        <v>270.62428571428569</v>
      </c>
      <c r="AJ47" s="13">
        <f>AI47*VLOOKUP('Données projet'!$B$10,Paramètres!$A$1:$I$89,3,0)*VLOOKUP('Données projet'!$B$10,Paramètres!$A$1:$I$89,5,0)</f>
        <v>126.6521657142857</v>
      </c>
      <c r="AK47" s="13">
        <f t="shared" si="35"/>
        <v>33.221602407666438</v>
      </c>
      <c r="AL47" s="20">
        <f t="shared" si="4"/>
        <v>278.44681281239997</v>
      </c>
      <c r="AM47" s="59">
        <f t="shared" si="5"/>
        <v>554.36159451586491</v>
      </c>
      <c r="AN47" s="59">
        <f ca="1">AVERAGE(OFFSET($AM$3,0,0,'Données projet'!$E$10+1,1))-AVERAGE(OFFSET($H$3,0,0,'Données projet'!$E$10+1,1))</f>
        <v>370.42479501931444</v>
      </c>
      <c r="AO47" s="59">
        <f t="shared" si="36"/>
        <v>351.95632347830144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29.929965252344214</v>
      </c>
      <c r="AV47" s="21">
        <f>EXP(-LN(2)/25)*AV46+(1-EXP(-LN(2)/25))/(LN(2)/25)*Calculateur!AQ47*Calculateur!AS47*VLOOKUP('Données projet'!$B$10,Paramètres!$A$1:$I$89,3,0)*0.475*44/12</f>
        <v>29.343517229934292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59.27348248227851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65.249485919126798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2.415350000000001</v>
      </c>
      <c r="BD47" s="12">
        <f>IF('Données projet'!$A$88&gt;35,BD46+BC47-BL46,IF(A47&lt;'Données projet'!$A$88,$BA$205^A47,IF(A47='Données projet'!$A$88,'Données projet'!$B$88,BD46+BC47-BL46)))</f>
        <v>58.148650000000032</v>
      </c>
      <c r="BE47" s="13">
        <f>BD47*VLOOKUP('Données projet'!$B$11,Paramètres!$A$1:$I$89,3,0)*VLOOKUP('Données projet'!$B$11,Paramètres!$A$1:$I$89,5,0)</f>
        <v>50.79866064000003</v>
      </c>
      <c r="BF47" s="13">
        <f t="shared" si="37"/>
        <v>14.81982664122838</v>
      </c>
      <c r="BG47" s="20">
        <f t="shared" si="7"/>
        <v>114.28553201480615</v>
      </c>
      <c r="BH47" s="59">
        <f t="shared" si="8"/>
        <v>390.2003137182711</v>
      </c>
      <c r="BI47" s="59">
        <f ca="1">AVERAGE(OFFSET($BH$3,0,0,'Données projet'!$E$11+1,1))-AVERAGE(OFFSET($H$3,0,0,'Données projet'!$E$11+1,1))</f>
        <v>128.92423054779167</v>
      </c>
      <c r="BJ47" s="59">
        <f t="shared" si="38"/>
        <v>127.5443711972687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65.249485919126798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9.3712500000000034</v>
      </c>
      <c r="BY47" s="12">
        <f>IF('Données projet'!$A$114&gt;35,BY46+BX47-CG46,IF(A47&lt;'Données projet'!$A$114,$BV$205^A47,IF(A47='Données projet'!$A$114,'Données projet'!$B$114,BY46+BX47-CG46)))</f>
        <v>138.7925000000001</v>
      </c>
      <c r="BZ47" s="13">
        <f>BY47*VLOOKUP('Données projet'!$B$12,Paramètres!$A$1:$I$89,3,0)*VLOOKUP('Données projet'!$B$12,Paramètres!$A$1:$I$89,5,0)</f>
        <v>125.5794540000001</v>
      </c>
      <c r="CA47" s="13">
        <f t="shared" si="39"/>
        <v>32.97285338000448</v>
      </c>
      <c r="CB47" s="20">
        <f t="shared" si="10"/>
        <v>276.14526868684135</v>
      </c>
      <c r="CC47" s="59">
        <f t="shared" si="11"/>
        <v>552.06005039030629</v>
      </c>
      <c r="CD47" s="59">
        <f ca="1">AVERAGE(OFFSET($CC$3,0,0,'Données projet'!$E$12+1,1))-AVERAGE(OFFSET($H$3,0,0,'Données projet'!$E$12+1,1))</f>
        <v>601.17090553269054</v>
      </c>
      <c r="CE47" s="59">
        <f t="shared" si="40"/>
        <v>279.37477930888042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5.3588544919447685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5.3588544919447685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65.249485919126798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8.9585714285714282</v>
      </c>
      <c r="CT47" s="12">
        <f>IF('Données projet'!$A$140&gt;35,CT46+CS47-DB46,IF(A47&lt;'Données projet'!$A$140,$CQ$205^A47,IF(A47='Données projet'!$A$140,'Données projet'!$B$140,CT46+CS47-DB46)))</f>
        <v>129.50142857142856</v>
      </c>
      <c r="CU47" s="17">
        <f>CT47*VLOOKUP('Données projet'!$B$13,Paramètres!$A$1:$I$89,3,0)*VLOOKUP('Données projet'!$B$13,Paramètres!$A$1:$I$89,5,0)</f>
        <v>123.23355942857143</v>
      </c>
      <c r="CV47" s="13">
        <f t="shared" si="41"/>
        <v>32.428002869450928</v>
      </c>
      <c r="CW47" s="20">
        <f t="shared" si="13"/>
        <v>271.11055433572227</v>
      </c>
      <c r="CX47" s="59">
        <f t="shared" si="14"/>
        <v>547.02533603918721</v>
      </c>
      <c r="CY47" s="59">
        <f ca="1">AVERAGE(OFFSET($CX$3,0,0,'Données projet'!$E$13+1,1))-AVERAGE(OFFSET($H$3,0,0,'Données projet'!$E$13+1,1))</f>
        <v>418.79317359649315</v>
      </c>
      <c r="CZ47" s="59">
        <f t="shared" si="42"/>
        <v>286.46514989661011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65.249485919126798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65.249485919126798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65.249485919126798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65.249485919126798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65.249485919126798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1.35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0.40014000000000027</v>
      </c>
      <c r="D48" s="11">
        <f t="shared" si="32"/>
        <v>0.20514765623660686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4.9472239594287908</v>
      </c>
      <c r="H48" s="67">
        <f t="shared" si="1"/>
        <v>225.05087600127877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65.331896717871544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9.3712500000000034</v>
      </c>
      <c r="N48" s="13">
        <f>IF('Données projet'!$A$36&gt;35,N47+M48-V47,IF(A48&lt;'Données projet'!$A$36,$K$205^A48,IF(A48='Données projet'!$A$36,'Données projet'!$B$36,N47+M48-V47)))</f>
        <v>148.16375000000011</v>
      </c>
      <c r="O48" s="13">
        <f>N48*VLOOKUP('Données projet'!$B$9,Paramètres!$A$1:$I$89,3,0)*VLOOKUP('Données projet'!$B$9,Paramètres!$A$1:$I$89,5,0)</f>
        <v>150.23804250000012</v>
      </c>
      <c r="P48" s="13">
        <f t="shared" si="33"/>
        <v>38.632676639775759</v>
      </c>
      <c r="Q48" s="20">
        <f t="shared" si="53"/>
        <v>328.94983583510964</v>
      </c>
      <c r="R48" s="59">
        <f t="shared" si="0"/>
        <v>605.1667904673053</v>
      </c>
      <c r="S48" s="59">
        <f ca="1">AVERAGE(OFFSET($R$3,0,0,'Données projet'!$E$9+1,1))-AVERAGE(OFFSET($H$3,0,0,'Données projet'!$E$9+1,1))</f>
        <v>665.7907881991157</v>
      </c>
      <c r="T48" s="59">
        <f t="shared" si="34"/>
        <v>306.76923535735227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5.8878463888940464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5.8878463888940464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65.331896717871544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18.127142857142854</v>
      </c>
      <c r="AI48" s="13">
        <f>IF('Données projet'!$A$62&gt;35,AI47+AH48-AQ47,IF(A48&lt;'Données projet'!$A$62,$AF$205^A48,IF(A48='Données projet'!$A$62,'Données projet'!$B$62,AI47+AH48-AQ47)))</f>
        <v>288.75142857142856</v>
      </c>
      <c r="AJ48" s="13">
        <f>AI48*VLOOKUP('Données projet'!$B$10,Paramètres!$A$1:$I$89,3,0)*VLOOKUP('Données projet'!$B$10,Paramètres!$A$1:$I$89,5,0)</f>
        <v>135.13566857142857</v>
      </c>
      <c r="AK48" s="13">
        <f t="shared" si="35"/>
        <v>35.180372380671528</v>
      </c>
      <c r="AL48" s="20">
        <f t="shared" si="4"/>
        <v>296.63377132490763</v>
      </c>
      <c r="AM48" s="59">
        <f t="shared" si="5"/>
        <v>572.85072595710335</v>
      </c>
      <c r="AN48" s="59">
        <f ca="1">AVERAGE(OFFSET($AM$3,0,0,'Données projet'!$E$10+1,1))-AVERAGE(OFFSET($H$3,0,0,'Données projet'!$E$10+1,1))</f>
        <v>370.42479501931444</v>
      </c>
      <c r="AO48" s="59">
        <f t="shared" si="36"/>
        <v>351.95632347830144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29.34305688922197</v>
      </c>
      <c r="AV48" s="21">
        <f>EXP(-LN(2)/25)*AV47+(1-EXP(-LN(2)/25))/(LN(2)/25)*Calculateur!AQ48*Calculateur!AS48*VLOOKUP('Données projet'!$B$10,Paramètres!$A$1:$I$89,3,0)*0.475*44/12</f>
        <v>28.541117208173233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57.884174097395203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65.331896717871544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60.564</v>
      </c>
      <c r="BB48" s="12">
        <f>VLOOKUP(A48,'Données projet'!$A$87:$I$107,9,0)</f>
        <v>2.415350000000001</v>
      </c>
      <c r="BC48" s="12">
        <f t="array" ref="BC48">INDEX(BB:BB,MIN(IF(ISNUMBER(BB48:BB244),ROW(BB48:BB244),"")))</f>
        <v>2.415350000000001</v>
      </c>
      <c r="BD48" s="12">
        <f>IF('Données projet'!$A$88&gt;35,BD47+BC48-BL47,IF(A48&lt;'Données projet'!$A$88,$BA$205^A48,IF(A48='Données projet'!$A$88,'Données projet'!$B$88,BD47+BC48-BL47)))</f>
        <v>60.564000000000036</v>
      </c>
      <c r="BE48" s="13">
        <f>BD48*VLOOKUP('Données projet'!$B$11,Paramètres!$A$1:$I$89,3,0)*VLOOKUP('Données projet'!$B$11,Paramètres!$A$1:$I$89,5,0)</f>
        <v>52.908710400000039</v>
      </c>
      <c r="BF48" s="13">
        <f t="shared" si="37"/>
        <v>15.362456908605543</v>
      </c>
      <c r="BG48" s="20">
        <f t="shared" si="7"/>
        <v>118.90561639582138</v>
      </c>
      <c r="BH48" s="59">
        <f t="shared" si="8"/>
        <v>395.12257102801703</v>
      </c>
      <c r="BI48" s="59">
        <f ca="1">AVERAGE(OFFSET($BH$3,0,0,'Données projet'!$E$11+1,1))-AVERAGE(OFFSET($H$3,0,0,'Données projet'!$E$11+1,1))</f>
        <v>128.92423054779167</v>
      </c>
      <c r="BJ48" s="59">
        <f t="shared" si="38"/>
        <v>127.5443711972687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6.8494999999999999</v>
      </c>
      <c r="BM48" s="16">
        <f>IF(ISNA(VLOOKUP(A48,'Données projet'!$A$87:$I$107,5,0)),0%,VLOOKUP(A48,'Données projet'!$A$87:$I$107,5,0)*VLOOKUP('Données projet'!$B$11,Paramètres!$A$1:$I$89,7,0))</f>
        <v>0.159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1.051757772350935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1.051757772350935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65.331896717871544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9.3712500000000034</v>
      </c>
      <c r="BY48" s="12">
        <f>IF('Données projet'!$A$114&gt;35,BY47+BX48-CG47,IF(A48&lt;'Données projet'!$A$114,$BV$205^A48,IF(A48='Données projet'!$A$114,'Données projet'!$B$114,BY47+BX48-CG47)))</f>
        <v>148.16375000000011</v>
      </c>
      <c r="BZ48" s="13">
        <f>BY48*VLOOKUP('Données projet'!$B$12,Paramètres!$A$1:$I$89,3,0)*VLOOKUP('Données projet'!$B$12,Paramètres!$A$1:$I$89,5,0)</f>
        <v>134.05856100000008</v>
      </c>
      <c r="CA48" s="13">
        <f t="shared" si="39"/>
        <v>34.932489097291651</v>
      </c>
      <c r="CB48" s="20">
        <f t="shared" si="10"/>
        <v>294.3260789194498</v>
      </c>
      <c r="CC48" s="59">
        <f t="shared" si="11"/>
        <v>570.54303355164552</v>
      </c>
      <c r="CD48" s="59">
        <f ca="1">AVERAGE(OFFSET($CC$3,0,0,'Données projet'!$E$12+1,1))-AVERAGE(OFFSET($H$3,0,0,'Données projet'!$E$12+1,1))</f>
        <v>601.17090553269054</v>
      </c>
      <c r="CE48" s="59">
        <f t="shared" si="40"/>
        <v>279.37477930888042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5.2537706239362265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5.2537706239362265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65.331896717871544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138.46</v>
      </c>
      <c r="CR48" s="12">
        <f>VLOOKUP(A48,'Données projet'!$A$139:$I$159,9,0)</f>
        <v>8.9585714285714282</v>
      </c>
      <c r="CS48" s="12">
        <f t="array" ref="CS48">INDEX(CR:CR,MIN(IF(ISNUMBER(CR48:CR244),ROW(CR48:CR244),"")))</f>
        <v>8.9585714285714282</v>
      </c>
      <c r="CT48" s="12">
        <f>IF('Données projet'!$A$140&gt;35,CT47+CS48-DB47,IF(A48&lt;'Données projet'!$A$140,$CQ$205^A48,IF(A48='Données projet'!$A$140,'Données projet'!$B$140,CT47+CS48-DB47)))</f>
        <v>138.45999999999998</v>
      </c>
      <c r="CU48" s="17">
        <f>CT48*VLOOKUP('Données projet'!$B$13,Paramètres!$A$1:$I$89,3,0)*VLOOKUP('Données projet'!$B$13,Paramètres!$A$1:$I$89,5,0)</f>
        <v>131.75853599999999</v>
      </c>
      <c r="CV48" s="13">
        <f t="shared" si="41"/>
        <v>34.402387059687236</v>
      </c>
      <c r="CW48" s="20">
        <f t="shared" si="13"/>
        <v>289.39694099562195</v>
      </c>
      <c r="CX48" s="59">
        <f t="shared" si="14"/>
        <v>565.61389562781756</v>
      </c>
      <c r="CY48" s="59">
        <f ca="1">AVERAGE(OFFSET($CX$3,0,0,'Données projet'!$E$13+1,1))-AVERAGE(OFFSET($H$3,0,0,'Données projet'!$E$13+1,1))</f>
        <v>418.79317359649315</v>
      </c>
      <c r="CZ48" s="59">
        <f t="shared" si="42"/>
        <v>286.46514989661011</v>
      </c>
      <c r="DA48" s="15">
        <f>IF(ISNA(VLOOKUP(A48,'Données projet'!$A$139:$I$159,3,0)),0,VLOOKUP(A48,'Données projet'!$A$139:$I$159,3,0))</f>
        <v>2</v>
      </c>
      <c r="DB48" s="15">
        <f>IF(ISNA(VLOOKUP(A48,'Données projet'!$A$139:$I$159,4,0)),0,VLOOKUP(A48,'Données projet'!$A$139:$I$159,4,0))</f>
        <v>39.119999999999997</v>
      </c>
      <c r="DC48" s="16">
        <f>IF(ISNA(VLOOKUP(A48,'Données projet'!$A$139:$I$159,5,0)),0%,VLOOKUP(A48,'Données projet'!$A$139:$I$159,5,0)*VLOOKUP('Données projet'!$B$13,Paramètres!$A$1:$I$89,7,0))</f>
        <v>0.129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5.3087234275176192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5.3087234275176192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65.331896717871544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65.331896717871544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65.331896717871544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65.331896717871544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65.331896717871544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1.35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0.40903200000000028</v>
      </c>
      <c r="D49" s="11">
        <f t="shared" si="32"/>
        <v>0.20917067723104388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4.9482209084178352</v>
      </c>
      <c r="H49" s="67">
        <f t="shared" si="1"/>
        <v>225.07336966284407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65.412877873501003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9.3712500000000034</v>
      </c>
      <c r="N49" s="13">
        <f>IF('Données projet'!$A$36&gt;35,N48+M49-V48,IF(A49&lt;'Données projet'!$A$36,$K$205^A49,IF(A49='Données projet'!$A$36,'Données projet'!$B$36,N48+M49-V48)))</f>
        <v>157.53500000000011</v>
      </c>
      <c r="O49" s="13">
        <f>N49*VLOOKUP('Données projet'!$B$9,Paramètres!$A$1:$I$89,3,0)*VLOOKUP('Données projet'!$B$9,Paramètres!$A$1:$I$89,5,0)</f>
        <v>159.74049000000011</v>
      </c>
      <c r="P49" s="13">
        <f t="shared" si="33"/>
        <v>40.783976673134042</v>
      </c>
      <c r="Q49" s="20">
        <f t="shared" si="53"/>
        <v>349.24677945570858</v>
      </c>
      <c r="R49" s="59">
        <f t="shared" si="0"/>
        <v>625.76066499187891</v>
      </c>
      <c r="S49" s="59">
        <f ca="1">AVERAGE(OFFSET($R$3,0,0,'Données projet'!$E$9+1,1))-AVERAGE(OFFSET($H$3,0,0,'Données projet'!$E$9+1,1))</f>
        <v>665.7907881991157</v>
      </c>
      <c r="T49" s="59">
        <f t="shared" si="34"/>
        <v>306.76923535735227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5.7723893124395271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5.7723893124395271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65.412877873501003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18.127142857142854</v>
      </c>
      <c r="AI49" s="13">
        <f>IF('Données projet'!$A$62&gt;35,AI48+AH49-AQ48,IF(A49&lt;'Données projet'!$A$62,$AF$205^A49,IF(A49='Données projet'!$A$62,'Données projet'!$B$62,AI48+AH49-AQ48)))</f>
        <v>306.87857142857143</v>
      </c>
      <c r="AJ49" s="13">
        <f>AI49*VLOOKUP('Données projet'!$B$10,Paramètres!$A$1:$I$89,3,0)*VLOOKUP('Données projet'!$B$10,Paramètres!$A$1:$I$89,5,0)</f>
        <v>143.61917142857143</v>
      </c>
      <c r="AK49" s="13">
        <f t="shared" si="35"/>
        <v>37.124871268762028</v>
      </c>
      <c r="AL49" s="20">
        <f t="shared" si="4"/>
        <v>314.79587436452249</v>
      </c>
      <c r="AM49" s="59">
        <f t="shared" si="5"/>
        <v>591.30975990069282</v>
      </c>
      <c r="AN49" s="59">
        <f ca="1">AVERAGE(OFFSET($AM$3,0,0,'Données projet'!$E$10+1,1))-AVERAGE(OFFSET($H$3,0,0,'Données projet'!$E$10+1,1))</f>
        <v>370.42479501931444</v>
      </c>
      <c r="AO49" s="59">
        <f t="shared" si="36"/>
        <v>351.95632347830144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28.767657441121798</v>
      </c>
      <c r="AV49" s="21">
        <f>EXP(-LN(2)/25)*AV48+(1-EXP(-LN(2)/25))/(LN(2)/25)*Calculateur!AQ49*Calculateur!AS49*VLOOKUP('Données projet'!$B$10,Paramètres!$A$1:$I$89,3,0)*0.475*44/12</f>
        <v>27.760658857203612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56.528316298325407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65.412877873501003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2.0548499999999992</v>
      </c>
      <c r="BD49" s="12">
        <f>IF('Données projet'!$A$88&gt;35,BD48+BC49-BL48,IF(A49&lt;'Données projet'!$A$88,$BA$205^A49,IF(A49='Données projet'!$A$88,'Données projet'!$B$88,BD48+BC49-BL48)))</f>
        <v>55.769350000000038</v>
      </c>
      <c r="BE49" s="13">
        <f>BD49*VLOOKUP('Données projet'!$B$11,Paramètres!$A$1:$I$89,3,0)*VLOOKUP('Données projet'!$B$11,Paramètres!$A$1:$I$89,5,0)</f>
        <v>48.720104160000041</v>
      </c>
      <c r="BF49" s="13">
        <f t="shared" si="37"/>
        <v>14.282723789890342</v>
      </c>
      <c r="BG49" s="20">
        <f t="shared" si="7"/>
        <v>109.72992534605908</v>
      </c>
      <c r="BH49" s="59">
        <f t="shared" si="8"/>
        <v>386.24381088222941</v>
      </c>
      <c r="BI49" s="59">
        <f ca="1">AVERAGE(OFFSET($BH$3,0,0,'Données projet'!$E$11+1,1))-AVERAGE(OFFSET($H$3,0,0,'Données projet'!$E$11+1,1))</f>
        <v>128.92423054779167</v>
      </c>
      <c r="BJ49" s="59">
        <f t="shared" si="38"/>
        <v>127.5443711972687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1.0311334439440305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1.0311334439440305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65.412877873501003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9.3712500000000034</v>
      </c>
      <c r="BY49" s="12">
        <f>IF('Données projet'!$A$114&gt;35,BY48+BX49-CG48,IF(A49&lt;'Données projet'!$A$114,$BV$205^A49,IF(A49='Données projet'!$A$114,'Données projet'!$B$114,BY48+BX49-CG48)))</f>
        <v>157.53500000000011</v>
      </c>
      <c r="BZ49" s="13">
        <f>BY49*VLOOKUP('Données projet'!$B$12,Paramètres!$A$1:$I$89,3,0)*VLOOKUP('Données projet'!$B$12,Paramètres!$A$1:$I$89,5,0)</f>
        <v>142.53766800000008</v>
      </c>
      <c r="CA49" s="13">
        <f t="shared" si="39"/>
        <v>36.877740410345027</v>
      </c>
      <c r="CB49" s="20">
        <f t="shared" si="10"/>
        <v>312.48183631468436</v>
      </c>
      <c r="CC49" s="59">
        <f t="shared" si="11"/>
        <v>588.99572185085469</v>
      </c>
      <c r="CD49" s="59">
        <f ca="1">AVERAGE(OFFSET($CC$3,0,0,'Données projet'!$E$12+1,1))-AVERAGE(OFFSET($H$3,0,0,'Données projet'!$E$12+1,1))</f>
        <v>601.17090553269054</v>
      </c>
      <c r="CE49" s="59">
        <f t="shared" si="40"/>
        <v>279.37477930888042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5.1507473864845013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5.1507473864845013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65.412877873501003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8.9771428571428569</v>
      </c>
      <c r="CT49" s="12">
        <f>IF('Données projet'!$A$140&gt;35,CT48+CS49-DB48,IF(A49&lt;'Données projet'!$A$140,$CQ$205^A49,IF(A49='Données projet'!$A$140,'Données projet'!$B$140,CT48+CS49-DB48)))</f>
        <v>108.31714285714284</v>
      </c>
      <c r="CU49" s="17">
        <f>CT49*VLOOKUP('Données projet'!$B$13,Paramètres!$A$1:$I$89,3,0)*VLOOKUP('Données projet'!$B$13,Paramètres!$A$1:$I$89,5,0)</f>
        <v>103.07459314285714</v>
      </c>
      <c r="CV49" s="13">
        <f t="shared" si="41"/>
        <v>27.693181015888253</v>
      </c>
      <c r="CW49" s="20">
        <f t="shared" si="13"/>
        <v>227.75387332648157</v>
      </c>
      <c r="CX49" s="59">
        <f t="shared" si="14"/>
        <v>504.26775886265193</v>
      </c>
      <c r="CY49" s="59">
        <f ca="1">AVERAGE(OFFSET($CX$3,0,0,'Données projet'!$E$13+1,1))-AVERAGE(OFFSET($H$3,0,0,'Données projet'!$E$13+1,1))</f>
        <v>418.79317359649315</v>
      </c>
      <c r="CZ49" s="59">
        <f t="shared" si="42"/>
        <v>286.46514989661011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5.204622599105563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5.204622599105563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65.412877873501003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65.412877873501003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65.412877873501003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65.412877873501003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65.412877873501003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1.35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0.4179240000000003</v>
      </c>
      <c r="D50" s="11">
        <f t="shared" si="32"/>
        <v>0.21318353025575543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4.9492170725109705</v>
      </c>
      <c r="H50" s="67">
        <f t="shared" si="1"/>
        <v>225.09584561519546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65.492454187127038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9.3712500000000034</v>
      </c>
      <c r="N50" s="13">
        <f>IF('Données projet'!$A$36&gt;35,N49+M50-V49,IF(A50&lt;'Données projet'!$A$36,$K$205^A50,IF(A50='Données projet'!$A$36,'Données projet'!$B$36,N49+M50-V49)))</f>
        <v>166.90625000000011</v>
      </c>
      <c r="O50" s="13">
        <f>N50*VLOOKUP('Données projet'!$B$9,Paramètres!$A$1:$I$89,3,0)*VLOOKUP('Données projet'!$B$9,Paramètres!$A$1:$I$89,5,0)</f>
        <v>169.24293750000012</v>
      </c>
      <c r="P50" s="13">
        <f t="shared" si="33"/>
        <v>42.920422750313541</v>
      </c>
      <c r="Q50" s="20">
        <f t="shared" si="53"/>
        <v>369.51785243596299</v>
      </c>
      <c r="R50" s="59">
        <f t="shared" si="0"/>
        <v>646.32351778876216</v>
      </c>
      <c r="S50" s="59">
        <f ca="1">AVERAGE(OFFSET($R$3,0,0,'Données projet'!$E$9+1,1))-AVERAGE(OFFSET($H$3,0,0,'Données projet'!$E$9+1,1))</f>
        <v>665.7907881991157</v>
      </c>
      <c r="T50" s="59">
        <f t="shared" si="34"/>
        <v>306.76923535735227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5.6591962788324173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5.6591962788324173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65.492454187127038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18.127142857142854</v>
      </c>
      <c r="AI50" s="13">
        <f>IF('Données projet'!$A$62&gt;35,AI49+AH50-AQ49,IF(A50&lt;'Données projet'!$A$62,$AF$205^A50,IF(A50='Données projet'!$A$62,'Données projet'!$B$62,AI49+AH50-AQ49)))</f>
        <v>325.0057142857143</v>
      </c>
      <c r="AJ50" s="13">
        <f>AI50*VLOOKUP('Données projet'!$B$10,Paramètres!$A$1:$I$89,3,0)*VLOOKUP('Données projet'!$B$10,Paramètres!$A$1:$I$89,5,0)</f>
        <v>152.1026742857143</v>
      </c>
      <c r="AK50" s="13">
        <f t="shared" si="35"/>
        <v>39.056038076016335</v>
      </c>
      <c r="AL50" s="20">
        <f t="shared" si="4"/>
        <v>332.9347573633475</v>
      </c>
      <c r="AM50" s="59">
        <f t="shared" si="5"/>
        <v>609.74042271614667</v>
      </c>
      <c r="AN50" s="59">
        <f ca="1">AVERAGE(OFFSET($AM$3,0,0,'Données projet'!$E$10+1,1))-AVERAGE(OFFSET($H$3,0,0,'Données projet'!$E$10+1,1))</f>
        <v>370.42479501931444</v>
      </c>
      <c r="AO50" s="59">
        <f t="shared" si="36"/>
        <v>351.95632347830144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28.203541225239864</v>
      </c>
      <c r="AV50" s="21">
        <f>EXP(-LN(2)/25)*AV49+(1-EXP(-LN(2)/25))/(LN(2)/25)*Calculateur!AQ50*Calculateur!AS50*VLOOKUP('Données projet'!$B$10,Paramètres!$A$1:$I$89,3,0)*0.475*44/12</f>
        <v>27.001542180883778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55.205083406123642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65.492454187127038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2.0548499999999992</v>
      </c>
      <c r="BD50" s="12">
        <f>IF('Données projet'!$A$88&gt;35,BD49+BC50-BL49,IF(A50&lt;'Données projet'!$A$88,$BA$205^A50,IF(A50='Données projet'!$A$88,'Données projet'!$B$88,BD49+BC50-BL49)))</f>
        <v>57.82420000000004</v>
      </c>
      <c r="BE50" s="13">
        <f>BD50*VLOOKUP('Données projet'!$B$11,Paramètres!$A$1:$I$89,3,0)*VLOOKUP('Données projet'!$B$11,Paramètres!$A$1:$I$89,5,0)</f>
        <v>50.515221120000042</v>
      </c>
      <c r="BF50" s="13">
        <f t="shared" si="37"/>
        <v>14.746738271534142</v>
      </c>
      <c r="BG50" s="20">
        <f t="shared" si="7"/>
        <v>113.6645792735887</v>
      </c>
      <c r="BH50" s="59">
        <f t="shared" si="8"/>
        <v>390.47024462638785</v>
      </c>
      <c r="BI50" s="59">
        <f ca="1">AVERAGE(OFFSET($BH$3,0,0,'Données projet'!$E$11+1,1))-AVERAGE(OFFSET($H$3,0,0,'Données projet'!$E$11+1,1))</f>
        <v>128.92423054779167</v>
      </c>
      <c r="BJ50" s="59">
        <f t="shared" si="38"/>
        <v>127.5443711972687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1.0109135460375873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1.0109135460375873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65.492454187127038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9.3712500000000034</v>
      </c>
      <c r="BY50" s="12">
        <f>IF('Données projet'!$A$114&gt;35,BY49+BX50-CG49,IF(A50&lt;'Données projet'!$A$114,$BV$205^A50,IF(A50='Données projet'!$A$114,'Données projet'!$B$114,BY49+BX50-CG49)))</f>
        <v>166.90625000000011</v>
      </c>
      <c r="BZ50" s="13">
        <f>BY50*VLOOKUP('Données projet'!$B$12,Paramètres!$A$1:$I$89,3,0)*VLOOKUP('Données projet'!$B$12,Paramètres!$A$1:$I$89,5,0)</f>
        <v>151.01677500000011</v>
      </c>
      <c r="CA50" s="13">
        <f t="shared" si="39"/>
        <v>38.809560459830927</v>
      </c>
      <c r="CB50" s="20">
        <f t="shared" si="10"/>
        <v>330.61420092587235</v>
      </c>
      <c r="CC50" s="59">
        <f t="shared" si="11"/>
        <v>607.41986627867152</v>
      </c>
      <c r="CD50" s="59">
        <f ca="1">AVERAGE(OFFSET($CC$3,0,0,'Données projet'!$E$12+1,1))-AVERAGE(OFFSET($H$3,0,0,'Données projet'!$E$12+1,1))</f>
        <v>601.17090553269054</v>
      </c>
      <c r="CE50" s="59">
        <f t="shared" si="40"/>
        <v>279.37477930888042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5.0497443718812338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5.0497443718812338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65.492454187127038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8.9771428571428569</v>
      </c>
      <c r="CT50" s="12">
        <f>IF('Données projet'!$A$140&gt;35,CT49+CS50-DB49,IF(A50&lt;'Données projet'!$A$140,$CQ$205^A50,IF(A50='Données projet'!$A$140,'Données projet'!$B$140,CT49+CS50-DB49)))</f>
        <v>117.29428571428569</v>
      </c>
      <c r="CU50" s="17">
        <f>CT50*VLOOKUP('Données projet'!$B$13,Paramètres!$A$1:$I$89,3,0)*VLOOKUP('Données projet'!$B$13,Paramètres!$A$1:$I$89,5,0)</f>
        <v>111.61724228571425</v>
      </c>
      <c r="CV50" s="13">
        <f t="shared" si="41"/>
        <v>29.711695199726616</v>
      </c>
      <c r="CW50" s="20">
        <f t="shared" si="13"/>
        <v>246.14789945380949</v>
      </c>
      <c r="CX50" s="59">
        <f t="shared" si="14"/>
        <v>522.95356480660871</v>
      </c>
      <c r="CY50" s="59">
        <f ca="1">AVERAGE(OFFSET($CX$3,0,0,'Données projet'!$E$13+1,1))-AVERAGE(OFFSET($H$3,0,0,'Données projet'!$E$13+1,1))</f>
        <v>418.79317359649315</v>
      </c>
      <c r="CZ50" s="59">
        <f t="shared" si="42"/>
        <v>286.46514989661011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5.1025631244434315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5.1025631244434315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65.492454187127038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65.492454187127038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65.492454187127038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65.492454187127038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65.492454187127038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1.35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0.42681600000000031</v>
      </c>
      <c r="D51" s="11">
        <f t="shared" si="32"/>
        <v>0.21718645657040414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4.9502124703317509</v>
      </c>
      <c r="H51" s="67">
        <f t="shared" si="1"/>
        <v>225.11830427852678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65.570650029617639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9.3712500000000034</v>
      </c>
      <c r="N51" s="13">
        <f>IF('Données projet'!$A$36&gt;35,N50+M51-V50,IF(A51&lt;'Données projet'!$A$36,$K$205^A51,IF(A51='Données projet'!$A$36,'Données projet'!$B$36,N50+M51-V50)))</f>
        <v>176.27750000000012</v>
      </c>
      <c r="O51" s="13">
        <f>N51*VLOOKUP('Données projet'!$B$9,Paramètres!$A$1:$I$89,3,0)*VLOOKUP('Données projet'!$B$9,Paramètres!$A$1:$I$89,5,0)</f>
        <v>178.74538500000011</v>
      </c>
      <c r="P51" s="13">
        <f t="shared" si="33"/>
        <v>45.042943918150705</v>
      </c>
      <c r="Q51" s="20">
        <f t="shared" si="53"/>
        <v>389.76467286577935</v>
      </c>
      <c r="R51" s="59">
        <f t="shared" si="0"/>
        <v>666.85705630771076</v>
      </c>
      <c r="S51" s="59">
        <f ca="1">AVERAGE(OFFSET($R$3,0,0,'Données projet'!$E$9+1,1))-AVERAGE(OFFSET($H$3,0,0,'Données projet'!$E$9+1,1))</f>
        <v>665.7907881991157</v>
      </c>
      <c r="T51" s="59">
        <f t="shared" si="34"/>
        <v>306.76923535735227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5.5482228915734098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5.5482228915734098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65.570650029617639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18.127142857142854</v>
      </c>
      <c r="AI51" s="13">
        <f>IF('Données projet'!$A$62&gt;35,AI50+AH51-AQ50,IF(A51&lt;'Données projet'!$A$62,$AF$205^A51,IF(A51='Données projet'!$A$62,'Données projet'!$B$62,AI50+AH51-AQ50)))</f>
        <v>343.13285714285718</v>
      </c>
      <c r="AJ51" s="13">
        <f>AI51*VLOOKUP('Données projet'!$B$10,Paramètres!$A$1:$I$89,3,0)*VLOOKUP('Données projet'!$B$10,Paramètres!$A$1:$I$89,5,0)</f>
        <v>160.58617714285717</v>
      </c>
      <c r="AK51" s="13">
        <f t="shared" si="35"/>
        <v>40.974701144941157</v>
      </c>
      <c r="AL51" s="20">
        <f t="shared" si="4"/>
        <v>351.05186301791537</v>
      </c>
      <c r="AM51" s="59">
        <f t="shared" si="5"/>
        <v>628.14424645984673</v>
      </c>
      <c r="AN51" s="59">
        <f ca="1">AVERAGE(OFFSET($AM$3,0,0,'Données projet'!$E$10+1,1))-AVERAGE(OFFSET($H$3,0,0,'Données projet'!$E$10+1,1))</f>
        <v>370.42479501931444</v>
      </c>
      <c r="AO51" s="59">
        <f t="shared" si="36"/>
        <v>351.95632347830144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27.650486984274455</v>
      </c>
      <c r="AV51" s="21">
        <f>EXP(-LN(2)/25)*AV50+(1-EXP(-LN(2)/25))/(LN(2)/25)*Calculateur!AQ51*Calculateur!AS51*VLOOKUP('Données projet'!$B$10,Paramètres!$A$1:$I$89,3,0)*0.475*44/12</f>
        <v>26.263183589998121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53.913670574272572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65.570650029617639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2.0548499999999992</v>
      </c>
      <c r="BD51" s="12">
        <f>IF('Données projet'!$A$88&gt;35,BD50+BC51-BL50,IF(A51&lt;'Données projet'!$A$88,$BA$205^A51,IF(A51='Données projet'!$A$88,'Données projet'!$B$88,BD50+BC51-BL50)))</f>
        <v>59.879050000000042</v>
      </c>
      <c r="BE51" s="13">
        <f>BD51*VLOOKUP('Données projet'!$B$11,Paramètres!$A$1:$I$89,3,0)*VLOOKUP('Données projet'!$B$11,Paramètres!$A$1:$I$89,5,0)</f>
        <v>52.310338080000037</v>
      </c>
      <c r="BF51" s="13">
        <f t="shared" si="37"/>
        <v>15.208836937721298</v>
      </c>
      <c r="BG51" s="20">
        <f t="shared" si="7"/>
        <v>117.59589648919798</v>
      </c>
      <c r="BH51" s="59">
        <f t="shared" si="8"/>
        <v>394.68827993112933</v>
      </c>
      <c r="BI51" s="59">
        <f ca="1">AVERAGE(OFFSET($BH$3,0,0,'Données projet'!$E$11+1,1))-AVERAGE(OFFSET($H$3,0,0,'Données projet'!$E$11+1,1))</f>
        <v>128.92423054779167</v>
      </c>
      <c r="BJ51" s="59">
        <f t="shared" si="38"/>
        <v>127.5443711972687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0.99109014799616946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0.99109014799616946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65.570650029617639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9.3712500000000034</v>
      </c>
      <c r="BY51" s="12">
        <f>IF('Données projet'!$A$114&gt;35,BY50+BX51-CG50,IF(A51&lt;'Données projet'!$A$114,$BV$205^A51,IF(A51='Données projet'!$A$114,'Données projet'!$B$114,BY50+BX51-CG50)))</f>
        <v>176.27750000000012</v>
      </c>
      <c r="BZ51" s="13">
        <f>BY51*VLOOKUP('Données projet'!$B$12,Paramètres!$A$1:$I$89,3,0)*VLOOKUP('Données projet'!$B$12,Paramètres!$A$1:$I$89,5,0)</f>
        <v>159.49588200000008</v>
      </c>
      <c r="CA51" s="13">
        <f t="shared" si="39"/>
        <v>40.728789309687656</v>
      </c>
      <c r="CB51" s="20">
        <f t="shared" si="10"/>
        <v>348.72463586437283</v>
      </c>
      <c r="CC51" s="59">
        <f t="shared" si="11"/>
        <v>625.81701930630425</v>
      </c>
      <c r="CD51" s="59">
        <f ca="1">AVERAGE(OFFSET($CC$3,0,0,'Données projet'!$E$12+1,1))-AVERAGE(OFFSET($H$3,0,0,'Données projet'!$E$12+1,1))</f>
        <v>601.17090553269054</v>
      </c>
      <c r="CE51" s="59">
        <f t="shared" si="40"/>
        <v>279.37477930888042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4.9507219647885812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4.9507219647885812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65.570650029617639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8.9771428571428569</v>
      </c>
      <c r="CT51" s="12">
        <f>IF('Données projet'!$A$140&gt;35,CT50+CS51-DB50,IF(A51&lt;'Données projet'!$A$140,$CQ$205^A51,IF(A51='Données projet'!$A$140,'Données projet'!$B$140,CT50+CS51-DB50)))</f>
        <v>126.27142857142854</v>
      </c>
      <c r="CU51" s="17">
        <f>CT51*VLOOKUP('Données projet'!$B$13,Paramètres!$A$1:$I$89,3,0)*VLOOKUP('Données projet'!$B$13,Paramètres!$A$1:$I$89,5,0)</f>
        <v>120.1598914285714</v>
      </c>
      <c r="CV51" s="13">
        <f t="shared" si="41"/>
        <v>31.712288453655503</v>
      </c>
      <c r="CW51" s="20">
        <f t="shared" si="13"/>
        <v>264.51071329487849</v>
      </c>
      <c r="CX51" s="59">
        <f t="shared" si="14"/>
        <v>541.6030967368099</v>
      </c>
      <c r="CY51" s="59">
        <f ca="1">AVERAGE(OFFSET($CX$3,0,0,'Données projet'!$E$13+1,1))-AVERAGE(OFFSET($H$3,0,0,'Données projet'!$E$13+1,1))</f>
        <v>418.79317359649315</v>
      </c>
      <c r="CZ51" s="59">
        <f t="shared" si="42"/>
        <v>286.46514989661011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5.0025049738292919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5.0025049738292919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65.570650029617639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65.570650029617639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65.570650029617639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65.570650029617639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65.570650029617639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1.35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0.43570800000000032</v>
      </c>
      <c r="D52" s="11">
        <f t="shared" si="32"/>
        <v>0.22117968680769179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4.9512071196834011</v>
      </c>
      <c r="H52" s="67">
        <f t="shared" si="1"/>
        <v>225.14074605452339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65.647489349060749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9.3712500000000034</v>
      </c>
      <c r="N52" s="13">
        <f>IF('Données projet'!$A$36&gt;35,N51+M52-V51,IF(A52&lt;'Données projet'!$A$36,$K$205^A52,IF(A52='Données projet'!$A$36,'Données projet'!$B$36,N51+M52-V51)))</f>
        <v>185.64875000000012</v>
      </c>
      <c r="O52" s="13">
        <f>N52*VLOOKUP('Données projet'!$B$9,Paramètres!$A$1:$I$89,3,0)*VLOOKUP('Données projet'!$B$9,Paramètres!$A$1:$I$89,5,0)</f>
        <v>188.24783250000013</v>
      </c>
      <c r="P52" s="13">
        <f t="shared" si="33"/>
        <v>47.152364864692288</v>
      </c>
      <c r="Q52" s="20">
        <f t="shared" si="53"/>
        <v>409.98867707683922</v>
      </c>
      <c r="R52" s="59">
        <f t="shared" si="0"/>
        <v>687.36280469006192</v>
      </c>
      <c r="S52" s="59">
        <f ca="1">AVERAGE(OFFSET($R$3,0,0,'Données projet'!$E$9+1,1))-AVERAGE(OFFSET($H$3,0,0,'Données projet'!$E$9+1,1))</f>
        <v>665.7907881991157</v>
      </c>
      <c r="T52" s="59">
        <f t="shared" si="34"/>
        <v>306.76923535735227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5.4394256247514683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5.4394256247514683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65.647489349060749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361.26</v>
      </c>
      <c r="AG52" s="12">
        <f>VLOOKUP(A52,'Données projet'!$A$61:$I$81,9,0)</f>
        <v>18.127142857142854</v>
      </c>
      <c r="AH52" s="12">
        <f t="array" ref="AH52">INDEX(AG:AG,MIN(IF(ISNUMBER(AG52:AG248),ROW(AG52:AG248),"")))</f>
        <v>18.127142857142854</v>
      </c>
      <c r="AI52" s="13">
        <f>IF('Données projet'!$A$62&gt;35,AI51+AH52-AQ51,IF(A52&lt;'Données projet'!$A$62,$AF$205^A52,IF(A52='Données projet'!$A$62,'Données projet'!$B$62,AI51+AH52-AQ51)))</f>
        <v>361.26000000000005</v>
      </c>
      <c r="AJ52" s="13">
        <f>AI52*VLOOKUP('Données projet'!$B$10,Paramètres!$A$1:$I$89,3,0)*VLOOKUP('Données projet'!$B$10,Paramètres!$A$1:$I$89,5,0)</f>
        <v>169.06968000000003</v>
      </c>
      <c r="AK52" s="13">
        <f t="shared" si="35"/>
        <v>42.881596355037587</v>
      </c>
      <c r="AL52" s="20">
        <f t="shared" si="4"/>
        <v>369.14847298502383</v>
      </c>
      <c r="AM52" s="59">
        <f t="shared" si="5"/>
        <v>646.52260059824653</v>
      </c>
      <c r="AN52" s="59">
        <f ca="1">AVERAGE(OFFSET($AM$3,0,0,'Données projet'!$E$10+1,1))-AVERAGE(OFFSET($H$3,0,0,'Données projet'!$E$10+1,1))</f>
        <v>370.42479501931444</v>
      </c>
      <c r="AO52" s="59">
        <f t="shared" si="36"/>
        <v>351.95632347830144</v>
      </c>
      <c r="AP52" s="15">
        <f>IF(ISNA(VLOOKUP(A52,'Données projet'!$A$61:$I$81,3,0)),0,VLOOKUP(A52,'Données projet'!$A$61:$I$81,3,0))</f>
        <v>2</v>
      </c>
      <c r="AQ52" s="15">
        <f>IF(ISNA(VLOOKUP(A52,'Données projet'!$A$61:$I$81,4,0)),0,VLOOKUP(A52,'Données projet'!$A$61:$I$81,4,0))</f>
        <v>100.16</v>
      </c>
      <c r="AR52" s="16">
        <f>IF(ISNA(VLOOKUP(A52,'Données projet'!$A$61:$I$81,5,0)),0%,VLOOKUP(A52,'Données projet'!$A$61:$I$81,5,0)*VLOOKUP('Données projet'!$B$10,Paramètres!$A$1:$I$89,7,0))</f>
        <v>0.27500000000000002</v>
      </c>
      <c r="AS52" s="16">
        <f>IF(ISNA(VLOOKUP(A52,'Données projet'!$A$61:$I$81,6,0)),0%,VLOOKUP(A52,'Données projet'!$A$61:$I$81,6,0)*VLOOKUP('Données projet'!$B$10,Paramètres!$A$1:$I$89,7,0))</f>
        <v>0.27500000000000002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44.208478956417892</v>
      </c>
      <c r="AV52" s="21">
        <f>EXP(-LN(2)/25)*AV51+(1-EXP(-LN(2)/25))/(LN(2)/25)*Calculateur!AQ52*Calculateur!AS52*VLOOKUP('Données projet'!$B$10,Paramètres!$A$1:$I$89,3,0)*0.475*44/12</f>
        <v>42.577886602740435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86.786365559158327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65.647489349060749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2.0548499999999992</v>
      </c>
      <c r="BD52" s="12">
        <f>IF('Données projet'!$A$88&gt;35,BD51+BC52-BL51,IF(A52&lt;'Données projet'!$A$88,$BA$205^A52,IF(A52='Données projet'!$A$88,'Données projet'!$B$88,BD51+BC52-BL51)))</f>
        <v>61.933900000000044</v>
      </c>
      <c r="BE52" s="13">
        <f>BD52*VLOOKUP('Données projet'!$B$11,Paramètres!$A$1:$I$89,3,0)*VLOOKUP('Données projet'!$B$11,Paramètres!$A$1:$I$89,5,0)</f>
        <v>54.105455040000045</v>
      </c>
      <c r="BF52" s="13">
        <f t="shared" si="37"/>
        <v>15.669093068353863</v>
      </c>
      <c r="BG52" s="20">
        <f t="shared" si="7"/>
        <v>121.5240046220497</v>
      </c>
      <c r="BH52" s="59">
        <f t="shared" si="8"/>
        <v>398.89813223527244</v>
      </c>
      <c r="BI52" s="59">
        <f ca="1">AVERAGE(OFFSET($BH$3,0,0,'Données projet'!$E$11+1,1))-AVERAGE(OFFSET($H$3,0,0,'Données projet'!$E$11+1,1))</f>
        <v>128.92423054779167</v>
      </c>
      <c r="BJ52" s="59">
        <f t="shared" si="38"/>
        <v>127.5443711972687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0.97165547469926494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0.97165547469926494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65.647489349060749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9.3712500000000034</v>
      </c>
      <c r="BY52" s="12">
        <f>IF('Données projet'!$A$114&gt;35,BY51+BX52-CG51,IF(A52&lt;'Données projet'!$A$114,$BV$205^A52,IF(A52='Données projet'!$A$114,'Données projet'!$B$114,BY51+BX52-CG51)))</f>
        <v>185.64875000000012</v>
      </c>
      <c r="BZ52" s="13">
        <f>BY52*VLOOKUP('Données projet'!$B$12,Paramètres!$A$1:$I$89,3,0)*VLOOKUP('Données projet'!$B$12,Paramètres!$A$1:$I$89,5,0)</f>
        <v>167.97498900000011</v>
      </c>
      <c r="CA52" s="13">
        <f t="shared" si="39"/>
        <v>42.636172660412917</v>
      </c>
      <c r="CB52" s="20">
        <f t="shared" si="10"/>
        <v>366.81443989188602</v>
      </c>
      <c r="CC52" s="59">
        <f t="shared" si="11"/>
        <v>644.18856750510872</v>
      </c>
      <c r="CD52" s="59">
        <f ca="1">AVERAGE(OFFSET($CC$3,0,0,'Données projet'!$E$12+1,1))-AVERAGE(OFFSET($H$3,0,0,'Données projet'!$E$12+1,1))</f>
        <v>601.17090553269054</v>
      </c>
      <c r="CE52" s="59">
        <f t="shared" si="40"/>
        <v>279.37477930888042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4.853641326701311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4.853641326701311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65.647489349060749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8.9771428571428569</v>
      </c>
      <c r="CT52" s="12">
        <f>IF('Données projet'!$A$140&gt;35,CT51+CS52-DB51,IF(A52&lt;'Données projet'!$A$140,$CQ$205^A52,IF(A52='Données projet'!$A$140,'Données projet'!$B$140,CT51+CS52-DB51)))</f>
        <v>135.24857142857141</v>
      </c>
      <c r="CU52" s="17">
        <f>CT52*VLOOKUP('Données projet'!$B$13,Paramètres!$A$1:$I$89,3,0)*VLOOKUP('Données projet'!$B$13,Paramètres!$A$1:$I$89,5,0)</f>
        <v>128.70254057142856</v>
      </c>
      <c r="CV52" s="13">
        <f t="shared" si="41"/>
        <v>33.696379757144364</v>
      </c>
      <c r="CW52" s="20">
        <f t="shared" si="13"/>
        <v>282.84478623893114</v>
      </c>
      <c r="CX52" s="59">
        <f t="shared" si="14"/>
        <v>560.21891385215395</v>
      </c>
      <c r="CY52" s="59">
        <f ca="1">AVERAGE(OFFSET($CX$3,0,0,'Données projet'!$E$13+1,1))-AVERAGE(OFFSET($H$3,0,0,'Données projet'!$E$13+1,1))</f>
        <v>418.79317359649315</v>
      </c>
      <c r="CZ52" s="59">
        <f t="shared" si="42"/>
        <v>286.46514989661011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4.9044089025192497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4.9044089025192497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65.647489349060749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65.647489349060749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65.647489349060749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65.647489349060749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65.647489349060749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1.35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0.44460000000000033</v>
      </c>
      <c r="D53" s="11">
        <f t="shared" si="32"/>
        <v>0.22516344164861982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4.952201037600946</v>
      </c>
      <c r="H53" s="67">
        <f t="shared" si="1"/>
        <v>225.16317132753801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65.722995678098499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195.02</v>
      </c>
      <c r="L53" s="12">
        <f>VLOOKUP(A53,'Données projet'!$A$35:$I$55,9,0)</f>
        <v>9.3712500000000034</v>
      </c>
      <c r="M53" s="12">
        <f t="array" ref="M53">INDEX(L:L,MIN(IF(ISNUMBER(L53:L249),ROW(L53:L249),"")))</f>
        <v>9.3712500000000034</v>
      </c>
      <c r="N53" s="13">
        <f>IF('Données projet'!$A$36&gt;35,N52+M53-V52,IF(A53&lt;'Données projet'!$A$36,$K$205^A53,IF(A53='Données projet'!$A$36,'Données projet'!$B$36,N52+M53-V52)))</f>
        <v>195.02000000000012</v>
      </c>
      <c r="O53" s="13">
        <f>N53*VLOOKUP('Données projet'!$B$9,Paramètres!$A$1:$I$89,3,0)*VLOOKUP('Données projet'!$B$9,Paramètres!$A$1:$I$89,5,0)</f>
        <v>197.75028000000015</v>
      </c>
      <c r="P53" s="13">
        <f t="shared" si="33"/>
        <v>49.24942231714175</v>
      </c>
      <c r="Q53" s="20">
        <f t="shared" si="53"/>
        <v>430.19114820235546</v>
      </c>
      <c r="R53" s="59">
        <f t="shared" si="0"/>
        <v>707.84213235538323</v>
      </c>
      <c r="S53" s="59">
        <f ca="1">AVERAGE(OFFSET($R$3,0,0,'Données projet'!$E$9+1,1))-AVERAGE(OFFSET($H$3,0,0,'Données projet'!$E$9+1,1))</f>
        <v>665.7907881991157</v>
      </c>
      <c r="T53" s="59">
        <f t="shared" si="34"/>
        <v>306.76923535735227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35.58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10.477706604163481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10.477706604163481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65.722995678098499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16.944285714285709</v>
      </c>
      <c r="AI53" s="13">
        <f>IF('Données projet'!$A$62&gt;35,AI52+AH53-AQ52,IF(A53&lt;'Données projet'!$A$62,$AF$205^A53,IF(A53='Données projet'!$A$62,'Données projet'!$B$62,AI52+AH53-AQ52)))</f>
        <v>278.04428571428571</v>
      </c>
      <c r="AJ53" s="13">
        <f>AI53*VLOOKUP('Données projet'!$B$10,Paramètres!$A$1:$I$89,3,0)*VLOOKUP('Données projet'!$B$10,Paramètres!$A$1:$I$89,5,0)</f>
        <v>130.12472571428572</v>
      </c>
      <c r="AK53" s="13">
        <f t="shared" si="35"/>
        <v>34.025178174160651</v>
      </c>
      <c r="AL53" s="20">
        <f t="shared" si="4"/>
        <v>285.89441593904411</v>
      </c>
      <c r="AM53" s="59">
        <f t="shared" si="5"/>
        <v>563.54540009207199</v>
      </c>
      <c r="AN53" s="59">
        <f ca="1">AVERAGE(OFFSET($AM$3,0,0,'Données projet'!$E$10+1,1))-AVERAGE(OFFSET($H$3,0,0,'Données projet'!$E$10+1,1))</f>
        <v>370.42479501931444</v>
      </c>
      <c r="AO53" s="59">
        <f t="shared" si="36"/>
        <v>351.95632347830144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43.341577648592178</v>
      </c>
      <c r="AV53" s="21">
        <f>EXP(-LN(2)/25)*AV52+(1-EXP(-LN(2)/25))/(LN(2)/25)*Calculateur!AQ53*Calculateur!AS53*VLOOKUP('Données projet'!$B$10,Paramètres!$A$1:$I$89,3,0)*0.475*44/12</f>
        <v>41.413592054514751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84.75516970310693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65.722995678098499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63.988749999999996</v>
      </c>
      <c r="BB53" s="12">
        <f>VLOOKUP(A53,'Données projet'!$A$87:$I$107,9,0)</f>
        <v>2.0548499999999992</v>
      </c>
      <c r="BC53" s="12">
        <f t="array" ref="BC53">INDEX(BB:BB,MIN(IF(ISNUMBER(BB53:BB249),ROW(BB53:BB249),"")))</f>
        <v>2.0548499999999992</v>
      </c>
      <c r="BD53" s="12">
        <f>IF('Données projet'!$A$88&gt;35,BD52+BC53-BL52,IF(A53&lt;'Données projet'!$A$88,$BA$205^A53,IF(A53='Données projet'!$A$88,'Données projet'!$B$88,BD52+BC53-BL52)))</f>
        <v>63.988750000000046</v>
      </c>
      <c r="BE53" s="13">
        <f>BD53*VLOOKUP('Données projet'!$B$11,Paramètres!$A$1:$I$89,3,0)*VLOOKUP('Données projet'!$B$11,Paramètres!$A$1:$I$89,5,0)</f>
        <v>55.900572000000047</v>
      </c>
      <c r="BF53" s="13">
        <f t="shared" si="37"/>
        <v>16.127574804810912</v>
      </c>
      <c r="BG53" s="20">
        <f t="shared" si="7"/>
        <v>125.44902235171242</v>
      </c>
      <c r="BH53" s="59">
        <f t="shared" si="8"/>
        <v>403.10000650474024</v>
      </c>
      <c r="BI53" s="59">
        <f ca="1">AVERAGE(OFFSET($BH$3,0,0,'Données projet'!$E$11+1,1))-AVERAGE(OFFSET($H$3,0,0,'Données projet'!$E$11+1,1))</f>
        <v>128.92423054779167</v>
      </c>
      <c r="BJ53" s="59">
        <f t="shared" si="38"/>
        <v>127.5443711972687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5.2272499999999997</v>
      </c>
      <c r="BM53" s="16">
        <f>IF(ISNA(VLOOKUP(A53,'Données projet'!$A$87:$I$107,5,0)),0%,VLOOKUP(A53,'Données projet'!$A$87:$I$107,5,0)*VLOOKUP('Données projet'!$B$11,Paramètres!$A$1:$I$89,7,0))</f>
        <v>0.159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1.7552591508121829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1.7552591508121829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65.722995678098499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195.02</v>
      </c>
      <c r="BW53" s="12">
        <f>VLOOKUP(A53,'Données projet'!$A$113:$I$133,9,0)</f>
        <v>9.3712500000000034</v>
      </c>
      <c r="BX53" s="12">
        <f t="array" ref="BX53">INDEX(BW:BW,MIN(IF(ISNUMBER(BW53:BW249),ROW(BW53:BW249),"")))</f>
        <v>9.3712500000000034</v>
      </c>
      <c r="BY53" s="12">
        <f>IF('Données projet'!$A$114&gt;35,BY52+BX53-CG52,IF(A53&lt;'Données projet'!$A$114,$BV$205^A53,IF(A53='Données projet'!$A$114,'Données projet'!$B$114,BY52+BX53-CG52)))</f>
        <v>195.02000000000012</v>
      </c>
      <c r="BZ53" s="13">
        <f>BY53*VLOOKUP('Données projet'!$B$12,Paramètres!$A$1:$I$89,3,0)*VLOOKUP('Données projet'!$B$12,Paramètres!$A$1:$I$89,5,0)</f>
        <v>176.45409600000011</v>
      </c>
      <c r="CA53" s="13">
        <f t="shared" si="39"/>
        <v>44.532376676436577</v>
      </c>
      <c r="CB53" s="20">
        <f t="shared" si="10"/>
        <v>384.88477324479385</v>
      </c>
      <c r="CC53" s="59">
        <f t="shared" si="11"/>
        <v>662.53575739782173</v>
      </c>
      <c r="CD53" s="59">
        <f ca="1">AVERAGE(OFFSET($CC$3,0,0,'Données projet'!$E$12+1,1))-AVERAGE(OFFSET($H$3,0,0,'Données projet'!$E$12+1,1))</f>
        <v>601.17090553269054</v>
      </c>
      <c r="CE53" s="59">
        <f t="shared" si="40"/>
        <v>279.37477930888042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35.58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9.3493382006381829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9.3493382006381829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65.722995678098499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8.9771428571428569</v>
      </c>
      <c r="CT53" s="12">
        <f>IF('Données projet'!$A$140&gt;35,CT52+CS53-DB52,IF(A53&lt;'Données projet'!$A$140,$CQ$205^A53,IF(A53='Données projet'!$A$140,'Données projet'!$B$140,CT52+CS53-DB52)))</f>
        <v>144.22571428571428</v>
      </c>
      <c r="CU53" s="17">
        <f>CT53*VLOOKUP('Données projet'!$B$13,Paramètres!$A$1:$I$89,3,0)*VLOOKUP('Données projet'!$B$13,Paramètres!$A$1:$I$89,5,0)</f>
        <v>137.24518971428571</v>
      </c>
      <c r="CV53" s="13">
        <f t="shared" si="41"/>
        <v>35.665189063640696</v>
      </c>
      <c r="CW53" s="20">
        <f t="shared" si="13"/>
        <v>301.15224303822185</v>
      </c>
      <c r="CX53" s="59">
        <f t="shared" si="14"/>
        <v>578.80322719124968</v>
      </c>
      <c r="CY53" s="59">
        <f ca="1">AVERAGE(OFFSET($CX$3,0,0,'Données projet'!$E$13+1,1))-AVERAGE(OFFSET($H$3,0,0,'Données projet'!$E$13+1,1))</f>
        <v>418.79317359649315</v>
      </c>
      <c r="CZ53" s="59">
        <f t="shared" si="42"/>
        <v>286.46514989661011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4.8082364353349023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4.8082364353349023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65.722995678098499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65.722995678098499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65.722995678098499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65.722995678098499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65.722995678098499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1.35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0.45349200000000034</v>
      </c>
      <c r="D54" s="11">
        <f t="shared" si="32"/>
        <v>0.22913793244220246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4.9531942403990472</v>
      </c>
      <c r="H54" s="67">
        <f t="shared" si="1"/>
        <v>225.18558046567017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65.797192141134317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9.5537500000000009</v>
      </c>
      <c r="N54" s="13">
        <f>IF('Données projet'!$A$36&gt;35,N53+M54-V53,IF(A54&lt;'Données projet'!$A$36,$K$205^A54,IF(A54='Données projet'!$A$36,'Données projet'!$B$36,N53+M54-V53)))</f>
        <v>168.99375000000015</v>
      </c>
      <c r="O54" s="13">
        <f>N54*VLOOKUP('Données projet'!$B$9,Paramètres!$A$1:$I$89,3,0)*VLOOKUP('Données projet'!$B$9,Paramètres!$A$1:$I$89,5,0)</f>
        <v>171.35966250000016</v>
      </c>
      <c r="P54" s="13">
        <f t="shared" si="33"/>
        <v>43.39440142643388</v>
      </c>
      <c r="Q54" s="20">
        <f t="shared" si="53"/>
        <v>374.0299946718726</v>
      </c>
      <c r="R54" s="59">
        <f t="shared" si="0"/>
        <v>651.95303252269844</v>
      </c>
      <c r="S54" s="59">
        <f ca="1">AVERAGE(OFFSET($R$3,0,0,'Données projet'!$E$9+1,1))-AVERAGE(OFFSET($H$3,0,0,'Données projet'!$E$9+1,1))</f>
        <v>665.7907881991157</v>
      </c>
      <c r="T54" s="59">
        <f t="shared" si="34"/>
        <v>306.76923535735227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10.272245168425828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10.272245168425828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65.797192141134317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16.944285714285709</v>
      </c>
      <c r="AI54" s="13">
        <f>IF('Données projet'!$A$62&gt;35,AI53+AH54-AQ53,IF(A54&lt;'Données projet'!$A$62,$AF$205^A54,IF(A54='Données projet'!$A$62,'Données projet'!$B$62,AI53+AH54-AQ53)))</f>
        <v>294.98857142857139</v>
      </c>
      <c r="AJ54" s="13">
        <f>AI54*VLOOKUP('Données projet'!$B$10,Paramètres!$A$1:$I$89,3,0)*VLOOKUP('Données projet'!$B$10,Paramètres!$A$1:$I$89,5,0)</f>
        <v>138.05465142857142</v>
      </c>
      <c r="AK54" s="13">
        <f t="shared" si="35"/>
        <v>35.850991174438484</v>
      </c>
      <c r="AL54" s="20">
        <f t="shared" si="4"/>
        <v>302.88566086690889</v>
      </c>
      <c r="AM54" s="59">
        <f t="shared" si="5"/>
        <v>580.80869871773473</v>
      </c>
      <c r="AN54" s="59">
        <f ca="1">AVERAGE(OFFSET($AM$3,0,0,'Données projet'!$E$10+1,1))-AVERAGE(OFFSET($H$3,0,0,'Données projet'!$E$10+1,1))</f>
        <v>370.42479501931444</v>
      </c>
      <c r="AO54" s="59">
        <f t="shared" si="36"/>
        <v>351.95632347830144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42.491675746655339</v>
      </c>
      <c r="AV54" s="21">
        <f>EXP(-LN(2)/25)*AV53+(1-EXP(-LN(2)/25))/(LN(2)/25)*Calculateur!AQ54*Calculateur!AS54*VLOOKUP('Données projet'!$B$10,Paramètres!$A$1:$I$89,3,0)*0.475*44/12</f>
        <v>40.281135201937893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82.772810948593232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65.797192141134317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1.7664500000000003</v>
      </c>
      <c r="BD54" s="12">
        <f>IF('Données projet'!$A$88&gt;35,BD53+BC54-BL53,IF(A54&lt;'Données projet'!$A$88,$BA$205^A54,IF(A54='Données projet'!$A$88,'Données projet'!$B$88,BD53+BC54-BL53)))</f>
        <v>60.527950000000047</v>
      </c>
      <c r="BE54" s="13">
        <f>BD54*VLOOKUP('Données projet'!$B$11,Paramètres!$A$1:$I$89,3,0)*VLOOKUP('Données projet'!$B$11,Paramètres!$A$1:$I$89,5,0)</f>
        <v>52.87721712000004</v>
      </c>
      <c r="BF54" s="13">
        <f t="shared" si="37"/>
        <v>15.354376707843622</v>
      </c>
      <c r="BG54" s="20">
        <f t="shared" si="7"/>
        <v>118.83669258349437</v>
      </c>
      <c r="BH54" s="59">
        <f t="shared" si="8"/>
        <v>396.7597304343202</v>
      </c>
      <c r="BI54" s="59">
        <f ca="1">AVERAGE(OFFSET($BH$3,0,0,'Données projet'!$E$11+1,1))-AVERAGE(OFFSET($H$3,0,0,'Données projet'!$E$11+1,1))</f>
        <v>128.92423054779167</v>
      </c>
      <c r="BJ54" s="59">
        <f t="shared" si="38"/>
        <v>127.5443711972687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1.7208395894671247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1.7208395894671247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65.797192141134317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9.5537500000000009</v>
      </c>
      <c r="BY54" s="12">
        <f>IF('Données projet'!$A$114&gt;35,BY53+BX54-CG53,IF(A54&lt;'Données projet'!$A$114,$BV$205^A54,IF(A54='Données projet'!$A$114,'Données projet'!$B$114,BY53+BX54-CG53)))</f>
        <v>168.99375000000015</v>
      </c>
      <c r="BZ54" s="13">
        <f>BY54*VLOOKUP('Données projet'!$B$12,Paramètres!$A$1:$I$89,3,0)*VLOOKUP('Données projet'!$B$12,Paramètres!$A$1:$I$89,5,0)</f>
        <v>152.90554500000013</v>
      </c>
      <c r="CA54" s="13">
        <f t="shared" si="39"/>
        <v>39.238142074568863</v>
      </c>
      <c r="CB54" s="20">
        <f t="shared" si="10"/>
        <v>334.65025498820768</v>
      </c>
      <c r="CC54" s="59">
        <f t="shared" si="11"/>
        <v>612.57329283903346</v>
      </c>
      <c r="CD54" s="59">
        <f ca="1">AVERAGE(OFFSET($CC$3,0,0,'Données projet'!$E$12+1,1))-AVERAGE(OFFSET($H$3,0,0,'Données projet'!$E$12+1,1))</f>
        <v>601.17090553269054</v>
      </c>
      <c r="CE54" s="59">
        <f t="shared" si="40"/>
        <v>279.37477930888042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9.1660033810568926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9.1660033810568926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65.797192141134317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8.9771428571428569</v>
      </c>
      <c r="CT54" s="12">
        <f>IF('Données projet'!$A$140&gt;35,CT53+CS54-DB53,IF(A54&lt;'Données projet'!$A$140,$CQ$205^A54,IF(A54='Données projet'!$A$140,'Données projet'!$B$140,CT53+CS54-DB53)))</f>
        <v>153.20285714285714</v>
      </c>
      <c r="CU54" s="17">
        <f>CT54*VLOOKUP('Données projet'!$B$13,Paramètres!$A$1:$I$89,3,0)*VLOOKUP('Données projet'!$B$13,Paramètres!$A$1:$I$89,5,0)</f>
        <v>145.78783885714287</v>
      </c>
      <c r="CV54" s="13">
        <f t="shared" si="41"/>
        <v>37.619775874488475</v>
      </c>
      <c r="CW54" s="20">
        <f t="shared" si="13"/>
        <v>319.43492899092462</v>
      </c>
      <c r="CX54" s="59">
        <f t="shared" si="14"/>
        <v>597.35796684175045</v>
      </c>
      <c r="CY54" s="59">
        <f ca="1">AVERAGE(OFFSET($CX$3,0,0,'Données projet'!$E$13+1,1))-AVERAGE(OFFSET($H$3,0,0,'Données projet'!$E$13+1,1))</f>
        <v>418.79317359649315</v>
      </c>
      <c r="CZ54" s="59">
        <f t="shared" si="42"/>
        <v>286.46514989661011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4.713949851572627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4.713949851572627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65.797192141134317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65.797192141134317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65.797192141134317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65.797192141134317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65.797192141134317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1.35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0.46238400000000035</v>
      </c>
      <c r="D55" s="11">
        <f t="shared" si="32"/>
        <v>0.23310336177520205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4.9541867437159803</v>
      </c>
      <c r="H55" s="67">
        <f t="shared" si="1"/>
        <v>225.20797382175849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65.870101461414905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9.5537500000000009</v>
      </c>
      <c r="N55" s="13">
        <f>IF('Données projet'!$A$36&gt;35,N54+M55-V54,IF(A55&lt;'Données projet'!$A$36,$K$205^A55,IF(A55='Données projet'!$A$36,'Données projet'!$B$36,N54+M55-V54)))</f>
        <v>178.54750000000016</v>
      </c>
      <c r="O55" s="13">
        <f>N55*VLOOKUP('Données projet'!$B$9,Paramètres!$A$1:$I$89,3,0)*VLOOKUP('Données projet'!$B$9,Paramètres!$A$1:$I$89,5,0)</f>
        <v>181.04716500000015</v>
      </c>
      <c r="P55" s="13">
        <f t="shared" si="33"/>
        <v>45.55508237501288</v>
      </c>
      <c r="Q55" s="20">
        <f t="shared" si="53"/>
        <v>394.66558084481431</v>
      </c>
      <c r="R55" s="59">
        <f t="shared" si="0"/>
        <v>672.85595287000228</v>
      </c>
      <c r="S55" s="59">
        <f ca="1">AVERAGE(OFFSET($R$3,0,0,'Données projet'!$E$9+1,1))-AVERAGE(OFFSET($H$3,0,0,'Données projet'!$E$9+1,1))</f>
        <v>665.7907881991157</v>
      </c>
      <c r="T55" s="59">
        <f t="shared" si="34"/>
        <v>306.76923535735227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10.070812706123888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10.070812706123888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65.870101461414905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16.944285714285709</v>
      </c>
      <c r="AI55" s="13">
        <f>IF('Données projet'!$A$62&gt;35,AI54+AH55-AQ54,IF(A55&lt;'Données projet'!$A$62,$AF$205^A55,IF(A55='Données projet'!$A$62,'Données projet'!$B$62,AI54+AH55-AQ54)))</f>
        <v>311.93285714285707</v>
      </c>
      <c r="AJ55" s="13">
        <f>AI55*VLOOKUP('Données projet'!$B$10,Paramètres!$A$1:$I$89,3,0)*VLOOKUP('Données projet'!$B$10,Paramètres!$A$1:$I$89,5,0)</f>
        <v>145.98457714285712</v>
      </c>
      <c r="AK55" s="13">
        <f t="shared" si="35"/>
        <v>37.664630310684146</v>
      </c>
      <c r="AL55" s="20">
        <f t="shared" si="4"/>
        <v>319.85570298158433</v>
      </c>
      <c r="AM55" s="59">
        <f t="shared" si="5"/>
        <v>598.0460750067723</v>
      </c>
      <c r="AN55" s="59">
        <f ca="1">AVERAGE(OFFSET($AM$3,0,0,'Données projet'!$E$10+1,1))-AVERAGE(OFFSET($H$3,0,0,'Données projet'!$E$10+1,1))</f>
        <v>370.42479501931444</v>
      </c>
      <c r="AO55" s="59">
        <f t="shared" si="36"/>
        <v>351.95632347830144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41.658439902626505</v>
      </c>
      <c r="AV55" s="21">
        <f>EXP(-LN(2)/25)*AV54+(1-EXP(-LN(2)/25))/(LN(2)/25)*Calculateur!AQ55*Calculateur!AS55*VLOOKUP('Données projet'!$B$10,Paramètres!$A$1:$I$89,3,0)*0.475*44/12</f>
        <v>39.179645441548068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80.838085344174573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65.870101461414905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1.7664500000000003</v>
      </c>
      <c r="BD55" s="12">
        <f>IF('Données projet'!$A$88&gt;35,BD54+BC55-BL54,IF(A55&lt;'Données projet'!$A$88,$BA$205^A55,IF(A55='Données projet'!$A$88,'Données projet'!$B$88,BD54+BC55-BL54)))</f>
        <v>62.294400000000046</v>
      </c>
      <c r="BE55" s="13">
        <f>BD55*VLOOKUP('Données projet'!$B$11,Paramètres!$A$1:$I$89,3,0)*VLOOKUP('Données projet'!$B$11,Paramètres!$A$1:$I$89,5,0)</f>
        <v>54.420387840000046</v>
      </c>
      <c r="BF55" s="13">
        <f t="shared" si="37"/>
        <v>15.749654945401925</v>
      </c>
      <c r="BG55" s="20">
        <f t="shared" si="7"/>
        <v>122.21282451790842</v>
      </c>
      <c r="BH55" s="59">
        <f t="shared" si="8"/>
        <v>400.40319654309639</v>
      </c>
      <c r="BI55" s="59">
        <f ca="1">AVERAGE(OFFSET($BH$3,0,0,'Données projet'!$E$11+1,1))-AVERAGE(OFFSET($H$3,0,0,'Données projet'!$E$11+1,1))</f>
        <v>128.92423054779167</v>
      </c>
      <c r="BJ55" s="59">
        <f t="shared" si="38"/>
        <v>127.5443711972687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1.6870949747261836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1.6870949747261836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65.870101461414905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9.5537500000000009</v>
      </c>
      <c r="BY55" s="12">
        <f>IF('Données projet'!$A$114&gt;35,BY54+BX55-CG54,IF(A55&lt;'Données projet'!$A$114,$BV$205^A55,IF(A55='Données projet'!$A$114,'Données projet'!$B$114,BY54+BX55-CG54)))</f>
        <v>178.54750000000016</v>
      </c>
      <c r="BZ55" s="13">
        <f>BY55*VLOOKUP('Données projet'!$B$12,Paramètres!$A$1:$I$89,3,0)*VLOOKUP('Données projet'!$B$12,Paramètres!$A$1:$I$89,5,0)</f>
        <v>161.54977800000012</v>
      </c>
      <c r="CA55" s="13">
        <f t="shared" si="39"/>
        <v>41.191875810979205</v>
      </c>
      <c r="CB55" s="20">
        <f t="shared" si="10"/>
        <v>353.10838038745561</v>
      </c>
      <c r="CC55" s="59">
        <f t="shared" si="11"/>
        <v>631.29875241264358</v>
      </c>
      <c r="CD55" s="59">
        <f ca="1">AVERAGE(OFFSET($CC$3,0,0,'Données projet'!$E$12+1,1))-AVERAGE(OFFSET($H$3,0,0,'Données projet'!$E$12+1,1))</f>
        <v>601.17090553269054</v>
      </c>
      <c r="CE55" s="59">
        <f t="shared" si="40"/>
        <v>279.37477930888042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8.9862636454643923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8.9862636454643923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65.870101461414905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162.18</v>
      </c>
      <c r="CR55" s="12">
        <f>VLOOKUP(A55,'Données projet'!$A$139:$I$159,9,0)</f>
        <v>8.9771428571428569</v>
      </c>
      <c r="CS55" s="12">
        <f t="array" ref="CS55">INDEX(CR:CR,MIN(IF(ISNUMBER(CR55:CR251),ROW(CR55:CR251),"")))</f>
        <v>8.9771428571428569</v>
      </c>
      <c r="CT55" s="12">
        <f>IF('Données projet'!$A$140&gt;35,CT54+CS55-DB54,IF(A55&lt;'Données projet'!$A$140,$CQ$205^A55,IF(A55='Données projet'!$A$140,'Données projet'!$B$140,CT54+CS55-DB54)))</f>
        <v>162.18</v>
      </c>
      <c r="CU55" s="17">
        <f>CT55*VLOOKUP('Données projet'!$B$13,Paramètres!$A$1:$I$89,3,0)*VLOOKUP('Données projet'!$B$13,Paramètres!$A$1:$I$89,5,0)</f>
        <v>154.330488</v>
      </c>
      <c r="CV55" s="13">
        <f t="shared" si="41"/>
        <v>39.56106851093287</v>
      </c>
      <c r="CW55" s="20">
        <f t="shared" si="13"/>
        <v>337.69446092320806</v>
      </c>
      <c r="CX55" s="59">
        <f t="shared" si="14"/>
        <v>615.88483294839602</v>
      </c>
      <c r="CY55" s="59">
        <f ca="1">AVERAGE(OFFSET($CX$3,0,0,'Données projet'!$E$13+1,1))-AVERAGE(OFFSET($H$3,0,0,'Données projet'!$E$13+1,1))</f>
        <v>418.79317359649315</v>
      </c>
      <c r="CZ55" s="59">
        <f t="shared" si="42"/>
        <v>286.46514989661011</v>
      </c>
      <c r="DA55" s="15">
        <f>IF(ISNA(VLOOKUP(A55,'Données projet'!$A$139:$I$159,3,0)),0,VLOOKUP(A55,'Données projet'!$A$139:$I$159,3,0))</f>
        <v>3</v>
      </c>
      <c r="DB55" s="15">
        <f>IF(ISNA(VLOOKUP(A55,'Données projet'!$A$139:$I$159,4,0)),0,VLOOKUP(A55,'Données projet'!$A$139:$I$159,4,0))</f>
        <v>40.9</v>
      </c>
      <c r="DC55" s="16">
        <f>IF(ISNA(VLOOKUP(A55,'Données projet'!$A$139:$I$159,5,0)),0%,VLOOKUP(A55,'Données projet'!$A$139:$I$159,5,0)*VLOOKUP('Données projet'!$B$13,Paramètres!$A$1:$I$89,7,0))</f>
        <v>0.129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10.171787941821027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10.171787941821027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65.870101461414905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65.870101461414905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65.870101461414905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65.870101461414905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65.870101461414905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1.35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0.47127600000000036</v>
      </c>
      <c r="D56" s="11">
        <f t="shared" si="32"/>
        <v>0.23705992399679945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4.9551785625541394</v>
      </c>
      <c r="H56" s="67">
        <f t="shared" si="1"/>
        <v>225.23035173429443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65.941745967989434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9.5537500000000009</v>
      </c>
      <c r="N56" s="13">
        <f>IF('Données projet'!$A$36&gt;35,N55+M56-V55,IF(A56&lt;'Données projet'!$A$36,$K$205^A56,IF(A56='Données projet'!$A$36,'Données projet'!$B$36,N55+M56-V55)))</f>
        <v>188.10125000000016</v>
      </c>
      <c r="O56" s="13">
        <f>N56*VLOOKUP('Données projet'!$B$9,Paramètres!$A$1:$I$89,3,0)*VLOOKUP('Données projet'!$B$9,Paramètres!$A$1:$I$89,5,0)</f>
        <v>190.73466750000017</v>
      </c>
      <c r="P56" s="13">
        <f t="shared" si="33"/>
        <v>47.70234090493684</v>
      </c>
      <c r="Q56" s="20">
        <f t="shared" si="53"/>
        <v>415.27778963859856</v>
      </c>
      <c r="R56" s="59">
        <f t="shared" si="0"/>
        <v>693.73085818789309</v>
      </c>
      <c r="S56" s="59">
        <f ca="1">AVERAGE(OFFSET($R$3,0,0,'Données projet'!$E$9+1,1))-AVERAGE(OFFSET($H$3,0,0,'Données projet'!$E$9+1,1))</f>
        <v>665.7907881991157</v>
      </c>
      <c r="T56" s="59">
        <f t="shared" si="34"/>
        <v>306.76923535735227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9.8733302115460191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9.8733302115460191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65.941745967989434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16.944285714285709</v>
      </c>
      <c r="AI56" s="13">
        <f>IF('Données projet'!$A$62&gt;35,AI55+AH56-AQ55,IF(A56&lt;'Données projet'!$A$62,$AF$205^A56,IF(A56='Données projet'!$A$62,'Données projet'!$B$62,AI55+AH56-AQ55)))</f>
        <v>328.87714285714276</v>
      </c>
      <c r="AJ56" s="13">
        <f>AI56*VLOOKUP('Données projet'!$B$10,Paramètres!$A$1:$I$89,3,0)*VLOOKUP('Données projet'!$B$10,Paramètres!$A$1:$I$89,5,0)</f>
        <v>153.91450285714282</v>
      </c>
      <c r="AK56" s="13">
        <f t="shared" si="35"/>
        <v>39.46683225936065</v>
      </c>
      <c r="AL56" s="20">
        <f t="shared" si="4"/>
        <v>336.80582532791021</v>
      </c>
      <c r="AM56" s="59">
        <f t="shared" si="5"/>
        <v>615.25889387720486</v>
      </c>
      <c r="AN56" s="59">
        <f ca="1">AVERAGE(OFFSET($AM$3,0,0,'Données projet'!$E$10+1,1))-AVERAGE(OFFSET($H$3,0,0,'Données projet'!$E$10+1,1))</f>
        <v>370.42479501931444</v>
      </c>
      <c r="AO56" s="59">
        <f t="shared" si="36"/>
        <v>351.95632347830144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40.841543305275394</v>
      </c>
      <c r="AV56" s="21">
        <f>EXP(-LN(2)/25)*AV55+(1-EXP(-LN(2)/25))/(LN(2)/25)*Calculateur!AQ56*Calculateur!AS56*VLOOKUP('Données projet'!$B$10,Paramètres!$A$1:$I$89,3,0)*0.475*44/12</f>
        <v>38.108275976580927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78.949819281856321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65.941745967989434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1.7664500000000003</v>
      </c>
      <c r="BD56" s="12">
        <f>IF('Données projet'!$A$88&gt;35,BD55+BC56-BL55,IF(A56&lt;'Données projet'!$A$88,$BA$205^A56,IF(A56='Données projet'!$A$88,'Données projet'!$B$88,BD55+BC56-BL55)))</f>
        <v>64.060850000000045</v>
      </c>
      <c r="BE56" s="13">
        <f>BD56*VLOOKUP('Données projet'!$B$11,Paramètres!$A$1:$I$89,3,0)*VLOOKUP('Données projet'!$B$11,Paramètres!$A$1:$I$89,5,0)</f>
        <v>55.963558560000052</v>
      </c>
      <c r="BF56" s="13">
        <f t="shared" si="37"/>
        <v>16.143630456629445</v>
      </c>
      <c r="BG56" s="20">
        <f t="shared" si="7"/>
        <v>125.58668753729637</v>
      </c>
      <c r="BH56" s="59">
        <f t="shared" si="8"/>
        <v>404.03975608659096</v>
      </c>
      <c r="BI56" s="59">
        <f ca="1">AVERAGE(OFFSET($BH$3,0,0,'Données projet'!$E$11+1,1))-AVERAGE(OFFSET($H$3,0,0,'Données projet'!$E$11+1,1))</f>
        <v>128.92423054779167</v>
      </c>
      <c r="BJ56" s="59">
        <f t="shared" si="38"/>
        <v>127.5443711972687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1.6540120712981299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1.6540120712981299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65.941745967989434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9.5537500000000009</v>
      </c>
      <c r="BY56" s="12">
        <f>IF('Données projet'!$A$114&gt;35,BY55+BX56-CG55,IF(A56&lt;'Données projet'!$A$114,$BV$205^A56,IF(A56='Données projet'!$A$114,'Données projet'!$B$114,BY55+BX56-CG55)))</f>
        <v>188.10125000000016</v>
      </c>
      <c r="BZ56" s="13">
        <f>BY56*VLOOKUP('Données projet'!$B$12,Paramètres!$A$1:$I$89,3,0)*VLOOKUP('Données projet'!$B$12,Paramètres!$A$1:$I$89,5,0)</f>
        <v>170.19401100000013</v>
      </c>
      <c r="CA56" s="13">
        <f t="shared" si="39"/>
        <v>43.133472710542861</v>
      </c>
      <c r="CB56" s="20">
        <f t="shared" si="10"/>
        <v>371.54536746252899</v>
      </c>
      <c r="CC56" s="59">
        <f t="shared" si="11"/>
        <v>649.99843601182351</v>
      </c>
      <c r="CD56" s="59">
        <f ca="1">AVERAGE(OFFSET($CC$3,0,0,'Données projet'!$E$12+1,1))-AVERAGE(OFFSET($H$3,0,0,'Données projet'!$E$12+1,1))</f>
        <v>601.17090553269054</v>
      </c>
      <c r="CE56" s="59">
        <f t="shared" si="40"/>
        <v>279.37477930888042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8.8100484964564476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8.8100484964564476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65.941745967989434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8.757142857142858</v>
      </c>
      <c r="CT56" s="12">
        <f>IF('Données projet'!$A$140&gt;35,CT55+CS56-DB55,IF(A56&lt;'Données projet'!$A$140,$CQ$205^A56,IF(A56='Données projet'!$A$140,'Données projet'!$B$140,CT55+CS56-DB55)))</f>
        <v>130.03714285714287</v>
      </c>
      <c r="CU56" s="17">
        <f>CT56*VLOOKUP('Données projet'!$B$13,Paramètres!$A$1:$I$89,3,0)*VLOOKUP('Données projet'!$B$13,Paramètres!$A$1:$I$89,5,0)</f>
        <v>123.74334514285717</v>
      </c>
      <c r="CV56" s="13">
        <f t="shared" si="41"/>
        <v>32.546506093571679</v>
      </c>
      <c r="CW56" s="20">
        <f t="shared" si="13"/>
        <v>272.20482423678021</v>
      </c>
      <c r="CX56" s="59">
        <f t="shared" si="14"/>
        <v>550.65789278607485</v>
      </c>
      <c r="CY56" s="59">
        <f ca="1">AVERAGE(OFFSET($CX$3,0,0,'Données projet'!$E$13+1,1))-AVERAGE(OFFSET($H$3,0,0,'Données projet'!$E$13+1,1))</f>
        <v>418.79317359649315</v>
      </c>
      <c r="CZ56" s="59">
        <f t="shared" si="42"/>
        <v>286.46514989661011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9.9723253844599498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9.9723253844599498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65.941745967989434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65.941745967989434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65.941745967989434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65.941745967989434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65.941745967989434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1.35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0.48016800000000037</v>
      </c>
      <c r="D57" s="11">
        <f t="shared" si="32"/>
        <v>0.2410078057025469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4.9561697113173899</v>
      </c>
      <c r="H57" s="67">
        <f t="shared" si="1"/>
        <v>225.25271452826527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66.012147602548012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9.5537500000000009</v>
      </c>
      <c r="N57" s="13">
        <f>IF('Données projet'!$A$36&gt;35,N56+M57-V56,IF(A57&lt;'Données projet'!$A$36,$K$205^A57,IF(A57='Données projet'!$A$36,'Données projet'!$B$36,N56+M57-V56)))</f>
        <v>197.65500000000017</v>
      </c>
      <c r="O57" s="13">
        <f>N57*VLOOKUP('Données projet'!$B$9,Paramètres!$A$1:$I$89,3,0)*VLOOKUP('Données projet'!$B$9,Paramètres!$A$1:$I$89,5,0)</f>
        <v>200.42217000000019</v>
      </c>
      <c r="P57" s="13">
        <f t="shared" si="33"/>
        <v>49.83693652432936</v>
      </c>
      <c r="Q57" s="20">
        <f t="shared" si="53"/>
        <v>435.8679438632073</v>
      </c>
      <c r="R57" s="59">
        <f t="shared" si="0"/>
        <v>714.57915173921674</v>
      </c>
      <c r="S57" s="59">
        <f ca="1">AVERAGE(OFFSET($R$3,0,0,'Données projet'!$E$9+1,1))-AVERAGE(OFFSET($H$3,0,0,'Données projet'!$E$9+1,1))</f>
        <v>665.7907881991157</v>
      </c>
      <c r="T57" s="59">
        <f t="shared" si="34"/>
        <v>306.76923535735227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9.6797202282343946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9.6797202282343946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66.012147602548012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16.944285714285709</v>
      </c>
      <c r="AI57" s="13">
        <f>IF('Données projet'!$A$62&gt;35,AI56+AH57-AQ56,IF(A57&lt;'Données projet'!$A$62,$AF$205^A57,IF(A57='Données projet'!$A$62,'Données projet'!$B$62,AI56+AH57-AQ56)))</f>
        <v>345.82142857142844</v>
      </c>
      <c r="AJ57" s="13">
        <f>AI57*VLOOKUP('Données projet'!$B$10,Paramètres!$A$1:$I$89,3,0)*VLOOKUP('Données projet'!$B$10,Paramètres!$A$1:$I$89,5,0)</f>
        <v>161.84442857142849</v>
      </c>
      <c r="AK57" s="13">
        <f t="shared" si="35"/>
        <v>41.258253499805392</v>
      </c>
      <c r="AL57" s="20">
        <f t="shared" si="4"/>
        <v>353.7371712740657</v>
      </c>
      <c r="AM57" s="59">
        <f t="shared" si="5"/>
        <v>632.44837915007508</v>
      </c>
      <c r="AN57" s="59">
        <f ca="1">AVERAGE(OFFSET($AM$3,0,0,'Données projet'!$E$10+1,1))-AVERAGE(OFFSET($H$3,0,0,'Données projet'!$E$10+1,1))</f>
        <v>370.42479501931444</v>
      </c>
      <c r="AO57" s="59">
        <f t="shared" si="36"/>
        <v>351.95632347830144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40.040665551940613</v>
      </c>
      <c r="AV57" s="21">
        <f>EXP(-LN(2)/25)*AV56+(1-EXP(-LN(2)/25))/(LN(2)/25)*Calculateur!AQ57*Calculateur!AS57*VLOOKUP('Données projet'!$B$10,Paramètres!$A$1:$I$89,3,0)*0.475*44/12</f>
        <v>37.066203165974187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77.106868717914807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66.012147602548012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1.7664500000000003</v>
      </c>
      <c r="BD57" s="12">
        <f>IF('Données projet'!$A$88&gt;35,BD56+BC57-BL56,IF(A57&lt;'Données projet'!$A$88,$BA$205^A57,IF(A57='Données projet'!$A$88,'Données projet'!$B$88,BD56+BC57-BL56)))</f>
        <v>65.827300000000051</v>
      </c>
      <c r="BE57" s="13">
        <f>BD57*VLOOKUP('Données projet'!$B$11,Paramètres!$A$1:$I$89,3,0)*VLOOKUP('Données projet'!$B$11,Paramètres!$A$1:$I$89,5,0)</f>
        <v>57.506729280000052</v>
      </c>
      <c r="BF57" s="13">
        <f t="shared" si="37"/>
        <v>16.536343290959522</v>
      </c>
      <c r="BG57" s="20">
        <f t="shared" si="7"/>
        <v>128.95835139442124</v>
      </c>
      <c r="BH57" s="59">
        <f t="shared" si="8"/>
        <v>407.66955927043063</v>
      </c>
      <c r="BI57" s="59">
        <f ca="1">AVERAGE(OFFSET($BH$3,0,0,'Données projet'!$E$11+1,1))-AVERAGE(OFFSET($H$3,0,0,'Données projet'!$E$11+1,1))</f>
        <v>128.92423054779167</v>
      </c>
      <c r="BJ57" s="59">
        <f t="shared" si="38"/>
        <v>127.5443711972687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1.6215779034277216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1.6215779034277216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66.012147602548012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9.5537500000000009</v>
      </c>
      <c r="BY57" s="12">
        <f>IF('Données projet'!$A$114&gt;35,BY56+BX57-CG56,IF(A57&lt;'Données projet'!$A$114,$BV$205^A57,IF(A57='Données projet'!$A$114,'Données projet'!$B$114,BY56+BX57-CG56)))</f>
        <v>197.65500000000017</v>
      </c>
      <c r="BZ57" s="13">
        <f>BY57*VLOOKUP('Données projet'!$B$12,Paramètres!$A$1:$I$89,3,0)*VLOOKUP('Données projet'!$B$12,Paramètres!$A$1:$I$89,5,0)</f>
        <v>178.83824400000015</v>
      </c>
      <c r="CA57" s="13">
        <f t="shared" si="39"/>
        <v>45.06361953668285</v>
      </c>
      <c r="CB57" s="20">
        <f t="shared" si="10"/>
        <v>389.96241232638954</v>
      </c>
      <c r="CC57" s="59">
        <f t="shared" si="11"/>
        <v>668.67362020239898</v>
      </c>
      <c r="CD57" s="59">
        <f ca="1">AVERAGE(OFFSET($CC$3,0,0,'Données projet'!$E$12+1,1))-AVERAGE(OFFSET($H$3,0,0,'Données projet'!$E$12+1,1))</f>
        <v>601.17090553269054</v>
      </c>
      <c r="CE57" s="59">
        <f t="shared" si="40"/>
        <v>279.37477930888042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8.6372888190399202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8.6372888190399202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66.012147602548012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8.757142857142858</v>
      </c>
      <c r="CT57" s="12">
        <f>IF('Données projet'!$A$140&gt;35,CT56+CS57-DB56,IF(A57&lt;'Données projet'!$A$140,$CQ$205^A57,IF(A57='Données projet'!$A$140,'Données projet'!$B$140,CT56+CS57-DB56)))</f>
        <v>138.79428571428573</v>
      </c>
      <c r="CU57" s="17">
        <f>CT57*VLOOKUP('Données projet'!$B$13,Paramètres!$A$1:$I$89,3,0)*VLOOKUP('Données projet'!$B$13,Paramètres!$A$1:$I$89,5,0)</f>
        <v>132.07664228571429</v>
      </c>
      <c r="CV57" s="13">
        <f t="shared" si="41"/>
        <v>34.475766906628593</v>
      </c>
      <c r="CW57" s="20">
        <f t="shared" si="13"/>
        <v>290.0787793433305</v>
      </c>
      <c r="CX57" s="59">
        <f t="shared" si="14"/>
        <v>568.78998721933988</v>
      </c>
      <c r="CY57" s="59">
        <f ca="1">AVERAGE(OFFSET($CX$3,0,0,'Données projet'!$E$13+1,1))-AVERAGE(OFFSET($H$3,0,0,'Données projet'!$E$13+1,1))</f>
        <v>418.79317359649315</v>
      </c>
      <c r="CZ57" s="59">
        <f t="shared" si="42"/>
        <v>286.46514989661011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9.7767741661885754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9.7767741661885754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66.012147602548012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66.012147602548012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66.012147602548012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66.012147602548012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66.012147602548012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1.35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0.48906000000000038</v>
      </c>
      <c r="D58" s="11">
        <f t="shared" si="32"/>
        <v>0.24494718618145878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4.9571602038455866</v>
      </c>
      <c r="H58" s="67">
        <f t="shared" si="1"/>
        <v>225.27506251593272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66.081327926141483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9.5537500000000009</v>
      </c>
      <c r="N58" s="13">
        <f>IF('Données projet'!$A$36&gt;35,N57+M58-V57,IF(A58&lt;'Données projet'!$A$36,$K$205^A58,IF(A58='Données projet'!$A$36,'Données projet'!$B$36,N57+M58-V57)))</f>
        <v>207.20875000000018</v>
      </c>
      <c r="O58" s="13">
        <f>N58*VLOOKUP('Données projet'!$B$9,Paramètres!$A$1:$I$89,3,0)*VLOOKUP('Données projet'!$B$9,Paramètres!$A$1:$I$89,5,0)</f>
        <v>210.10967250000019</v>
      </c>
      <c r="P58" s="13">
        <f t="shared" si="33"/>
        <v>51.959551170560943</v>
      </c>
      <c r="Q58" s="20">
        <f t="shared" si="53"/>
        <v>456.43723122622731</v>
      </c>
      <c r="R58" s="59">
        <f t="shared" si="0"/>
        <v>735.40210028874606</v>
      </c>
      <c r="S58" s="59">
        <f ca="1">AVERAGE(OFFSET($R$3,0,0,'Données projet'!$E$9+1,1))-AVERAGE(OFFSET($H$3,0,0,'Données projet'!$E$9+1,1))</f>
        <v>665.7907881991157</v>
      </c>
      <c r="T58" s="59">
        <f t="shared" si="34"/>
        <v>306.76923535735227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9.4899068186050819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9.4899068186050819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66.081327926141483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16.944285714285709</v>
      </c>
      <c r="AI58" s="13">
        <f>IF('Données projet'!$A$62&gt;35,AI57+AH58-AQ57,IF(A58&lt;'Données projet'!$A$62,$AF$205^A58,IF(A58='Données projet'!$A$62,'Données projet'!$B$62,AI57+AH58-AQ57)))</f>
        <v>362.76571428571413</v>
      </c>
      <c r="AJ58" s="13">
        <f>AI58*VLOOKUP('Données projet'!$B$10,Paramètres!$A$1:$I$89,3,0)*VLOOKUP('Données projet'!$B$10,Paramètres!$A$1:$I$89,5,0)</f>
        <v>169.7743542857142</v>
      </c>
      <c r="AK58" s="13">
        <f t="shared" si="35"/>
        <v>43.039482545615591</v>
      </c>
      <c r="AL58" s="20">
        <f t="shared" si="4"/>
        <v>370.650765814566</v>
      </c>
      <c r="AM58" s="59">
        <f t="shared" si="5"/>
        <v>649.61563487708474</v>
      </c>
      <c r="AN58" s="59">
        <f ca="1">AVERAGE(OFFSET($AM$3,0,0,'Données projet'!$E$10+1,1))-AVERAGE(OFFSET($H$3,0,0,'Données projet'!$E$10+1,1))</f>
        <v>370.42479501931444</v>
      </c>
      <c r="AO58" s="59">
        <f t="shared" si="36"/>
        <v>351.95632347830144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39.25549252286153</v>
      </c>
      <c r="AV58" s="21">
        <f>EXP(-LN(2)/25)*AV57+(1-EXP(-LN(2)/25))/(LN(2)/25)*Calculateur!AQ58*Calculateur!AS58*VLOOKUP('Données projet'!$B$10,Paramètres!$A$1:$I$89,3,0)*0.475*44/12</f>
        <v>36.052625891173712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75.308118414035249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66.081327926141483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67.59375</v>
      </c>
      <c r="BB58" s="12">
        <f>VLOOKUP(A58,'Données projet'!$A$87:$I$107,9,0)</f>
        <v>1.7664500000000003</v>
      </c>
      <c r="BC58" s="12">
        <f t="array" ref="BC58">INDEX(BB:BB,MIN(IF(ISNUMBER(BB58:BB254),ROW(BB58:BB254),"")))</f>
        <v>1.7664500000000003</v>
      </c>
      <c r="BD58" s="12">
        <f>IF('Données projet'!$A$88&gt;35,BD57+BC58-BL57,IF(A58&lt;'Données projet'!$A$88,$BA$205^A58,IF(A58='Données projet'!$A$88,'Données projet'!$B$88,BD57+BC58-BL57)))</f>
        <v>67.593750000000057</v>
      </c>
      <c r="BE58" s="13">
        <f>BD58*VLOOKUP('Données projet'!$B$11,Paramètres!$A$1:$I$89,3,0)*VLOOKUP('Données projet'!$B$11,Paramètres!$A$1:$I$89,5,0)</f>
        <v>59.049900000000058</v>
      </c>
      <c r="BF58" s="13">
        <f t="shared" si="37"/>
        <v>16.927831226032282</v>
      </c>
      <c r="BG58" s="20">
        <f t="shared" si="7"/>
        <v>132.32788188533968</v>
      </c>
      <c r="BH58" s="59">
        <f t="shared" si="8"/>
        <v>411.29275094785839</v>
      </c>
      <c r="BI58" s="59">
        <f ca="1">AVERAGE(OFFSET($BH$3,0,0,'Données projet'!$E$11+1,1))-AVERAGE(OFFSET($H$3,0,0,'Données projet'!$E$11+1,1))</f>
        <v>128.92423054779167</v>
      </c>
      <c r="BJ58" s="59">
        <f t="shared" si="38"/>
        <v>127.5443711972687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4.1457499999999996</v>
      </c>
      <c r="BM58" s="16">
        <f>IF(ISNA(VLOOKUP(A58,'Données projet'!$A$87:$I$107,5,0)),0%,VLOOKUP(A58,'Données projet'!$A$87:$I$107,5,0)*VLOOKUP('Données projet'!$B$11,Paramètres!$A$1:$I$89,7,0))</f>
        <v>0.159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2.2263699804398236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2.2263699804398236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66.081327926141483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9.5537500000000009</v>
      </c>
      <c r="BY58" s="12">
        <f>IF('Données projet'!$A$114&gt;35,BY57+BX58-CG57,IF(A58&lt;'Données projet'!$A$114,$BV$205^A58,IF(A58='Données projet'!$A$114,'Données projet'!$B$114,BY57+BX58-CG57)))</f>
        <v>207.20875000000018</v>
      </c>
      <c r="BZ58" s="13">
        <f>BY58*VLOOKUP('Données projet'!$B$12,Paramètres!$A$1:$I$89,3,0)*VLOOKUP('Données projet'!$B$12,Paramètres!$A$1:$I$89,5,0)</f>
        <v>187.48247700000016</v>
      </c>
      <c r="CA58" s="13">
        <f t="shared" si="39"/>
        <v>46.982932911694917</v>
      </c>
      <c r="CB58" s="20">
        <f t="shared" si="10"/>
        <v>408.3605889295356</v>
      </c>
      <c r="CC58" s="59">
        <f t="shared" si="11"/>
        <v>687.32545799205434</v>
      </c>
      <c r="CD58" s="59">
        <f ca="1">AVERAGE(OFFSET($CC$3,0,0,'Données projet'!$E$12+1,1))-AVERAGE(OFFSET($H$3,0,0,'Données projet'!$E$12+1,1))</f>
        <v>601.17090553269054</v>
      </c>
      <c r="CE58" s="59">
        <f t="shared" si="40"/>
        <v>279.37477930888042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8.4679168535245335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8.4679168535245335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66.081327926141483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8.757142857142858</v>
      </c>
      <c r="CT58" s="12">
        <f>IF('Données projet'!$A$140&gt;35,CT57+CS58-DB57,IF(A58&lt;'Données projet'!$A$140,$CQ$205^A58,IF(A58='Données projet'!$A$140,'Données projet'!$B$140,CT57+CS58-DB57)))</f>
        <v>147.5514285714286</v>
      </c>
      <c r="CU58" s="17">
        <f>CT58*VLOOKUP('Données projet'!$B$13,Paramètres!$A$1:$I$89,3,0)*VLOOKUP('Données projet'!$B$13,Paramètres!$A$1:$I$89,5,0)</f>
        <v>140.40993942857145</v>
      </c>
      <c r="CV58" s="13">
        <f t="shared" si="41"/>
        <v>36.39090087479024</v>
      </c>
      <c r="CW58" s="20">
        <f t="shared" si="13"/>
        <v>307.92813019502165</v>
      </c>
      <c r="CX58" s="59">
        <f t="shared" si="14"/>
        <v>586.8929992575404</v>
      </c>
      <c r="CY58" s="59">
        <f ca="1">AVERAGE(OFFSET($CX$3,0,0,'Données projet'!$E$13+1,1))-AVERAGE(OFFSET($H$3,0,0,'Données projet'!$E$13+1,1))</f>
        <v>418.79317359649315</v>
      </c>
      <c r="CZ58" s="59">
        <f t="shared" si="42"/>
        <v>286.46514989661011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9.5850575880330382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9.5850575880330382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66.081327926141483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66.081327926141483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66.081327926141483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66.081327926141483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66.081327926141483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1.35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0.49795200000000039</v>
      </c>
      <c r="D59" s="11">
        <f t="shared" si="32"/>
        <v>0.24887823782966653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4.9581500534465004</v>
      </c>
      <c r="H59" s="67">
        <f t="shared" si="1"/>
        <v>225.29739599755334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66.149308125784643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9.5537500000000009</v>
      </c>
      <c r="N59" s="13">
        <f>IF('Données projet'!$A$36&gt;35,N58+M59-V58,IF(A59&lt;'Données projet'!$A$36,$K$205^A59,IF(A59='Données projet'!$A$36,'Données projet'!$B$36,N58+M59-V58)))</f>
        <v>216.76250000000019</v>
      </c>
      <c r="O59" s="13">
        <f>N59*VLOOKUP('Données projet'!$B$9,Paramètres!$A$1:$I$89,3,0)*VLOOKUP('Données projet'!$B$9,Paramètres!$A$1:$I$89,5,0)</f>
        <v>219.79717500000021</v>
      </c>
      <c r="P59" s="13">
        <f t="shared" si="33"/>
        <v>54.070800342815986</v>
      </c>
      <c r="Q59" s="20">
        <f t="shared" si="53"/>
        <v>476.98672372207147</v>
      </c>
      <c r="R59" s="59">
        <f t="shared" si="0"/>
        <v>756.2008535166151</v>
      </c>
      <c r="S59" s="59">
        <f ca="1">AVERAGE(OFFSET($R$3,0,0,'Données projet'!$E$9+1,1))-AVERAGE(OFFSET($H$3,0,0,'Données projet'!$E$9+1,1))</f>
        <v>665.7907881991157</v>
      </c>
      <c r="T59" s="59">
        <f t="shared" si="34"/>
        <v>306.76923535735227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9.3038155341638511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9.3038155341638511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66.149308125784643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379.71</v>
      </c>
      <c r="AG59" s="12">
        <f>VLOOKUP(A59,'Données projet'!$A$61:$I$81,9,0)</f>
        <v>16.944285714285709</v>
      </c>
      <c r="AH59" s="12">
        <f t="array" ref="AH59">INDEX(AG:AG,MIN(IF(ISNUMBER(AG59:AG255),ROW(AG59:AG255),"")))</f>
        <v>16.944285714285709</v>
      </c>
      <c r="AI59" s="13">
        <f>IF('Données projet'!$A$62&gt;35,AI58+AH59-AQ58,IF(A59&lt;'Données projet'!$A$62,$AF$205^A59,IF(A59='Données projet'!$A$62,'Données projet'!$B$62,AI58+AH59-AQ58)))</f>
        <v>379.70999999999981</v>
      </c>
      <c r="AJ59" s="13">
        <f>AI59*VLOOKUP('Données projet'!$B$10,Paramètres!$A$1:$I$89,3,0)*VLOOKUP('Données projet'!$B$10,Paramètres!$A$1:$I$89,5,0)</f>
        <v>177.70427999999993</v>
      </c>
      <c r="AK59" s="13">
        <f t="shared" si="35"/>
        <v>44.811049826105538</v>
      </c>
      <c r="AL59" s="20">
        <f t="shared" si="4"/>
        <v>387.54753278046701</v>
      </c>
      <c r="AM59" s="59">
        <f t="shared" si="5"/>
        <v>666.76166257501063</v>
      </c>
      <c r="AN59" s="59">
        <f ca="1">AVERAGE(OFFSET($AM$3,0,0,'Données projet'!$E$10+1,1))-AVERAGE(OFFSET($H$3,0,0,'Données projet'!$E$10+1,1))</f>
        <v>370.42479501931444</v>
      </c>
      <c r="AO59" s="59">
        <f t="shared" si="36"/>
        <v>351.95632347830144</v>
      </c>
      <c r="AP59" s="15">
        <f>IF(ISNA(VLOOKUP(A59,'Données projet'!$A$61:$I$81,3,0)),0,VLOOKUP(A59,'Données projet'!$A$61:$I$81,3,0))</f>
        <v>3</v>
      </c>
      <c r="AQ59" s="15">
        <f>IF(ISNA(VLOOKUP(A59,'Données projet'!$A$61:$I$81,4,0)),0,VLOOKUP(A59,'Données projet'!$A$61:$I$81,4,0))</f>
        <v>79.39</v>
      </c>
      <c r="AR59" s="16">
        <f>IF(ISNA(VLOOKUP(A59,'Données projet'!$A$61:$I$81,5,0)),0%,VLOOKUP(A59,'Données projet'!$A$61:$I$81,5,0)*VLOOKUP('Données projet'!$B$10,Paramètres!$A$1:$I$89,7,0))</f>
        <v>0.38500000000000001</v>
      </c>
      <c r="AS59" s="16">
        <f>IF(ISNA(VLOOKUP(A59,'Données projet'!$A$61:$I$81,6,0)),0%,VLOOKUP(A59,'Données projet'!$A$61:$I$81,6,0)*VLOOKUP('Données projet'!$B$10,Paramètres!$A$1:$I$89,7,0))</f>
        <v>0.16500000000000001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57.461544510477665</v>
      </c>
      <c r="AV59" s="21">
        <f>EXP(-LN(2)/25)*AV58+(1-EXP(-LN(2)/25))/(LN(2)/25)*Calculateur!AQ59*Calculateur!AS59*VLOOKUP('Données projet'!$B$10,Paramètres!$A$1:$I$89,3,0)*0.475*44/12</f>
        <v>43.16724202010397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100.62878653058164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66.149308125784643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1.5141000000000004</v>
      </c>
      <c r="BD59" s="12">
        <f>IF('Données projet'!$A$88&gt;35,BD58+BC59-BL58,IF(A59&lt;'Données projet'!$A$88,$BA$205^A59,IF(A59='Données projet'!$A$88,'Données projet'!$B$88,BD58+BC59-BL58)))</f>
        <v>64.962100000000049</v>
      </c>
      <c r="BE59" s="13">
        <f>BD59*VLOOKUP('Données projet'!$B$11,Paramètres!$A$1:$I$89,3,0)*VLOOKUP('Données projet'!$B$11,Paramètres!$A$1:$I$89,5,0)</f>
        <v>56.750890560000052</v>
      </c>
      <c r="BF59" s="13">
        <f t="shared" si="37"/>
        <v>16.344149489369187</v>
      </c>
      <c r="BG59" s="20">
        <f t="shared" si="7"/>
        <v>127.3071947526514</v>
      </c>
      <c r="BH59" s="59">
        <f t="shared" si="8"/>
        <v>406.52132454719509</v>
      </c>
      <c r="BI59" s="59">
        <f ca="1">AVERAGE(OFFSET($BH$3,0,0,'Données projet'!$E$11+1,1))-AVERAGE(OFFSET($H$3,0,0,'Données projet'!$E$11+1,1))</f>
        <v>128.92423054779167</v>
      </c>
      <c r="BJ59" s="59">
        <f t="shared" si="38"/>
        <v>127.5443711972687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2.1827122230750002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2.1827122230750002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66.149308125784643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9.5537500000000009</v>
      </c>
      <c r="BY59" s="12">
        <f>IF('Données projet'!$A$114&gt;35,BY58+BX59-CG58,IF(A59&lt;'Données projet'!$A$114,$BV$205^A59,IF(A59='Données projet'!$A$114,'Données projet'!$B$114,BY58+BX59-CG58)))</f>
        <v>216.76250000000019</v>
      </c>
      <c r="BZ59" s="13">
        <f>BY59*VLOOKUP('Données projet'!$B$12,Paramètres!$A$1:$I$89,3,0)*VLOOKUP('Données projet'!$B$12,Paramètres!$A$1:$I$89,5,0)</f>
        <v>196.12671000000017</v>
      </c>
      <c r="CA59" s="13">
        <f t="shared" si="39"/>
        <v>48.891969383051702</v>
      </c>
      <c r="CB59" s="20">
        <f t="shared" si="10"/>
        <v>426.74086659214868</v>
      </c>
      <c r="CC59" s="59">
        <f t="shared" si="11"/>
        <v>705.9549963866923</v>
      </c>
      <c r="CD59" s="59">
        <f ca="1">AVERAGE(OFFSET($CC$3,0,0,'Données projet'!$E$12+1,1))-AVERAGE(OFFSET($H$3,0,0,'Données projet'!$E$12+1,1))</f>
        <v>601.17090553269054</v>
      </c>
      <c r="CE59" s="59">
        <f t="shared" si="40"/>
        <v>279.37477930888042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8.301866168946205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8.301866168946205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66.149308125784643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8.757142857142858</v>
      </c>
      <c r="CT59" s="12">
        <f>IF('Données projet'!$A$140&gt;35,CT58+CS59-DB58,IF(A59&lt;'Données projet'!$A$140,$CQ$205^A59,IF(A59='Données projet'!$A$140,'Données projet'!$B$140,CT58+CS59-DB58)))</f>
        <v>156.30857142857147</v>
      </c>
      <c r="CU59" s="17">
        <f>CT59*VLOOKUP('Données projet'!$B$13,Paramètres!$A$1:$I$89,3,0)*VLOOKUP('Données projet'!$B$13,Paramètres!$A$1:$I$89,5,0)</f>
        <v>148.74323657142861</v>
      </c>
      <c r="CV59" s="13">
        <f t="shared" si="41"/>
        <v>38.29284191840631</v>
      </c>
      <c r="CW59" s="20">
        <f t="shared" si="13"/>
        <v>325.75450336979583</v>
      </c>
      <c r="CX59" s="59">
        <f t="shared" si="14"/>
        <v>604.96863316433951</v>
      </c>
      <c r="CY59" s="59">
        <f ca="1">AVERAGE(OFFSET($CX$3,0,0,'Données projet'!$E$13+1,1))-AVERAGE(OFFSET($H$3,0,0,'Données projet'!$E$13+1,1))</f>
        <v>418.79317359649315</v>
      </c>
      <c r="CZ59" s="59">
        <f t="shared" si="42"/>
        <v>286.46514989661011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9.3971004550395634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9.3971004550395634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66.149308125784643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66.149308125784643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66.149308125784643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66.149308125784643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66.149308125784643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1.35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0.50684400000000041</v>
      </c>
      <c r="D60" s="11">
        <f t="shared" si="32"/>
        <v>0.25280112653369002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4.959139272925408</v>
      </c>
      <c r="H60" s="67">
        <f t="shared" si="1"/>
        <v>225.31971526204617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66.216109020944941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9.5537500000000009</v>
      </c>
      <c r="N60" s="13">
        <f>IF('Données projet'!$A$36&gt;35,N59+M60-V59,IF(A60&lt;'Données projet'!$A$36,$K$205^A60,IF(A60='Données projet'!$A$36,'Données projet'!$B$36,N59+M60-V59)))</f>
        <v>226.3162500000002</v>
      </c>
      <c r="O60" s="13">
        <f>N60*VLOOKUP('Données projet'!$B$9,Paramètres!$A$1:$I$89,3,0)*VLOOKUP('Données projet'!$B$9,Paramètres!$A$1:$I$89,5,0)</f>
        <v>229.4846775000002</v>
      </c>
      <c r="P60" s="13">
        <f t="shared" si="33"/>
        <v>56.171242216591338</v>
      </c>
      <c r="Q60" s="20">
        <f t="shared" si="53"/>
        <v>497.51739350639696</v>
      </c>
      <c r="R60" s="59">
        <f t="shared" si="0"/>
        <v>776.97645991652848</v>
      </c>
      <c r="S60" s="59">
        <f ca="1">AVERAGE(OFFSET($R$3,0,0,'Données projet'!$E$9+1,1))-AVERAGE(OFFSET($H$3,0,0,'Données projet'!$E$9+1,1))</f>
        <v>665.7907881991157</v>
      </c>
      <c r="T60" s="59">
        <f t="shared" si="34"/>
        <v>306.76923535735227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9.1213733863060362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9.1213733863060362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66.216109020944941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16.595714285714287</v>
      </c>
      <c r="AI60" s="13">
        <f>IF('Données projet'!$A$62&gt;35,AI59+AH60-AQ59,IF(A60&lt;'Données projet'!$A$62,$AF$205^A60,IF(A60='Données projet'!$A$62,'Données projet'!$B$62,AI59+AH60-AQ59)))</f>
        <v>316.9157142857141</v>
      </c>
      <c r="AJ60" s="13">
        <f>AI60*VLOOKUP('Données projet'!$B$10,Paramètres!$A$1:$I$89,3,0)*VLOOKUP('Données projet'!$B$10,Paramètres!$A$1:$I$89,5,0)</f>
        <v>148.3165542857142</v>
      </c>
      <c r="AK60" s="13">
        <f t="shared" si="35"/>
        <v>38.195765606294593</v>
      </c>
      <c r="AL60" s="20">
        <f t="shared" si="4"/>
        <v>324.84229047858202</v>
      </c>
      <c r="AM60" s="59">
        <f t="shared" si="5"/>
        <v>604.30135688871349</v>
      </c>
      <c r="AN60" s="59">
        <f ca="1">AVERAGE(OFFSET($AM$3,0,0,'Données projet'!$E$10+1,1))-AVERAGE(OFFSET($H$3,0,0,'Données projet'!$E$10+1,1))</f>
        <v>370.42479501931444</v>
      </c>
      <c r="AO60" s="59">
        <f t="shared" si="36"/>
        <v>351.95632347830144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56.334758670708638</v>
      </c>
      <c r="AV60" s="21">
        <f>EXP(-LN(2)/25)*AV59+(1-EXP(-LN(2)/25))/(LN(2)/25)*Calculateur!AQ60*Calculateur!AS60*VLOOKUP('Données projet'!$B$10,Paramètres!$A$1:$I$89,3,0)*0.475*44/12</f>
        <v>41.986831516997626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98.321590187706263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66.216109020944941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1.5141000000000004</v>
      </c>
      <c r="BD60" s="12">
        <f>IF('Données projet'!$A$88&gt;35,BD59+BC60-BL59,IF(A60&lt;'Données projet'!$A$88,$BA$205^A60,IF(A60='Données projet'!$A$88,'Données projet'!$B$88,BD59+BC60-BL59)))</f>
        <v>66.476200000000048</v>
      </c>
      <c r="BE60" s="13">
        <f>BD60*VLOOKUP('Données projet'!$B$11,Paramètres!$A$1:$I$89,3,0)*VLOOKUP('Données projet'!$B$11,Paramètres!$A$1:$I$89,5,0)</f>
        <v>58.073608320000048</v>
      </c>
      <c r="BF60" s="13">
        <f t="shared" si="37"/>
        <v>16.680295587096687</v>
      </c>
      <c r="BG60" s="20">
        <f t="shared" si="7"/>
        <v>130.19638263819348</v>
      </c>
      <c r="BH60" s="59">
        <f t="shared" si="8"/>
        <v>409.65544904832495</v>
      </c>
      <c r="BI60" s="59">
        <f ca="1">AVERAGE(OFFSET($BH$3,0,0,'Données projet'!$E$11+1,1))-AVERAGE(OFFSET($H$3,0,0,'Données projet'!$E$11+1,1))</f>
        <v>128.92423054779167</v>
      </c>
      <c r="BJ60" s="59">
        <f t="shared" si="38"/>
        <v>127.5443711972687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2.1399105677034984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2.1399105677034984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66.216109020944941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9.5537500000000009</v>
      </c>
      <c r="BY60" s="12">
        <f>IF('Données projet'!$A$114&gt;35,BY59+BX60-CG59,IF(A60&lt;'Données projet'!$A$114,$BV$205^A60,IF(A60='Données projet'!$A$114,'Données projet'!$B$114,BY59+BX60-CG59)))</f>
        <v>226.3162500000002</v>
      </c>
      <c r="BZ60" s="13">
        <f>BY60*VLOOKUP('Données projet'!$B$12,Paramètres!$A$1:$I$89,3,0)*VLOOKUP('Données projet'!$B$12,Paramètres!$A$1:$I$89,5,0)</f>
        <v>204.77094300000016</v>
      </c>
      <c r="CA60" s="13">
        <f t="shared" si="39"/>
        <v>50.791233664926693</v>
      </c>
      <c r="CB60" s="20">
        <f t="shared" si="10"/>
        <v>445.10412435808092</v>
      </c>
      <c r="CC60" s="59">
        <f t="shared" si="11"/>
        <v>724.56319076821239</v>
      </c>
      <c r="CD60" s="59">
        <f ca="1">AVERAGE(OFFSET($CC$3,0,0,'Données projet'!$E$12+1,1))-AVERAGE(OFFSET($H$3,0,0,'Données projet'!$E$12+1,1))</f>
        <v>601.17090553269054</v>
      </c>
      <c r="CE60" s="59">
        <f t="shared" si="40"/>
        <v>279.37477930888042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8.1390716370115399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8.1390716370115399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66.216109020944941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8.757142857142858</v>
      </c>
      <c r="CT60" s="12">
        <f>IF('Données projet'!$A$140&gt;35,CT59+CS60-DB59,IF(A60&lt;'Données projet'!$A$140,$CQ$205^A60,IF(A60='Données projet'!$A$140,'Données projet'!$B$140,CT59+CS60-DB59)))</f>
        <v>165.06571428571434</v>
      </c>
      <c r="CU60" s="17">
        <f>CT60*VLOOKUP('Données projet'!$B$13,Paramètres!$A$1:$I$89,3,0)*VLOOKUP('Données projet'!$B$13,Paramètres!$A$1:$I$89,5,0)</f>
        <v>157.07653371428577</v>
      </c>
      <c r="CV60" s="13">
        <f t="shared" si="41"/>
        <v>40.182413402243924</v>
      </c>
      <c r="CW60" s="20">
        <f t="shared" si="13"/>
        <v>343.55933289462251</v>
      </c>
      <c r="CX60" s="59">
        <f t="shared" si="14"/>
        <v>623.01839930475398</v>
      </c>
      <c r="CY60" s="59">
        <f ca="1">AVERAGE(OFFSET($CX$3,0,0,'Données projet'!$E$13+1,1))-AVERAGE(OFFSET($H$3,0,0,'Données projet'!$E$13+1,1))</f>
        <v>418.79317359649315</v>
      </c>
      <c r="CZ60" s="59">
        <f t="shared" si="42"/>
        <v>286.46514989661011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9.212829046781561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9.212829046781561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66.216109020944941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66.216109020944941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66.216109020944941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66.216109020944941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66.216109020944941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1.35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0.51573600000000042</v>
      </c>
      <c r="D61" s="11">
        <f t="shared" si="32"/>
        <v>0.25671601202605238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4.9601278746125379</v>
      </c>
      <c r="H61" s="67">
        <f t="shared" si="1"/>
        <v>225.34202058761204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66.281751069918656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235.87</v>
      </c>
      <c r="L61" s="12">
        <f>VLOOKUP(A61,'Données projet'!$A$35:$I$55,9,0)</f>
        <v>9.5537500000000009</v>
      </c>
      <c r="M61" s="12">
        <f t="array" ref="M61">INDEX(L:L,MIN(IF(ISNUMBER(L61:L257),ROW(L61:L257),"")))</f>
        <v>9.5537500000000009</v>
      </c>
      <c r="N61" s="13">
        <f>IF('Données projet'!$A$36&gt;35,N60+M61-V60,IF(A61&lt;'Données projet'!$A$36,$K$205^A61,IF(A61='Données projet'!$A$36,'Données projet'!$B$36,N60+M61-V60)))</f>
        <v>235.8700000000002</v>
      </c>
      <c r="O61" s="13">
        <f>N61*VLOOKUP('Données projet'!$B$9,Paramètres!$A$1:$I$89,3,0)*VLOOKUP('Données projet'!$B$9,Paramètres!$A$1:$I$89,5,0)</f>
        <v>239.1721800000002</v>
      </c>
      <c r="P61" s="13">
        <f t="shared" si="33"/>
        <v>58.261385175767472</v>
      </c>
      <c r="Q61" s="20">
        <f t="shared" si="53"/>
        <v>518.0301260144621</v>
      </c>
      <c r="R61" s="59">
        <f t="shared" si="0"/>
        <v>797.72987993749712</v>
      </c>
      <c r="S61" s="59">
        <f ca="1">AVERAGE(OFFSET($R$3,0,0,'Données projet'!$E$9+1,1))-AVERAGE(OFFSET($H$3,0,0,'Données projet'!$E$9+1,1))</f>
        <v>665.7907881991157</v>
      </c>
      <c r="T61" s="59">
        <f t="shared" si="34"/>
        <v>306.76923535735227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44.93</v>
      </c>
      <c r="W61" s="16">
        <f>IF(ISNA(VLOOKUP(A61,'Données projet'!$A$35:$I$55,5,0)),0%,VLOOKUP(A61,'Données projet'!$A$35:$I$55,5,0)*VLOOKUP('Données projet'!$B$9,Paramètres!$A$1:$I$89,7,0))</f>
        <v>0.129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15.439483797529846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15.439483797529846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66.281751069918656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16.595714285714287</v>
      </c>
      <c r="AI61" s="13">
        <f>IF('Données projet'!$A$62&gt;35,AI60+AH61-AQ60,IF(A61&lt;'Données projet'!$A$62,$AF$205^A61,IF(A61='Données projet'!$A$62,'Données projet'!$B$62,AI60+AH61-AQ60)))</f>
        <v>333.51142857142838</v>
      </c>
      <c r="AJ61" s="13">
        <f>AI61*VLOOKUP('Données projet'!$B$10,Paramètres!$A$1:$I$89,3,0)*VLOOKUP('Données projet'!$B$10,Paramètres!$A$1:$I$89,5,0)</f>
        <v>156.08334857142847</v>
      </c>
      <c r="AK61" s="13">
        <f t="shared" si="35"/>
        <v>39.957833547833964</v>
      </c>
      <c r="AL61" s="20">
        <f t="shared" si="4"/>
        <v>341.43839219104871</v>
      </c>
      <c r="AM61" s="59">
        <f t="shared" si="5"/>
        <v>621.13814611408384</v>
      </c>
      <c r="AN61" s="59">
        <f ca="1">AVERAGE(OFFSET($AM$3,0,0,'Données projet'!$E$10+1,1))-AVERAGE(OFFSET($H$3,0,0,'Données projet'!$E$10+1,1))</f>
        <v>370.42479501931444</v>
      </c>
      <c r="AO61" s="59">
        <f t="shared" si="36"/>
        <v>351.95632347830144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55.230068413985983</v>
      </c>
      <c r="AV61" s="21">
        <f>EXP(-LN(2)/25)*AV60+(1-EXP(-LN(2)/25))/(LN(2)/25)*Calculateur!AQ61*Calculateur!AS61*VLOOKUP('Données projet'!$B$10,Paramètres!$A$1:$I$89,3,0)*0.475*44/12</f>
        <v>40.83869940117382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96.068767815159802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66.281751069918656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1.5141000000000004</v>
      </c>
      <c r="BD61" s="12">
        <f>IF('Données projet'!$A$88&gt;35,BD60+BC61-BL60,IF(A61&lt;'Données projet'!$A$88,$BA$205^A61,IF(A61='Données projet'!$A$88,'Données projet'!$B$88,BD60+BC61-BL60)))</f>
        <v>67.990300000000047</v>
      </c>
      <c r="BE61" s="13">
        <f>BD61*VLOOKUP('Données projet'!$B$11,Paramètres!$A$1:$I$89,3,0)*VLOOKUP('Données projet'!$B$11,Paramètres!$A$1:$I$89,5,0)</f>
        <v>59.396326080000044</v>
      </c>
      <c r="BF61" s="13">
        <f t="shared" si="37"/>
        <v>17.015551595595632</v>
      </c>
      <c r="BG61" s="20">
        <f t="shared" si="7"/>
        <v>133.08402028499577</v>
      </c>
      <c r="BH61" s="59">
        <f t="shared" si="8"/>
        <v>412.78377420803088</v>
      </c>
      <c r="BI61" s="59">
        <f ca="1">AVERAGE(OFFSET($BH$3,0,0,'Données projet'!$E$11+1,1))-AVERAGE(OFFSET($H$3,0,0,'Données projet'!$E$11+1,1))</f>
        <v>128.92423054779167</v>
      </c>
      <c r="BJ61" s="59">
        <f t="shared" si="38"/>
        <v>127.5443711972687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2.0979482266873997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2.0979482266873997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66.281751069918656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235.87</v>
      </c>
      <c r="BW61" s="12">
        <f>VLOOKUP(A61,'Données projet'!$A$113:$I$133,9,0)</f>
        <v>9.5537500000000009</v>
      </c>
      <c r="BX61" s="12">
        <f t="array" ref="BX61">INDEX(BW:BW,MIN(IF(ISNUMBER(BW61:BW257),ROW(BW61:BW257),"")))</f>
        <v>9.5537500000000009</v>
      </c>
      <c r="BY61" s="12">
        <f>IF('Données projet'!$A$114&gt;35,BY60+BX61-CG60,IF(A61&lt;'Données projet'!$A$114,$BV$205^A61,IF(A61='Données projet'!$A$114,'Données projet'!$B$114,BY60+BX61-CG60)))</f>
        <v>235.8700000000002</v>
      </c>
      <c r="BZ61" s="13">
        <f>BY61*VLOOKUP('Données projet'!$B$12,Paramètres!$A$1:$I$89,3,0)*VLOOKUP('Données projet'!$B$12,Paramètres!$A$1:$I$89,5,0)</f>
        <v>213.41517600000017</v>
      </c>
      <c r="CA61" s="13">
        <f t="shared" si="39"/>
        <v>52.681185448853228</v>
      </c>
      <c r="CB61" s="20">
        <f t="shared" si="10"/>
        <v>463.45116285675294</v>
      </c>
      <c r="CC61" s="59">
        <f t="shared" si="11"/>
        <v>743.15091677978808</v>
      </c>
      <c r="CD61" s="59">
        <f ca="1">AVERAGE(OFFSET($CC$3,0,0,'Données projet'!$E$12+1,1))-AVERAGE(OFFSET($H$3,0,0,'Données projet'!$E$12+1,1))</f>
        <v>601.17090553269054</v>
      </c>
      <c r="CE61" s="59">
        <f t="shared" si="40"/>
        <v>279.37477930888042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44.93</v>
      </c>
      <c r="CH61" s="16">
        <f>IF(ISNA(VLOOKUP(A61,'Données projet'!$A$113:$I$133,5,0)),0%,VLOOKUP(A61,'Données projet'!$A$113:$I$133,5,0)*VLOOKUP('Données projet'!$B$12,Paramètres!$A$1:$I$89,7,0))</f>
        <v>0.129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13.776770157795863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13.776770157795863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66.281751069918656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8.757142857142858</v>
      </c>
      <c r="CT61" s="12">
        <f>IF('Données projet'!$A$140&gt;35,CT60+CS61-DB60,IF(A61&lt;'Données projet'!$A$140,$CQ$205^A61,IF(A61='Données projet'!$A$140,'Données projet'!$B$140,CT60+CS61-DB60)))</f>
        <v>173.8228571428572</v>
      </c>
      <c r="CU61" s="17">
        <f>CT61*VLOOKUP('Données projet'!$B$13,Paramètres!$A$1:$I$89,3,0)*VLOOKUP('Données projet'!$B$13,Paramètres!$A$1:$I$89,5,0)</f>
        <v>165.40983085714291</v>
      </c>
      <c r="CV61" s="13">
        <f t="shared" si="41"/>
        <v>42.060346393835587</v>
      </c>
      <c r="CW61" s="20">
        <f t="shared" si="13"/>
        <v>361.3438920454542</v>
      </c>
      <c r="CX61" s="59">
        <f t="shared" si="14"/>
        <v>641.04364596848927</v>
      </c>
      <c r="CY61" s="59">
        <f ca="1">AVERAGE(OFFSET($CX$3,0,0,'Données projet'!$E$13+1,1))-AVERAGE(OFFSET($H$3,0,0,'Données projet'!$E$13+1,1))</f>
        <v>418.79317359649315</v>
      </c>
      <c r="CZ61" s="59">
        <f t="shared" si="42"/>
        <v>286.46514989661011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9.0321710884450361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9.0321710884450361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66.281751069918656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66.281751069918656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66.281751069918656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66.281751069918656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66.281751069918656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1.35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0.52462800000000043</v>
      </c>
      <c r="D62" s="11">
        <f t="shared" si="32"/>
        <v>0.26062304821567328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4.9611158703885785</v>
      </c>
      <c r="H62" s="67">
        <f t="shared" si="1"/>
        <v>225.36431224230896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66.346254376096297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9.2524999999999977</v>
      </c>
      <c r="N62" s="13">
        <f>IF('Données projet'!$A$36&gt;35,N61+M62-V61,IF(A62&lt;'Données projet'!$A$36,$K$205^A62,IF(A62='Données projet'!$A$36,'Données projet'!$B$36,N61+M62-V61)))</f>
        <v>200.19250000000019</v>
      </c>
      <c r="O62" s="13">
        <f>N62*VLOOKUP('Données projet'!$B$9,Paramètres!$A$1:$I$89,3,0)*VLOOKUP('Données projet'!$B$9,Paramètres!$A$1:$I$89,5,0)</f>
        <v>202.99519500000022</v>
      </c>
      <c r="P62" s="13">
        <f t="shared" si="33"/>
        <v>50.40185036856122</v>
      </c>
      <c r="Q62" s="20">
        <f t="shared" si="53"/>
        <v>441.33318735024449</v>
      </c>
      <c r="R62" s="59">
        <f t="shared" si="0"/>
        <v>721.2694533959309</v>
      </c>
      <c r="S62" s="59">
        <f ca="1">AVERAGE(OFFSET($R$3,0,0,'Données projet'!$E$9+1,1))-AVERAGE(OFFSET($H$3,0,0,'Données projet'!$E$9+1,1))</f>
        <v>665.7907881991157</v>
      </c>
      <c r="T62" s="59">
        <f t="shared" si="34"/>
        <v>306.76923535735227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15.136724937415535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15.136724937415535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66.346254376096297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16.595714285714287</v>
      </c>
      <c r="AI62" s="13">
        <f>IF('Données projet'!$A$62&gt;35,AI61+AH62-AQ61,IF(A62&lt;'Données projet'!$A$62,$AF$205^A62,IF(A62='Données projet'!$A$62,'Données projet'!$B$62,AI61+AH62-AQ61)))</f>
        <v>350.10714285714266</v>
      </c>
      <c r="AJ62" s="13">
        <f>AI62*VLOOKUP('Données projet'!$B$10,Paramètres!$A$1:$I$89,3,0)*VLOOKUP('Données projet'!$B$10,Paramètres!$A$1:$I$89,5,0)</f>
        <v>163.85014285714277</v>
      </c>
      <c r="AK62" s="13">
        <f t="shared" si="35"/>
        <v>41.709720429643745</v>
      </c>
      <c r="AL62" s="20">
        <f t="shared" si="4"/>
        <v>358.01676189115318</v>
      </c>
      <c r="AM62" s="59">
        <f t="shared" si="5"/>
        <v>637.95302793683959</v>
      </c>
      <c r="AN62" s="59">
        <f ca="1">AVERAGE(OFFSET($AM$3,0,0,'Données projet'!$E$10+1,1))-AVERAGE(OFFSET($H$3,0,0,'Données projet'!$E$10+1,1))</f>
        <v>370.42479501931444</v>
      </c>
      <c r="AO62" s="59">
        <f t="shared" si="36"/>
        <v>351.95632347830144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54.147040459403136</v>
      </c>
      <c r="AV62" s="21">
        <f>EXP(-LN(2)/25)*AV61+(1-EXP(-LN(2)/25))/(LN(2)/25)*Calculateur!AQ62*Calculateur!AS62*VLOOKUP('Données projet'!$B$10,Paramètres!$A$1:$I$89,3,0)*0.475*44/12</f>
        <v>39.721963018434856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93.869003477837992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66.346254376096297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1.5141000000000004</v>
      </c>
      <c r="BD62" s="12">
        <f>IF('Données projet'!$A$88&gt;35,BD61+BC62-BL61,IF(A62&lt;'Données projet'!$A$88,$BA$205^A62,IF(A62='Données projet'!$A$88,'Données projet'!$B$88,BD61+BC62-BL61)))</f>
        <v>69.504400000000047</v>
      </c>
      <c r="BE62" s="13">
        <f>BD62*VLOOKUP('Données projet'!$B$11,Paramètres!$A$1:$I$89,3,0)*VLOOKUP('Données projet'!$B$11,Paramètres!$A$1:$I$89,5,0)</f>
        <v>60.71904384000004</v>
      </c>
      <c r="BF62" s="13">
        <f t="shared" si="37"/>
        <v>17.349939618859754</v>
      </c>
      <c r="BG62" s="20">
        <f t="shared" si="7"/>
        <v>135.97014619084746</v>
      </c>
      <c r="BH62" s="59">
        <f t="shared" si="8"/>
        <v>415.90641223653387</v>
      </c>
      <c r="BI62" s="59">
        <f ca="1">AVERAGE(OFFSET($BH$3,0,0,'Données projet'!$E$11+1,1))-AVERAGE(OFFSET($H$3,0,0,'Données projet'!$E$11+1,1))</f>
        <v>128.92423054779167</v>
      </c>
      <c r="BJ62" s="59">
        <f t="shared" si="38"/>
        <v>127.5443711972687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2.0568087415841259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2.0568087415841259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66.346254376096297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9.2524999999999977</v>
      </c>
      <c r="BY62" s="12">
        <f>IF('Données projet'!$A$114&gt;35,BY61+BX62-CG61,IF(A62&lt;'Données projet'!$A$114,$BV$205^A62,IF(A62='Données projet'!$A$114,'Données projet'!$B$114,BY61+BX62-CG61)))</f>
        <v>200.19250000000019</v>
      </c>
      <c r="BZ62" s="13">
        <f>BY62*VLOOKUP('Données projet'!$B$12,Paramètres!$A$1:$I$89,3,0)*VLOOKUP('Données projet'!$B$12,Paramètres!$A$1:$I$89,5,0)</f>
        <v>181.13417400000017</v>
      </c>
      <c r="CA62" s="13">
        <f t="shared" si="39"/>
        <v>45.574426667354729</v>
      </c>
      <c r="CB62" s="20">
        <f t="shared" si="10"/>
        <v>394.85081282897653</v>
      </c>
      <c r="CC62" s="59">
        <f t="shared" si="11"/>
        <v>674.78707887466294</v>
      </c>
      <c r="CD62" s="59">
        <f ca="1">AVERAGE(OFFSET($CC$3,0,0,'Données projet'!$E$12+1,1))-AVERAGE(OFFSET($H$3,0,0,'Données projet'!$E$12+1,1))</f>
        <v>601.17090553269054</v>
      </c>
      <c r="CE62" s="59">
        <f t="shared" si="40"/>
        <v>279.37477930888042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13.506616098001555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13.506616098001555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66.346254376096297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>
        <f>VLOOKUP(A62,'Données projet'!$A$139:$I$159,2,0)</f>
        <v>182.58</v>
      </c>
      <c r="CR62" s="12">
        <f>VLOOKUP(A62,'Données projet'!$A$139:$I$159,9,0)</f>
        <v>8.757142857142858</v>
      </c>
      <c r="CS62" s="12">
        <f t="array" ref="CS62">INDEX(CR:CR,MIN(IF(ISNUMBER(CR62:CR258),ROW(CR62:CR258),"")))</f>
        <v>8.757142857142858</v>
      </c>
      <c r="CT62" s="12">
        <f>IF('Données projet'!$A$140&gt;35,CT61+CS62-DB61,IF(A62&lt;'Données projet'!$A$140,$CQ$205^A62,IF(A62='Données projet'!$A$140,'Données projet'!$B$140,CT61+CS62-DB61)))</f>
        <v>182.58000000000007</v>
      </c>
      <c r="CU62" s="17">
        <f>CT62*VLOOKUP('Données projet'!$B$13,Paramètres!$A$1:$I$89,3,0)*VLOOKUP('Données projet'!$B$13,Paramètres!$A$1:$I$89,5,0)</f>
        <v>173.74312800000007</v>
      </c>
      <c r="CV62" s="13">
        <f t="shared" si="41"/>
        <v>43.927294137809959</v>
      </c>
      <c r="CW62" s="20">
        <f t="shared" si="13"/>
        <v>379.10931855668582</v>
      </c>
      <c r="CX62" s="59">
        <f t="shared" si="14"/>
        <v>659.04558460237217</v>
      </c>
      <c r="CY62" s="59">
        <f ca="1">AVERAGE(OFFSET($CX$3,0,0,'Données projet'!$E$13+1,1))-AVERAGE(OFFSET($H$3,0,0,'Données projet'!$E$13+1,1))</f>
        <v>418.79317359649315</v>
      </c>
      <c r="CZ62" s="59">
        <f t="shared" si="42"/>
        <v>286.46514989661011</v>
      </c>
      <c r="DA62" s="15">
        <f>IF(ISNA(VLOOKUP(A62,'Données projet'!$A$139:$I$159,3,0)),0,VLOOKUP(A62,'Données projet'!$A$139:$I$159,3,0))</f>
        <v>4</v>
      </c>
      <c r="DB62" s="15">
        <f>IF(ISNA(VLOOKUP(A62,'Données projet'!$A$139:$I$159,4,0)),0,VLOOKUP(A62,'Données projet'!$A$139:$I$159,4,0))</f>
        <v>38.119999999999997</v>
      </c>
      <c r="DC62" s="16">
        <f>IF(ISNA(VLOOKUP(A62,'Données projet'!$A$139:$I$159,5,0)),0%,VLOOKUP(A62,'Données projet'!$A$139:$I$159,5,0)*VLOOKUP('Données projet'!$B$13,Paramètres!$A$1:$I$89,7,0))</f>
        <v>0.129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14.028075585900535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14.028075585900535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66.346254376096297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66.346254376096297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66.346254376096297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66.346254376096297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66.346254376096297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1.35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0.53352000000000044</v>
      </c>
      <c r="D63" s="11">
        <f t="shared" si="32"/>
        <v>0.26452238349522994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4.9621032717084042</v>
      </c>
      <c r="H63" s="67">
        <f t="shared" si="1"/>
        <v>225.38659048458754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66.40963869411955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9.2524999999999977</v>
      </c>
      <c r="N63" s="13">
        <f>IF('Données projet'!$A$36&gt;35,N62+M63-V62,IF(A63&lt;'Données projet'!$A$36,$K$205^A63,IF(A63='Données projet'!$A$36,'Données projet'!$B$36,N62+M63-V62)))</f>
        <v>209.44500000000019</v>
      </c>
      <c r="O63" s="13">
        <f>N63*VLOOKUP('Données projet'!$B$9,Paramètres!$A$1:$I$89,3,0)*VLOOKUP('Données projet'!$B$9,Paramètres!$A$1:$I$89,5,0)</f>
        <v>212.3772300000002</v>
      </c>
      <c r="P63" s="13">
        <f t="shared" si="33"/>
        <v>52.454729443519689</v>
      </c>
      <c r="Q63" s="20">
        <f t="shared" si="53"/>
        <v>461.24899603079712</v>
      </c>
      <c r="R63" s="59">
        <f t="shared" si="0"/>
        <v>741.41767124256876</v>
      </c>
      <c r="S63" s="59">
        <f ca="1">AVERAGE(OFFSET($R$3,0,0,'Données projet'!$E$9+1,1))-AVERAGE(OFFSET($H$3,0,0,'Données projet'!$E$9+1,1))</f>
        <v>665.7907881991157</v>
      </c>
      <c r="T63" s="59">
        <f t="shared" si="34"/>
        <v>306.76923535735227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14.839902993883396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14.839902993883396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66.40963869411955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16.595714285714287</v>
      </c>
      <c r="AI63" s="13">
        <f>IF('Données projet'!$A$62&gt;35,AI62+AH63-AQ62,IF(A63&lt;'Données projet'!$A$62,$AF$205^A63,IF(A63='Données projet'!$A$62,'Données projet'!$B$62,AI62+AH63-AQ62)))</f>
        <v>366.70285714285694</v>
      </c>
      <c r="AJ63" s="13">
        <f>AI63*VLOOKUP('Données projet'!$B$10,Paramètres!$A$1:$I$89,3,0)*VLOOKUP('Données projet'!$B$10,Paramètres!$A$1:$I$89,5,0)</f>
        <v>171.61693714285704</v>
      </c>
      <c r="AK63" s="13">
        <f t="shared" si="35"/>
        <v>43.45196395541258</v>
      </c>
      <c r="AL63" s="20">
        <f t="shared" si="4"/>
        <v>374.57833607948623</v>
      </c>
      <c r="AM63" s="59">
        <f t="shared" si="5"/>
        <v>654.74701129125788</v>
      </c>
      <c r="AN63" s="59">
        <f ca="1">AVERAGE(OFFSET($AM$3,0,0,'Données projet'!$E$10+1,1))-AVERAGE(OFFSET($H$3,0,0,'Données projet'!$E$10+1,1))</f>
        <v>370.42479501931444</v>
      </c>
      <c r="AO63" s="59">
        <f t="shared" si="36"/>
        <v>351.95632347830144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53.085250022427829</v>
      </c>
      <c r="AV63" s="21">
        <f>EXP(-LN(2)/25)*AV62+(1-EXP(-LN(2)/25))/(LN(2)/25)*Calculateur!AQ63*Calculateur!AS63*VLOOKUP('Données projet'!$B$10,Paramètres!$A$1:$I$89,3,0)*0.475*44/12</f>
        <v>38.635763850808509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91.72101387323633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66.40963869411955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71.018500000000003</v>
      </c>
      <c r="BB63" s="12">
        <f>VLOOKUP(A63,'Données projet'!$A$87:$I$107,9,0)</f>
        <v>1.5141000000000004</v>
      </c>
      <c r="BC63" s="12">
        <f t="array" ref="BC63">INDEX(BB:BB,MIN(IF(ISNUMBER(BB63:BB259),ROW(BB63:BB259),"")))</f>
        <v>1.5141000000000004</v>
      </c>
      <c r="BD63" s="12">
        <f>IF('Données projet'!$A$88&gt;35,BD62+BC63-BL62,IF(A63&lt;'Données projet'!$A$88,$BA$205^A63,IF(A63='Données projet'!$A$88,'Données projet'!$B$88,BD62+BC63-BL62)))</f>
        <v>71.018500000000046</v>
      </c>
      <c r="BE63" s="13">
        <f>BD63*VLOOKUP('Données projet'!$B$11,Paramètres!$A$1:$I$89,3,0)*VLOOKUP('Données projet'!$B$11,Paramètres!$A$1:$I$89,5,0)</f>
        <v>62.041761600000051</v>
      </c>
      <c r="BF63" s="13">
        <f t="shared" si="37"/>
        <v>17.68348074284598</v>
      </c>
      <c r="BG63" s="20">
        <f t="shared" si="7"/>
        <v>138.85479708045685</v>
      </c>
      <c r="BH63" s="59">
        <f t="shared" si="8"/>
        <v>419.02347229222858</v>
      </c>
      <c r="BI63" s="59">
        <f ca="1">AVERAGE(OFFSET($BH$3,0,0,'Données projet'!$E$11+1,1))-AVERAGE(OFFSET($H$3,0,0,'Données projet'!$E$11+1,1))</f>
        <v>128.92423054779167</v>
      </c>
      <c r="BJ63" s="59">
        <f t="shared" si="38"/>
        <v>127.5443711972687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3.42475</v>
      </c>
      <c r="BM63" s="16">
        <f>IF(ISNA(VLOOKUP(A63,'Données projet'!$A$87:$I$107,5,0)),0%,VLOOKUP(A63,'Données projet'!$A$87:$I$107,5,0)*VLOOKUP('Données projet'!$B$11,Paramètres!$A$1:$I$89,7,0))</f>
        <v>0.159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2.5423548628665866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2.5423548628665866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66.40963869411955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9.2524999999999977</v>
      </c>
      <c r="BY63" s="12">
        <f>IF('Données projet'!$A$114&gt;35,BY62+BX63-CG62,IF(A63&lt;'Données projet'!$A$114,$BV$205^A63,IF(A63='Données projet'!$A$114,'Données projet'!$B$114,BY62+BX63-CG62)))</f>
        <v>209.44500000000019</v>
      </c>
      <c r="BZ63" s="13">
        <f>BY63*VLOOKUP('Données projet'!$B$12,Paramètres!$A$1:$I$89,3,0)*VLOOKUP('Données projet'!$B$12,Paramètres!$A$1:$I$89,5,0)</f>
        <v>189.50583600000016</v>
      </c>
      <c r="CA63" s="13">
        <f t="shared" si="39"/>
        <v>47.430683653447495</v>
      </c>
      <c r="CB63" s="20">
        <f t="shared" si="10"/>
        <v>412.6644383964213</v>
      </c>
      <c r="CC63" s="59">
        <f t="shared" si="11"/>
        <v>692.833113608193</v>
      </c>
      <c r="CD63" s="59">
        <f ca="1">AVERAGE(OFFSET($CC$3,0,0,'Données projet'!$E$12+1,1))-AVERAGE(OFFSET($H$3,0,0,'Données projet'!$E$12+1,1))</f>
        <v>601.17090553269054</v>
      </c>
      <c r="CE63" s="59">
        <f t="shared" si="40"/>
        <v>279.37477930888042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13.241759594542106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13.241759594542106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66.40963869411955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8.5500000000000007</v>
      </c>
      <c r="CT63" s="12">
        <f>IF('Données projet'!$A$140&gt;35,CT62+CS63-DB62,IF(A63&lt;'Données projet'!$A$140,$CQ$205^A63,IF(A63='Données projet'!$A$140,'Données projet'!$B$140,CT62+CS63-DB62)))</f>
        <v>153.01000000000008</v>
      </c>
      <c r="CU63" s="17">
        <f>CT63*VLOOKUP('Données projet'!$B$13,Paramètres!$A$1:$I$89,3,0)*VLOOKUP('Données projet'!$B$13,Paramètres!$A$1:$I$89,5,0)</f>
        <v>145.60431600000007</v>
      </c>
      <c r="CV63" s="13">
        <f t="shared" si="41"/>
        <v>37.577928076861362</v>
      </c>
      <c r="CW63" s="20">
        <f t="shared" si="13"/>
        <v>319.04240843386697</v>
      </c>
      <c r="CX63" s="59">
        <f t="shared" si="14"/>
        <v>599.21108364563861</v>
      </c>
      <c r="CY63" s="59">
        <f ca="1">AVERAGE(OFFSET($CX$3,0,0,'Données projet'!$E$13+1,1))-AVERAGE(OFFSET($H$3,0,0,'Données projet'!$E$13+1,1))</f>
        <v>418.79317359649315</v>
      </c>
      <c r="CZ63" s="59">
        <f t="shared" si="42"/>
        <v>286.46514989661011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13.75299357994227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13.75299357994227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66.40963869411955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66.40963869411955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66.40963869411955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66.40963869411955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66.40963869411955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1.35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0.54241200000000045</v>
      </c>
      <c r="D64" s="11">
        <f t="shared" si="32"/>
        <v>0.26841416102744509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4.9630900896231713</v>
      </c>
      <c r="H64" s="67">
        <f t="shared" si="1"/>
        <v>225.40885556378947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66.471923435931203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9.2524999999999977</v>
      </c>
      <c r="N64" s="13">
        <f>IF('Données projet'!$A$36&gt;35,N63+M64-V63,IF(A64&lt;'Données projet'!$A$36,$K$205^A64,IF(A64='Données projet'!$A$36,'Données projet'!$B$36,N63+M64-V63)))</f>
        <v>218.69750000000019</v>
      </c>
      <c r="O64" s="13">
        <f>N64*VLOOKUP('Données projet'!$B$9,Paramètres!$A$1:$I$89,3,0)*VLOOKUP('Données projet'!$B$9,Paramètres!$A$1:$I$89,5,0)</f>
        <v>221.7592650000002</v>
      </c>
      <c r="P64" s="13">
        <f t="shared" si="33"/>
        <v>54.497075847509379</v>
      </c>
      <c r="Q64" s="20">
        <f t="shared" si="53"/>
        <v>481.14646030941248</v>
      </c>
      <c r="R64" s="59">
        <f t="shared" si="0"/>
        <v>761.54351290782688</v>
      </c>
      <c r="S64" s="59">
        <f ca="1">AVERAGE(OFFSET($R$3,0,0,'Données projet'!$E$9+1,1))-AVERAGE(OFFSET($H$3,0,0,'Données projet'!$E$9+1,1))</f>
        <v>665.7907881991157</v>
      </c>
      <c r="T64" s="59">
        <f t="shared" si="34"/>
        <v>306.76923535735227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14.548901547620412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14.548901547620412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66.471923435931203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16.595714285714287</v>
      </c>
      <c r="AI64" s="13">
        <f>IF('Données projet'!$A$62&gt;35,AI63+AH64-AQ63,IF(A64&lt;'Données projet'!$A$62,$AF$205^A64,IF(A64='Données projet'!$A$62,'Données projet'!$B$62,AI63+AH64-AQ63)))</f>
        <v>383.29857142857122</v>
      </c>
      <c r="AJ64" s="13">
        <f>AI64*VLOOKUP('Données projet'!$B$10,Paramètres!$A$1:$I$89,3,0)*VLOOKUP('Données projet'!$B$10,Paramètres!$A$1:$I$89,5,0)</f>
        <v>179.38373142857134</v>
      </c>
      <c r="AK64" s="13">
        <f t="shared" si="35"/>
        <v>45.185050408380668</v>
      </c>
      <c r="AL64" s="20">
        <f t="shared" si="4"/>
        <v>391.12396169935806</v>
      </c>
      <c r="AM64" s="59">
        <f t="shared" si="5"/>
        <v>671.52101429777247</v>
      </c>
      <c r="AN64" s="59">
        <f ca="1">AVERAGE(OFFSET($AM$3,0,0,'Données projet'!$E$10+1,1))-AVERAGE(OFFSET($H$3,0,0,'Données projet'!$E$10+1,1))</f>
        <v>370.42479501931444</v>
      </c>
      <c r="AO64" s="59">
        <f t="shared" si="36"/>
        <v>351.95632347830144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52.044280648293395</v>
      </c>
      <c r="AV64" s="21">
        <f>EXP(-LN(2)/25)*AV63+(1-EXP(-LN(2)/25))/(LN(2)/25)*Calculateur!AQ64*Calculateur!AS64*VLOOKUP('Données projet'!$B$10,Paramètres!$A$1:$I$89,3,0)*0.475*44/12</f>
        <v>37.579266856541629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89.623547504835017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66.471923435931203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1.2617500000000006</v>
      </c>
      <c r="BD64" s="12">
        <f>IF('Données projet'!$A$88&gt;35,BD63+BC64-BL63,IF(A64&lt;'Données projet'!$A$88,$BA$205^A64,IF(A64='Données projet'!$A$88,'Données projet'!$B$88,BD63+BC64-BL63)))</f>
        <v>68.855500000000049</v>
      </c>
      <c r="BE64" s="13">
        <f>BD64*VLOOKUP('Données projet'!$B$11,Paramètres!$A$1:$I$89,3,0)*VLOOKUP('Données projet'!$B$11,Paramètres!$A$1:$I$89,5,0)</f>
        <v>60.152164800000051</v>
      </c>
      <c r="BF64" s="13">
        <f t="shared" si="37"/>
        <v>17.206735374991528</v>
      </c>
      <c r="BG64" s="20">
        <f t="shared" si="7"/>
        <v>134.73341780477696</v>
      </c>
      <c r="BH64" s="59">
        <f t="shared" si="8"/>
        <v>415.13047040319134</v>
      </c>
      <c r="BI64" s="59">
        <f ca="1">AVERAGE(OFFSET($BH$3,0,0,'Données projet'!$E$11+1,1))-AVERAGE(OFFSET($H$3,0,0,'Données projet'!$E$11+1,1))</f>
        <v>128.92423054779167</v>
      </c>
      <c r="BJ64" s="59">
        <f t="shared" si="38"/>
        <v>127.5443711972687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2.492500834689122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2.492500834689122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66.471923435931203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9.2524999999999977</v>
      </c>
      <c r="BY64" s="12">
        <f>IF('Données projet'!$A$114&gt;35,BY63+BX64-CG63,IF(A64&lt;'Données projet'!$A$114,$BV$205^A64,IF(A64='Données projet'!$A$114,'Données projet'!$B$114,BY63+BX64-CG63)))</f>
        <v>218.69750000000019</v>
      </c>
      <c r="BZ64" s="13">
        <f>BY64*VLOOKUP('Données projet'!$B$12,Paramètres!$A$1:$I$89,3,0)*VLOOKUP('Données projet'!$B$12,Paramètres!$A$1:$I$89,5,0)</f>
        <v>197.87749800000014</v>
      </c>
      <c r="CA64" s="13">
        <f t="shared" si="39"/>
        <v>49.277416774103372</v>
      </c>
      <c r="CB64" s="20">
        <f t="shared" si="10"/>
        <v>430.46147656489694</v>
      </c>
      <c r="CC64" s="59">
        <f t="shared" si="11"/>
        <v>710.85852916331135</v>
      </c>
      <c r="CD64" s="59">
        <f ca="1">AVERAGE(OFFSET($CC$3,0,0,'Données projet'!$E$12+1,1))-AVERAGE(OFFSET($H$3,0,0,'Données projet'!$E$12+1,1))</f>
        <v>601.17090553269054</v>
      </c>
      <c r="CE64" s="59">
        <f t="shared" si="40"/>
        <v>279.37477930888042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12.982096765568983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12.982096765568983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66.471923435931203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8.5500000000000007</v>
      </c>
      <c r="CT64" s="12">
        <f>IF('Données projet'!$A$140&gt;35,CT63+CS64-DB63,IF(A64&lt;'Données projet'!$A$140,$CQ$205^A64,IF(A64='Données projet'!$A$140,'Données projet'!$B$140,CT63+CS64-DB63)))</f>
        <v>161.56000000000009</v>
      </c>
      <c r="CU64" s="17">
        <f>CT64*VLOOKUP('Données projet'!$B$13,Paramètres!$A$1:$I$89,3,0)*VLOOKUP('Données projet'!$B$13,Paramètres!$A$1:$I$89,5,0)</f>
        <v>153.74049600000009</v>
      </c>
      <c r="CV64" s="13">
        <f t="shared" si="41"/>
        <v>39.42740438329448</v>
      </c>
      <c r="CW64" s="20">
        <f t="shared" si="13"/>
        <v>336.43409316757135</v>
      </c>
      <c r="CX64" s="59">
        <f t="shared" si="14"/>
        <v>616.83114576598575</v>
      </c>
      <c r="CY64" s="59">
        <f ca="1">AVERAGE(OFFSET($CX$3,0,0,'Données projet'!$E$13+1,1))-AVERAGE(OFFSET($H$3,0,0,'Données projet'!$E$13+1,1))</f>
        <v>418.79317359649315</v>
      </c>
      <c r="CZ64" s="59">
        <f t="shared" si="42"/>
        <v>286.46514989661011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13.483305764337391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13.483305764337391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66.471923435931203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66.471923435931203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66.471923435931203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66.471923435931203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66.471923435931203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1.35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0.55130400000000046</v>
      </c>
      <c r="D65" s="11">
        <f t="shared" si="32"/>
        <v>0.27229851901207081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4.9640763348009322</v>
      </c>
      <c r="H65" s="67">
        <f t="shared" si="1"/>
        <v>225.43110772061269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66.533127676720255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9.2524999999999977</v>
      </c>
      <c r="N65" s="13">
        <f>IF('Données projet'!$A$36&gt;35,N64+M65-V64,IF(A65&lt;'Données projet'!$A$36,$K$205^A65,IF(A65='Données projet'!$A$36,'Données projet'!$B$36,N64+M65-V64)))</f>
        <v>227.95000000000019</v>
      </c>
      <c r="O65" s="13">
        <f>N65*VLOOKUP('Données projet'!$B$9,Paramètres!$A$1:$I$89,3,0)*VLOOKUP('Données projet'!$B$9,Paramètres!$A$1:$I$89,5,0)</f>
        <v>231.1413000000002</v>
      </c>
      <c r="P65" s="13">
        <f t="shared" si="33"/>
        <v>56.529386137528874</v>
      </c>
      <c r="Q65" s="20">
        <f t="shared" si="53"/>
        <v>501.02644502286307</v>
      </c>
      <c r="R65" s="59">
        <f t="shared" si="0"/>
        <v>781.64791317083734</v>
      </c>
      <c r="S65" s="59">
        <f ca="1">AVERAGE(OFFSET($R$3,0,0,'Données projet'!$E$9+1,1))-AVERAGE(OFFSET($H$3,0,0,'Données projet'!$E$9+1,1))</f>
        <v>665.7907881991157</v>
      </c>
      <c r="T65" s="59">
        <f t="shared" si="34"/>
        <v>306.76923535735227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14.26360646222529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14.26360646222529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66.533127676720255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16.595714285714287</v>
      </c>
      <c r="AI65" s="13">
        <f>IF('Données projet'!$A$62&gt;35,AI64+AH65-AQ64,IF(A65&lt;'Données projet'!$A$62,$AF$205^A65,IF(A65='Données projet'!$A$62,'Données projet'!$B$62,AI64+AH65-AQ64)))</f>
        <v>399.8942857142855</v>
      </c>
      <c r="AJ65" s="13">
        <f>AI65*VLOOKUP('Données projet'!$B$10,Paramètres!$A$1:$I$89,3,0)*VLOOKUP('Données projet'!$B$10,Paramètres!$A$1:$I$89,5,0)</f>
        <v>187.15052571428564</v>
      </c>
      <c r="AK65" s="13">
        <f t="shared" si="35"/>
        <v>46.909421581101313</v>
      </c>
      <c r="AL65" s="20">
        <f t="shared" si="4"/>
        <v>407.6544082061323</v>
      </c>
      <c r="AM65" s="59">
        <f t="shared" si="5"/>
        <v>688.27587635410657</v>
      </c>
      <c r="AN65" s="59">
        <f ca="1">AVERAGE(OFFSET($AM$3,0,0,'Données projet'!$E$10+1,1))-AVERAGE(OFFSET($H$3,0,0,'Données projet'!$E$10+1,1))</f>
        <v>370.42479501931444</v>
      </c>
      <c r="AO65" s="59">
        <f t="shared" si="36"/>
        <v>351.95632347830144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51.023724048657108</v>
      </c>
      <c r="AV65" s="21">
        <f>EXP(-LN(2)/25)*AV64+(1-EXP(-LN(2)/25))/(LN(2)/25)*Calculateur!AQ65*Calculateur!AS65*VLOOKUP('Données projet'!$B$10,Paramètres!$A$1:$I$89,3,0)*0.475*44/12</f>
        <v>36.551659828141744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87.575383876798853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66.533127676720255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1.2617500000000006</v>
      </c>
      <c r="BD65" s="12">
        <f>IF('Données projet'!$A$88&gt;35,BD64+BC65-BL64,IF(A65&lt;'Données projet'!$A$88,$BA$205^A65,IF(A65='Données projet'!$A$88,'Données projet'!$B$88,BD64+BC65-BL64)))</f>
        <v>70.117250000000055</v>
      </c>
      <c r="BE65" s="13">
        <f>BD65*VLOOKUP('Données projet'!$B$11,Paramètres!$A$1:$I$89,3,0)*VLOOKUP('Données projet'!$B$11,Paramètres!$A$1:$I$89,5,0)</f>
        <v>61.254429600000051</v>
      </c>
      <c r="BF65" s="13">
        <f t="shared" si="37"/>
        <v>17.485045224623942</v>
      </c>
      <c r="BG65" s="20">
        <f t="shared" si="7"/>
        <v>137.13791865288678</v>
      </c>
      <c r="BH65" s="59">
        <f t="shared" si="8"/>
        <v>417.75938680086108</v>
      </c>
      <c r="BI65" s="59">
        <f ca="1">AVERAGE(OFFSET($BH$3,0,0,'Données projet'!$E$11+1,1))-AVERAGE(OFFSET($H$3,0,0,'Données projet'!$E$11+1,1))</f>
        <v>128.92423054779167</v>
      </c>
      <c r="BJ65" s="59">
        <f t="shared" si="38"/>
        <v>127.5443711972687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2.4436244135962628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2.4436244135962628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66.533127676720255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9.2524999999999977</v>
      </c>
      <c r="BY65" s="12">
        <f>IF('Données projet'!$A$114&gt;35,BY64+BX65-CG64,IF(A65&lt;'Données projet'!$A$114,$BV$205^A65,IF(A65='Données projet'!$A$114,'Données projet'!$B$114,BY64+BX65-CG64)))</f>
        <v>227.95000000000019</v>
      </c>
      <c r="BZ65" s="13">
        <f>BY65*VLOOKUP('Données projet'!$B$12,Paramètres!$A$1:$I$89,3,0)*VLOOKUP('Données projet'!$B$12,Paramètres!$A$1:$I$89,5,0)</f>
        <v>206.24916000000016</v>
      </c>
      <c r="CA65" s="13">
        <f t="shared" si="39"/>
        <v>51.115075026737237</v>
      </c>
      <c r="CB65" s="20">
        <f t="shared" si="10"/>
        <v>448.24270933823431</v>
      </c>
      <c r="CC65" s="59">
        <f t="shared" si="11"/>
        <v>728.86417748620852</v>
      </c>
      <c r="CD65" s="59">
        <f ca="1">AVERAGE(OFFSET($CC$3,0,0,'Données projet'!$E$12+1,1))-AVERAGE(OFFSET($H$3,0,0,'Données projet'!$E$12+1,1))</f>
        <v>601.17090553269054</v>
      </c>
      <c r="CE65" s="59">
        <f t="shared" si="40"/>
        <v>279.37477930888042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12.727525766293335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12.727525766293335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66.533127676720255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8.5500000000000007</v>
      </c>
      <c r="CT65" s="12">
        <f>IF('Données projet'!$A$140&gt;35,CT64+CS65-DB64,IF(A65&lt;'Données projet'!$A$140,$CQ$205^A65,IF(A65='Données projet'!$A$140,'Données projet'!$B$140,CT64+CS65-DB64)))</f>
        <v>170.1100000000001</v>
      </c>
      <c r="CU65" s="17">
        <f>CT65*VLOOKUP('Données projet'!$B$13,Paramètres!$A$1:$I$89,3,0)*VLOOKUP('Données projet'!$B$13,Paramètres!$A$1:$I$89,5,0)</f>
        <v>161.87667600000009</v>
      </c>
      <c r="CV65" s="13">
        <f t="shared" si="41"/>
        <v>41.265517215663785</v>
      </c>
      <c r="CW65" s="20">
        <f t="shared" si="13"/>
        <v>353.80598651728127</v>
      </c>
      <c r="CX65" s="59">
        <f t="shared" si="14"/>
        <v>634.42745466525548</v>
      </c>
      <c r="CY65" s="59">
        <f ca="1">AVERAGE(OFFSET($CX$3,0,0,'Données projet'!$E$13+1,1))-AVERAGE(OFFSET($H$3,0,0,'Données projet'!$E$13+1,1))</f>
        <v>418.79317359649315</v>
      </c>
      <c r="CZ65" s="59">
        <f t="shared" si="42"/>
        <v>286.46514989661011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13.218906362303198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13.218906362303198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66.533127676720255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66.533127676720255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66.533127676720255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66.533127676720255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66.533127676720255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1.35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0.56019600000000047</v>
      </c>
      <c r="D66" s="11">
        <f t="shared" si="32"/>
        <v>0.27617559093515864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4.965062017545872</v>
      </c>
      <c r="H66" s="67">
        <f t="shared" si="1"/>
        <v>225.4533471875454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66.59327016076378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9.2524999999999977</v>
      </c>
      <c r="N66" s="13">
        <f>IF('Données projet'!$A$36&gt;35,N65+M66-V65,IF(A66&lt;'Données projet'!$A$36,$K$205^A66,IF(A66='Données projet'!$A$36,'Données projet'!$B$36,N65+M66-V65)))</f>
        <v>237.20250000000019</v>
      </c>
      <c r="O66" s="13">
        <f>N66*VLOOKUP('Données projet'!$B$9,Paramètres!$A$1:$I$89,3,0)*VLOOKUP('Données projet'!$B$9,Paramètres!$A$1:$I$89,5,0)</f>
        <v>240.52333500000023</v>
      </c>
      <c r="P66" s="13">
        <f t="shared" si="33"/>
        <v>58.552114278737164</v>
      </c>
      <c r="Q66" s="20">
        <f t="shared" si="53"/>
        <v>520.88974082713423</v>
      </c>
      <c r="R66" s="59">
        <f t="shared" si="0"/>
        <v>801.73173141660141</v>
      </c>
      <c r="S66" s="59">
        <f ca="1">AVERAGE(OFFSET($R$3,0,0,'Données projet'!$E$9+1,1))-AVERAGE(OFFSET($H$3,0,0,'Données projet'!$E$9+1,1))</f>
        <v>665.7907881991157</v>
      </c>
      <c r="T66" s="59">
        <f t="shared" si="34"/>
        <v>306.76923535735227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13.983905839441947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13.983905839441947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66.59327016076378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416.49</v>
      </c>
      <c r="AG66" s="12">
        <f>VLOOKUP(A66,'Données projet'!$A$61:$I$81,9,0)</f>
        <v>16.595714285714287</v>
      </c>
      <c r="AH66" s="12">
        <f t="array" ref="AH66">INDEX(AG:AG,MIN(IF(ISNUMBER(AG66:AG262),ROW(AG66:AG262),"")))</f>
        <v>16.595714285714287</v>
      </c>
      <c r="AI66" s="13">
        <f>IF('Données projet'!$A$62&gt;35,AI65+AH66-AQ65,IF(A66&lt;'Données projet'!$A$62,$AF$205^A66,IF(A66='Données projet'!$A$62,'Données projet'!$B$62,AI65+AH66-AQ65)))</f>
        <v>416.48999999999978</v>
      </c>
      <c r="AJ66" s="13">
        <f>AI66*VLOOKUP('Données projet'!$B$10,Paramètres!$A$1:$I$89,3,0)*VLOOKUP('Données projet'!$B$10,Paramètres!$A$1:$I$89,5,0)</f>
        <v>194.91731999999988</v>
      </c>
      <c r="AK66" s="13">
        <f t="shared" si="35"/>
        <v>48.625480522444235</v>
      </c>
      <c r="AL66" s="20">
        <f t="shared" si="4"/>
        <v>424.17037757659017</v>
      </c>
      <c r="AM66" s="59">
        <f t="shared" si="5"/>
        <v>705.0123681660574</v>
      </c>
      <c r="AN66" s="59">
        <f ca="1">AVERAGE(OFFSET($AM$3,0,0,'Données projet'!$E$10+1,1))-AVERAGE(OFFSET($H$3,0,0,'Données projet'!$E$10+1,1))</f>
        <v>370.42479501931444</v>
      </c>
      <c r="AO66" s="59">
        <f t="shared" si="36"/>
        <v>351.95632347830144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79.099999999999994</v>
      </c>
      <c r="AR66" s="16">
        <f>IF(ISNA(VLOOKUP(A66,'Données projet'!$A$61:$I$81,5,0)),0%,VLOOKUP(A66,'Données projet'!$A$61:$I$81,5,0)*VLOOKUP('Données projet'!$B$10,Paramètres!$A$1:$I$89,7,0))</f>
        <v>0.38500000000000001</v>
      </c>
      <c r="AS66" s="16">
        <f>IF(ISNA(VLOOKUP(A66,'Données projet'!$A$61:$I$81,6,0)),0%,VLOOKUP(A66,'Données projet'!$A$61:$I$81,6,0)*VLOOKUP('Données projet'!$B$10,Paramètres!$A$1:$I$89,7,0))</f>
        <v>0.16500000000000001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68.92969228272635</v>
      </c>
      <c r="AV66" s="21">
        <f>EXP(-LN(2)/25)*AV65+(1-EXP(-LN(2)/25))/(LN(2)/25)*Calculateur!AQ66*Calculateur!AS66*VLOOKUP('Données projet'!$B$10,Paramètres!$A$1:$I$89,3,0)*0.475*44/12</f>
        <v>43.623039995786321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112.55273227851268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66.59327016076378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1.2617500000000006</v>
      </c>
      <c r="BD66" s="12">
        <f>IF('Données projet'!$A$88&gt;35,BD65+BC66-BL65,IF(A66&lt;'Données projet'!$A$88,$BA$205^A66,IF(A66='Données projet'!$A$88,'Données projet'!$B$88,BD65+BC66-BL65)))</f>
        <v>71.379000000000062</v>
      </c>
      <c r="BE66" s="13">
        <f>BD66*VLOOKUP('Données projet'!$B$11,Paramètres!$A$1:$I$89,3,0)*VLOOKUP('Données projet'!$B$11,Paramètres!$A$1:$I$89,5,0)</f>
        <v>62.356694400000059</v>
      </c>
      <c r="BF66" s="13">
        <f t="shared" si="37"/>
        <v>17.762772702885023</v>
      </c>
      <c r="BG66" s="20">
        <f t="shared" si="7"/>
        <v>139.54140520419151</v>
      </c>
      <c r="BH66" s="59">
        <f t="shared" si="8"/>
        <v>420.38339579365874</v>
      </c>
      <c r="BI66" s="59">
        <f ca="1">AVERAGE(OFFSET($BH$3,0,0,'Données projet'!$E$11+1,1))-AVERAGE(OFFSET($H$3,0,0,'Données projet'!$E$11+1,1))</f>
        <v>128.92423054779167</v>
      </c>
      <c r="BJ66" s="59">
        <f t="shared" si="38"/>
        <v>127.5443711972687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2.3957064293093615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2.3957064293093615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66.59327016076378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9.2524999999999977</v>
      </c>
      <c r="BY66" s="12">
        <f>IF('Données projet'!$A$114&gt;35,BY65+BX66-CG65,IF(A66&lt;'Données projet'!$A$114,$BV$205^A66,IF(A66='Données projet'!$A$114,'Données projet'!$B$114,BY65+BX66-CG65)))</f>
        <v>237.20250000000019</v>
      </c>
      <c r="BZ66" s="13">
        <f>BY66*VLOOKUP('Données projet'!$B$12,Paramètres!$A$1:$I$89,3,0)*VLOOKUP('Données projet'!$B$12,Paramètres!$A$1:$I$89,5,0)</f>
        <v>214.62082200000015</v>
      </c>
      <c r="CA66" s="13">
        <f t="shared" si="39"/>
        <v>52.944068896315315</v>
      </c>
      <c r="CB66" s="20">
        <f t="shared" si="10"/>
        <v>466.0088516444161</v>
      </c>
      <c r="CC66" s="59">
        <f t="shared" si="11"/>
        <v>746.85084223388333</v>
      </c>
      <c r="CD66" s="59">
        <f ca="1">AVERAGE(OFFSET($CC$3,0,0,'Données projet'!$E$12+1,1))-AVERAGE(OFFSET($H$3,0,0,'Données projet'!$E$12+1,1))</f>
        <v>601.17090553269054</v>
      </c>
      <c r="CE66" s="59">
        <f t="shared" si="40"/>
        <v>279.37477930888042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12.477946749040505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12.477946749040505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66.59327016076378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8.5500000000000007</v>
      </c>
      <c r="CT66" s="12">
        <f>IF('Données projet'!$A$140&gt;35,CT65+CS66-DB65,IF(A66&lt;'Données projet'!$A$140,$CQ$205^A66,IF(A66='Données projet'!$A$140,'Données projet'!$B$140,CT65+CS66-DB65)))</f>
        <v>178.66000000000011</v>
      </c>
      <c r="CU66" s="17">
        <f>CT66*VLOOKUP('Données projet'!$B$13,Paramètres!$A$1:$I$89,3,0)*VLOOKUP('Données projet'!$B$13,Paramètres!$A$1:$I$89,5,0)</f>
        <v>170.01285600000011</v>
      </c>
      <c r="CV66" s="13">
        <f t="shared" si="41"/>
        <v>43.092902888976646</v>
      </c>
      <c r="CW66" s="20">
        <f t="shared" si="13"/>
        <v>371.15919673163449</v>
      </c>
      <c r="CX66" s="59">
        <f t="shared" si="14"/>
        <v>652.00118732110172</v>
      </c>
      <c r="CY66" s="59">
        <f ca="1">AVERAGE(OFFSET($CX$3,0,0,'Données projet'!$E$13+1,1))-AVERAGE(OFFSET($H$3,0,0,'Données projet'!$E$13+1,1))</f>
        <v>418.79317359649315</v>
      </c>
      <c r="CZ66" s="59">
        <f t="shared" si="42"/>
        <v>286.46514989661011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12.959691671275184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12.959691671275184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66.59327016076378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66.59327016076378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66.59327016076378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66.59327016076378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66.59327016076378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1.35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0.56908800000000048</v>
      </c>
      <c r="D67" s="11">
        <f t="shared" si="32"/>
        <v>0.2800455058020544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4.9660471478162993</v>
      </c>
      <c r="H67" s="67">
        <f t="shared" si="1"/>
        <v>225.47557418927192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66.652369307167618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9.2524999999999977</v>
      </c>
      <c r="N67" s="13">
        <f>IF('Données projet'!$A$36&gt;35,N66+M67-V66,IF(A67&lt;'Données projet'!$A$36,$K$205^A67,IF(A67='Données projet'!$A$36,'Données projet'!$B$36,N66+M67-V66)))</f>
        <v>246.45500000000018</v>
      </c>
      <c r="O67" s="13">
        <f>N67*VLOOKUP('Données projet'!$B$9,Paramètres!$A$1:$I$89,3,0)*VLOOKUP('Données projet'!$B$9,Paramètres!$A$1:$I$89,5,0)</f>
        <v>249.9053700000002</v>
      </c>
      <c r="P67" s="13">
        <f t="shared" si="33"/>
        <v>60.565676815620975</v>
      </c>
      <c r="Q67" s="20">
        <f t="shared" ref="Q67:Q98" si="54">(O67+P67)*0.475*44/12</f>
        <v>540.73707320387359</v>
      </c>
      <c r="R67" s="59">
        <f t="shared" ref="R67:R130" si="55">Q67+(I67+J67)*44/12</f>
        <v>821.79576066348818</v>
      </c>
      <c r="S67" s="59">
        <f ca="1">AVERAGE(OFFSET($R$3,0,0,'Données projet'!$E$9+1,1))-AVERAGE(OFFSET($H$3,0,0,'Données projet'!$E$9+1,1))</f>
        <v>665.7907881991157</v>
      </c>
      <c r="T67" s="59">
        <f t="shared" si="34"/>
        <v>306.76923535735227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13.70968997527085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13.70968997527085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66.652369307167618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16.050000000000004</v>
      </c>
      <c r="AI67" s="13">
        <f>IF('Données projet'!$A$62&gt;35,AI66+AH67-AQ66,IF(A67&lt;'Données projet'!$A$62,$AF$205^A67,IF(A67='Données projet'!$A$62,'Données projet'!$B$62,AI66+AH67-AQ66)))</f>
        <v>353.43999999999983</v>
      </c>
      <c r="AJ67" s="13">
        <f>AI67*VLOOKUP('Données projet'!$B$10,Paramètres!$A$1:$I$89,3,0)*VLOOKUP('Données projet'!$B$10,Paramètres!$A$1:$I$89,5,0)</f>
        <v>165.40991999999991</v>
      </c>
      <c r="AK67" s="13">
        <f t="shared" si="35"/>
        <v>42.060366422582085</v>
      </c>
      <c r="AL67" s="20">
        <f t="shared" si="4"/>
        <v>361.34408218599697</v>
      </c>
      <c r="AM67" s="59">
        <f t="shared" si="5"/>
        <v>642.40276964561156</v>
      </c>
      <c r="AN67" s="59">
        <f ca="1">AVERAGE(OFFSET($AM$3,0,0,'Données projet'!$E$10+1,1))-AVERAGE(OFFSET($H$3,0,0,'Données projet'!$E$10+1,1))</f>
        <v>370.42479501931444</v>
      </c>
      <c r="AO67" s="59">
        <f t="shared" si="36"/>
        <v>351.95632347830144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67.578023060022986</v>
      </c>
      <c r="AV67" s="21">
        <f>EXP(-LN(2)/25)*AV66+(1-EXP(-LN(2)/25))/(LN(2)/25)*Calculateur!AQ67*Calculateur!AS67*VLOOKUP('Données projet'!$B$10,Paramètres!$A$1:$I$89,3,0)*0.475*44/12</f>
        <v>42.430165673065574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110.00818873308856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66.652369307167618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1.2617500000000006</v>
      </c>
      <c r="BD67" s="12">
        <f>IF('Données projet'!$A$88&gt;35,BD66+BC67-BL66,IF(A67&lt;'Données projet'!$A$88,$BA$205^A67,IF(A67='Données projet'!$A$88,'Données projet'!$B$88,BD66+BC67-BL66)))</f>
        <v>72.640750000000068</v>
      </c>
      <c r="BE67" s="13">
        <f>BD67*VLOOKUP('Données projet'!$B$11,Paramètres!$A$1:$I$89,3,0)*VLOOKUP('Données projet'!$B$11,Paramètres!$A$1:$I$89,5,0)</f>
        <v>63.458959200000074</v>
      </c>
      <c r="BF67" s="13">
        <f t="shared" si="37"/>
        <v>18.039929291881517</v>
      </c>
      <c r="BG67" s="20">
        <f t="shared" si="7"/>
        <v>141.94389745669375</v>
      </c>
      <c r="BH67" s="59">
        <f t="shared" si="8"/>
        <v>423.00258491630836</v>
      </c>
      <c r="BI67" s="59">
        <f ca="1">AVERAGE(OFFSET($BH$3,0,0,'Données projet'!$E$11+1,1))-AVERAGE(OFFSET($H$3,0,0,'Données projet'!$E$11+1,1))</f>
        <v>128.92423054779167</v>
      </c>
      <c r="BJ67" s="59">
        <f t="shared" si="38"/>
        <v>127.5443711972687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2.3487280874672418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2.3487280874672418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66.652369307167618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9.2524999999999977</v>
      </c>
      <c r="BY67" s="12">
        <f>IF('Données projet'!$A$114&gt;35,BY66+BX67-CG66,IF(A67&lt;'Données projet'!$A$114,$BV$205^A67,IF(A67='Données projet'!$A$114,'Données projet'!$B$114,BY66+BX67-CG66)))</f>
        <v>246.45500000000018</v>
      </c>
      <c r="BZ67" s="13">
        <f>BY67*VLOOKUP('Données projet'!$B$12,Paramètres!$A$1:$I$89,3,0)*VLOOKUP('Données projet'!$B$12,Paramètres!$A$1:$I$89,5,0)</f>
        <v>222.99248400000016</v>
      </c>
      <c r="CA67" s="13">
        <f t="shared" si="39"/>
        <v>54.764775031234961</v>
      </c>
      <c r="CB67" s="20">
        <f t="shared" si="10"/>
        <v>483.76055947940108</v>
      </c>
      <c r="CC67" s="59">
        <f t="shared" si="11"/>
        <v>764.81924693901567</v>
      </c>
      <c r="CD67" s="59">
        <f ca="1">AVERAGE(OFFSET($CC$3,0,0,'Données projet'!$E$12+1,1))-AVERAGE(OFFSET($H$3,0,0,'Données projet'!$E$12+1,1))</f>
        <v>601.17090553269054</v>
      </c>
      <c r="CE67" s="59">
        <f t="shared" si="40"/>
        <v>279.37477930888042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12.233261824087835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12.233261824087835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66.652369307167618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8.5500000000000007</v>
      </c>
      <c r="CT67" s="12">
        <f>IF('Données projet'!$A$140&gt;35,CT66+CS67-DB66,IF(A67&lt;'Données projet'!$A$140,$CQ$205^A67,IF(A67='Données projet'!$A$140,'Données projet'!$B$140,CT66+CS67-DB66)))</f>
        <v>187.21000000000012</v>
      </c>
      <c r="CU67" s="17">
        <f>CT67*VLOOKUP('Données projet'!$B$13,Paramètres!$A$1:$I$89,3,0)*VLOOKUP('Données projet'!$B$13,Paramètres!$A$1:$I$89,5,0)</f>
        <v>178.14903600000011</v>
      </c>
      <c r="CV67" s="13">
        <f t="shared" si="41"/>
        <v>44.910133373659882</v>
      </c>
      <c r="CW67" s="20">
        <f t="shared" si="13"/>
        <v>388.49471999245776</v>
      </c>
      <c r="CX67" s="59">
        <f t="shared" si="14"/>
        <v>669.55340745207241</v>
      </c>
      <c r="CY67" s="59">
        <f ca="1">AVERAGE(OFFSET($CX$3,0,0,'Données projet'!$E$13+1,1))-AVERAGE(OFFSET($H$3,0,0,'Données projet'!$E$13+1,1))</f>
        <v>418.79317359649315</v>
      </c>
      <c r="CZ67" s="59">
        <f t="shared" si="42"/>
        <v>286.46514989661011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12.705560022232881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12.705560022232881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66.652369307167618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66.652369307167618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66.652369307167618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66.652369307167618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66.652369307167618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1.35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0.57798000000000049</v>
      </c>
      <c r="D68" s="11">
        <f t="shared" si="32"/>
        <v>0.2839083883554176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4.9670317352414708</v>
      </c>
      <c r="H68" s="67">
        <f t="shared" ref="H68:H131" si="56">(B68+E68+F68)*44/12+(C68+D68)*0.475*44/12</f>
        <v>225.49778894305234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66.71044321550724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9.2524999999999977</v>
      </c>
      <c r="N68" s="13">
        <f>IF('Données projet'!$A$36&gt;35,N67+M68-V67,IF(A68&lt;'Données projet'!$A$36,$K$205^A68,IF(A68='Données projet'!$A$36,'Données projet'!$B$36,N67+M68-V67)))</f>
        <v>255.70750000000018</v>
      </c>
      <c r="O68" s="13">
        <f>N68*VLOOKUP('Données projet'!$B$9,Paramètres!$A$1:$I$89,3,0)*VLOOKUP('Données projet'!$B$9,Paramètres!$A$1:$I$89,5,0)</f>
        <v>259.28740500000021</v>
      </c>
      <c r="P68" s="13">
        <f t="shared" si="33"/>
        <v>62.570457244776364</v>
      </c>
      <c r="Q68" s="20">
        <f t="shared" si="54"/>
        <v>560.56911007631913</v>
      </c>
      <c r="R68" s="59">
        <f t="shared" si="55"/>
        <v>841.84073519984577</v>
      </c>
      <c r="S68" s="59">
        <f ca="1">AVERAGE(OFFSET($R$3,0,0,'Données projet'!$E$9+1,1))-AVERAGE(OFFSET($H$3,0,0,'Données projet'!$E$9+1,1))</f>
        <v>665.7907881991157</v>
      </c>
      <c r="T68" s="59">
        <f t="shared" si="34"/>
        <v>306.76923535735227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13.440851316940986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13.440851316940986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66.71044321550724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16.050000000000004</v>
      </c>
      <c r="AI68" s="13">
        <f>IF('Données projet'!$A$62&gt;35,AI67+AH68-AQ67,IF(A68&lt;'Données projet'!$A$62,$AF$205^A68,IF(A68='Données projet'!$A$62,'Données projet'!$B$62,AI67+AH68-AQ67)))</f>
        <v>369.48999999999984</v>
      </c>
      <c r="AJ68" s="13">
        <f>AI68*VLOOKUP('Données projet'!$B$10,Paramètres!$A$1:$I$89,3,0)*VLOOKUP('Données projet'!$B$10,Paramètres!$A$1:$I$89,5,0)</f>
        <v>172.92131999999995</v>
      </c>
      <c r="AK68" s="13">
        <f t="shared" si="35"/>
        <v>43.743651873932684</v>
      </c>
      <c r="AL68" s="20">
        <f t="shared" ref="AL68:AL131" si="58">(AJ68+AK68)*0.475*44/12</f>
        <v>377.35815934709927</v>
      </c>
      <c r="AM68" s="59">
        <f t="shared" ref="AM68:AM131" si="59">AL68+(AD68+AE68)*44/12</f>
        <v>658.62978447062585</v>
      </c>
      <c r="AN68" s="59">
        <f ca="1">AVERAGE(OFFSET($AM$3,0,0,'Données projet'!$E$10+1,1))-AVERAGE(OFFSET($H$3,0,0,'Données projet'!$E$10+1,1))</f>
        <v>370.42479501931444</v>
      </c>
      <c r="AO68" s="59">
        <f t="shared" si="36"/>
        <v>351.95632347830144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66.252859246340009</v>
      </c>
      <c r="AV68" s="21">
        <f>EXP(-LN(2)/25)*AV67+(1-EXP(-LN(2)/25))/(LN(2)/25)*Calculateur!AQ68*Calculateur!AS68*VLOOKUP('Données projet'!$B$10,Paramètres!$A$1:$I$89,3,0)*0.475*44/12</f>
        <v>41.269910561430159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107.52276980777017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66.71044321550724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73.902500000000003</v>
      </c>
      <c r="BB68" s="12">
        <f>VLOOKUP(A68,'Données projet'!$A$87:$I$107,9,0)</f>
        <v>1.2617500000000006</v>
      </c>
      <c r="BC68" s="12">
        <f t="array" ref="BC68">INDEX(BB:BB,MIN(IF(ISNUMBER(BB68:BB264),ROW(BB68:BB264),"")))</f>
        <v>1.2617500000000006</v>
      </c>
      <c r="BD68" s="12">
        <f>IF('Données projet'!$A$88&gt;35,BD67+BC68-BL67,IF(A68&lt;'Données projet'!$A$88,$BA$205^A68,IF(A68='Données projet'!$A$88,'Données projet'!$B$88,BD67+BC68-BL67)))</f>
        <v>73.902500000000074</v>
      </c>
      <c r="BE68" s="13">
        <f>BD68*VLOOKUP('Données projet'!$B$11,Paramètres!$A$1:$I$89,3,0)*VLOOKUP('Données projet'!$B$11,Paramètres!$A$1:$I$89,5,0)</f>
        <v>64.561224000000081</v>
      </c>
      <c r="BF68" s="13">
        <f t="shared" si="37"/>
        <v>18.316526051986035</v>
      </c>
      <c r="BG68" s="20">
        <f t="shared" ref="BG68:BG131" si="61">(BE68+BF68)*0.475*44/12</f>
        <v>144.34541467387581</v>
      </c>
      <c r="BH68" s="59">
        <f t="shared" ref="BH68:BH131" si="62">BG68+(AY68+AZ68)*44/12</f>
        <v>425.61703979740241</v>
      </c>
      <c r="BI68" s="59">
        <f ca="1">AVERAGE(OFFSET($BH$3,0,0,'Données projet'!$E$11+1,1))-AVERAGE(OFFSET($H$3,0,0,'Données projet'!$E$11+1,1))</f>
        <v>128.92423054779167</v>
      </c>
      <c r="BJ68" s="59">
        <f t="shared" si="38"/>
        <v>127.5443711972687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3.0642499999999999</v>
      </c>
      <c r="BM68" s="16">
        <f>IF(ISNA(VLOOKUP(A68,'Données projet'!$A$87:$I$107,5,0)),0%,VLOOKUP(A68,'Données projet'!$A$87:$I$107,5,0)*VLOOKUP('Données projet'!$B$11,Paramètres!$A$1:$I$89,7,0))</f>
        <v>0.318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3.2437173901476286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3.2437173901476286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66.71044321550724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9.2524999999999977</v>
      </c>
      <c r="BY68" s="12">
        <f>IF('Données projet'!$A$114&gt;35,BY67+BX68-CG67,IF(A68&lt;'Données projet'!$A$114,$BV$205^A68,IF(A68='Données projet'!$A$114,'Données projet'!$B$114,BY67+BX68-CG67)))</f>
        <v>255.70750000000018</v>
      </c>
      <c r="BZ68" s="13">
        <f>BY68*VLOOKUP('Données projet'!$B$12,Paramètres!$A$1:$I$89,3,0)*VLOOKUP('Données projet'!$B$12,Paramètres!$A$1:$I$89,5,0)</f>
        <v>231.36414600000015</v>
      </c>
      <c r="CA68" s="13">
        <f t="shared" si="39"/>
        <v>56.57754019728695</v>
      </c>
      <c r="CB68" s="20">
        <f t="shared" ref="CB68:CB131" si="64">(BZ68+CA68)*0.475*44/12</f>
        <v>501.49843679360833</v>
      </c>
      <c r="CC68" s="59">
        <f t="shared" ref="CC68:CC131" si="65">CB68+(BT68+BU68)*44/12</f>
        <v>782.77006191713485</v>
      </c>
      <c r="CD68" s="59">
        <f ca="1">AVERAGE(OFFSET($CC$3,0,0,'Données projet'!$E$12+1,1))-AVERAGE(OFFSET($H$3,0,0,'Données projet'!$E$12+1,1))</f>
        <v>601.17090553269054</v>
      </c>
      <c r="CE68" s="59">
        <f t="shared" si="40"/>
        <v>279.37477930888042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11.993375021270419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11.993375021270419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66.71044321550724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8.5500000000000007</v>
      </c>
      <c r="CT68" s="12">
        <f>IF('Données projet'!$A$140&gt;35,CT67+CS68-DB67,IF(A68&lt;'Données projet'!$A$140,$CQ$205^A68,IF(A68='Données projet'!$A$140,'Données projet'!$B$140,CT67+CS68-DB67)))</f>
        <v>195.76000000000013</v>
      </c>
      <c r="CU68" s="17">
        <f>CT68*VLOOKUP('Données projet'!$B$13,Paramètres!$A$1:$I$89,3,0)*VLOOKUP('Données projet'!$B$13,Paramètres!$A$1:$I$89,5,0)</f>
        <v>186.28521600000013</v>
      </c>
      <c r="CV68" s="13">
        <f t="shared" si="41"/>
        <v>46.717725442566177</v>
      </c>
      <c r="CW68" s="20">
        <f t="shared" ref="CW68:CW131" si="67">(CU68+CV68)*0.475*44/12</f>
        <v>405.81345634580293</v>
      </c>
      <c r="CX68" s="59">
        <f t="shared" ref="CX68:CX131" si="68">CW68+(CO68+CP68)*44/12</f>
        <v>687.08508146932945</v>
      </c>
      <c r="CY68" s="59">
        <f ca="1">AVERAGE(OFFSET($CX$3,0,0,'Données projet'!$E$13+1,1))-AVERAGE(OFFSET($H$3,0,0,'Données projet'!$E$13+1,1))</f>
        <v>418.79317359649315</v>
      </c>
      <c r="CZ68" s="59">
        <f t="shared" si="42"/>
        <v>286.46514989661011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12.456411739823295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12.456411739823295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66.71044321550724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66.71044321550724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66.71044321550724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66.71044321550724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66.71044321550724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1.35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0.5868720000000005</v>
      </c>
      <c r="D69" s="11">
        <f t="shared" ref="D69:D132" si="86">IFERROR(EXP(-1.0587+0.8836*LN(C69)+0.284),0)</f>
        <v>0.28776435927944305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4.9680157891373602</v>
      </c>
      <c r="H69" s="67">
        <f t="shared" si="56"/>
        <v>225.51999165907836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66.767509671370988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264.95999999999998</v>
      </c>
      <c r="L69" s="12">
        <f>VLOOKUP(A69,'Données projet'!$A$35:$I$55,9,0)</f>
        <v>9.2524999999999977</v>
      </c>
      <c r="M69" s="12">
        <f t="array" ref="M69">INDEX(L:L,MIN(IF(ISNUMBER(L69:L265),ROW(L69:L265),"")))</f>
        <v>9.2524999999999977</v>
      </c>
      <c r="N69" s="13">
        <f>IF('Données projet'!$A$36&gt;35,N68+M69-V68,IF(A69&lt;'Données projet'!$A$36,$K$205^A69,IF(A69='Données projet'!$A$36,'Données projet'!$B$36,N68+M69-V68)))</f>
        <v>264.96000000000015</v>
      </c>
      <c r="O69" s="13">
        <f>N69*VLOOKUP('Données projet'!$B$9,Paramètres!$A$1:$I$89,3,0)*VLOOKUP('Données projet'!$B$9,Paramètres!$A$1:$I$89,5,0)</f>
        <v>268.66944000000018</v>
      </c>
      <c r="P69" s="13">
        <f t="shared" ref="P69:P132" si="87">EXP(-1.0587+0.8836*LN(O69)+0.284)</f>
        <v>64.566809737006352</v>
      </c>
      <c r="Q69" s="20">
        <f t="shared" si="54"/>
        <v>580.38646829195295</v>
      </c>
      <c r="R69" s="59">
        <f t="shared" si="55"/>
        <v>861.86733708697989</v>
      </c>
      <c r="S69" s="59">
        <f ca="1">AVERAGE(OFFSET($R$3,0,0,'Données projet'!$E$9+1,1))-AVERAGE(OFFSET($H$3,0,0,'Données projet'!$E$9+1,1))</f>
        <v>665.7907881991157</v>
      </c>
      <c r="T69" s="59">
        <f t="shared" ref="T69:T132" si="88">$T$3</f>
        <v>306.76923535735227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49.91</v>
      </c>
      <c r="W69" s="16">
        <f>IF(ISNA(VLOOKUP(A69,'Données projet'!$A$35:$I$55,5,0)),0%,VLOOKUP(A69,'Données projet'!$A$35:$I$55,5,0)*VLOOKUP('Données projet'!$B$9,Paramètres!$A$1:$I$89,7,0))</f>
        <v>0.25800000000000001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27.611471878720558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27.611471878720558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66.767509671370988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16.050000000000004</v>
      </c>
      <c r="AI69" s="13">
        <f>IF('Données projet'!$A$62&gt;35,AI68+AH69-AQ68,IF(A69&lt;'Données projet'!$A$62,$AF$205^A69,IF(A69='Données projet'!$A$62,'Données projet'!$B$62,AI68+AH69-AQ68)))</f>
        <v>385.53999999999985</v>
      </c>
      <c r="AJ69" s="13">
        <f>AI69*VLOOKUP('Données projet'!$B$10,Paramètres!$A$1:$I$89,3,0)*VLOOKUP('Données projet'!$B$10,Paramètres!$A$1:$I$89,5,0)</f>
        <v>180.43271999999993</v>
      </c>
      <c r="AK69" s="13">
        <f t="shared" ref="AK69:AK132" si="89">EXP(-1.0587+0.8836*LN(AJ69)+0.284)</f>
        <v>45.418444936488953</v>
      </c>
      <c r="AL69" s="20">
        <f t="shared" si="58"/>
        <v>393.35744559771814</v>
      </c>
      <c r="AM69" s="59">
        <f t="shared" si="59"/>
        <v>674.83831439274513</v>
      </c>
      <c r="AN69" s="59">
        <f ca="1">AVERAGE(OFFSET($AM$3,0,0,'Données projet'!$E$10+1,1))-AVERAGE(OFFSET($H$3,0,0,'Données projet'!$E$10+1,1))</f>
        <v>370.42479501931444</v>
      </c>
      <c r="AO69" s="59">
        <f t="shared" ref="AO69:AO132" si="90">$AO$3</f>
        <v>351.95632347830144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64.953681086773244</v>
      </c>
      <c r="AV69" s="21">
        <f>EXP(-LN(2)/25)*AV68+(1-EXP(-LN(2)/25))/(LN(2)/25)*Calculateur!AQ69*Calculateur!AS69*VLOOKUP('Données projet'!$B$10,Paramètres!$A$1:$I$89,3,0)*0.475*44/12</f>
        <v>40.141382686837581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105.09506377361083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66.767509671370988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1.0814999999999997</v>
      </c>
      <c r="BD69" s="12">
        <f>IF('Données projet'!$A$88&gt;35,BD68+BC69-BL68,IF(A69&lt;'Données projet'!$A$88,$BA$205^A69,IF(A69='Données projet'!$A$88,'Données projet'!$B$88,BD68+BC69-BL68)))</f>
        <v>71.919750000000079</v>
      </c>
      <c r="BE69" s="13">
        <f>BD69*VLOOKUP('Données projet'!$B$11,Paramètres!$A$1:$I$89,3,0)*VLOOKUP('Données projet'!$B$11,Paramètres!$A$1:$I$89,5,0)</f>
        <v>62.829093600000071</v>
      </c>
      <c r="BF69" s="13">
        <f t="shared" ref="BF69:BF132" si="91">EXP(-1.0587+0.8836*LN(BE69)+0.284)</f>
        <v>17.881623348653928</v>
      </c>
      <c r="BG69" s="20">
        <f t="shared" si="61"/>
        <v>140.57116535223903</v>
      </c>
      <c r="BH69" s="59">
        <f t="shared" si="62"/>
        <v>422.052034147266</v>
      </c>
      <c r="BI69" s="59">
        <f ca="1">AVERAGE(OFFSET($BH$3,0,0,'Données projet'!$E$11+1,1))-AVERAGE(OFFSET($H$3,0,0,'Données projet'!$E$11+1,1))</f>
        <v>128.92423054779167</v>
      </c>
      <c r="BJ69" s="59">
        <f t="shared" ref="BJ69:BJ132" si="92">$BJ$3</f>
        <v>127.5443711972687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3.1801100705990839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3.1801100705990839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66.767509671370988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264.95999999999998</v>
      </c>
      <c r="BW69" s="12">
        <f>VLOOKUP(A69,'Données projet'!$A$113:$I$133,9,0)</f>
        <v>9.2524999999999977</v>
      </c>
      <c r="BX69" s="12">
        <f t="array" ref="BX69">INDEX(BW:BW,MIN(IF(ISNUMBER(BW69:BW265),ROW(BW69:BW265),"")))</f>
        <v>9.2524999999999977</v>
      </c>
      <c r="BY69" s="12">
        <f>IF('Données projet'!$A$114&gt;35,BY68+BX69-CG68,IF(A69&lt;'Données projet'!$A$114,$BV$205^A69,IF(A69='Données projet'!$A$114,'Données projet'!$B$114,BY68+BX69-CG68)))</f>
        <v>264.96000000000015</v>
      </c>
      <c r="BZ69" s="13">
        <f>BY69*VLOOKUP('Données projet'!$B$12,Paramètres!$A$1:$I$89,3,0)*VLOOKUP('Données projet'!$B$12,Paramètres!$A$1:$I$89,5,0)</f>
        <v>239.73580800000011</v>
      </c>
      <c r="CA69" s="13">
        <f t="shared" ref="CA69:CA132" si="93">EXP(-1.0587+0.8836*LN(BZ69)+0.284)</f>
        <v>58.38268464325516</v>
      </c>
      <c r="CB69" s="20">
        <f t="shared" si="64"/>
        <v>519.22304135366949</v>
      </c>
      <c r="CC69" s="59">
        <f t="shared" si="65"/>
        <v>800.70391014869642</v>
      </c>
      <c r="CD69" s="59">
        <f ca="1">AVERAGE(OFFSET($CC$3,0,0,'Données projet'!$E$12+1,1))-AVERAGE(OFFSET($H$3,0,0,'Données projet'!$E$12+1,1))</f>
        <v>601.17090553269054</v>
      </c>
      <c r="CE69" s="59">
        <f t="shared" ref="CE69:CE132" si="94">$CE$3</f>
        <v>279.37477930888042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49.91</v>
      </c>
      <c r="CH69" s="16">
        <f>IF(ISNA(VLOOKUP(A69,'Données projet'!$A$113:$I$133,5,0)),0%,VLOOKUP(A69,'Données projet'!$A$113:$I$133,5,0)*VLOOKUP('Données projet'!$B$12,Paramètres!$A$1:$I$89,7,0))</f>
        <v>0.25800000000000001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24.637928753319876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24.637928753319876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66.767509671370988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8.5500000000000007</v>
      </c>
      <c r="CT69" s="12">
        <f>IF('Données projet'!$A$140&gt;35,CT68+CS69-DB68,IF(A69&lt;'Données projet'!$A$140,$CQ$205^A69,IF(A69='Données projet'!$A$140,'Données projet'!$B$140,CT68+CS69-DB68)))</f>
        <v>204.31000000000014</v>
      </c>
      <c r="CU69" s="17">
        <f>CT69*VLOOKUP('Données projet'!$B$13,Paramètres!$A$1:$I$89,3,0)*VLOOKUP('Données projet'!$B$13,Paramètres!$A$1:$I$89,5,0)</f>
        <v>194.42139600000013</v>
      </c>
      <c r="CV69" s="13">
        <f t="shared" ref="CV69:CV132" si="95">EXP(-1.0587+0.8836*LN(CU69)+0.284)</f>
        <v>48.516148174866082</v>
      </c>
      <c r="CW69" s="20">
        <f t="shared" si="67"/>
        <v>423.1162227712253</v>
      </c>
      <c r="CX69" s="59">
        <f t="shared" si="68"/>
        <v>704.59709156625217</v>
      </c>
      <c r="CY69" s="59">
        <f ca="1">AVERAGE(OFFSET($CX$3,0,0,'Données projet'!$E$13+1,1))-AVERAGE(OFFSET($H$3,0,0,'Données projet'!$E$13+1,1))</f>
        <v>418.79317359649315</v>
      </c>
      <c r="CZ69" s="59">
        <f t="shared" ref="CZ69:CZ132" si="96">$CZ$3</f>
        <v>286.46514989661011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12.212149103266315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12.212149103266315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66.767509671370988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66.767509671370988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66.767509671370988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66.767509671370988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66.767509671370988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1.35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0.59576400000000052</v>
      </c>
      <c r="D70" s="11">
        <f t="shared" si="86"/>
        <v>0.29161353539135482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4.9689993185214378</v>
      </c>
      <c r="H70" s="67">
        <f t="shared" si="56"/>
        <v>225.54218254080661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66.823586151806964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8.8662500000000044</v>
      </c>
      <c r="N70" s="13">
        <f>IF('Données projet'!$A$36&gt;35,N69+M70-V69,IF(A70&lt;'Données projet'!$A$36,$K$205^A70,IF(A70='Données projet'!$A$36,'Données projet'!$B$36,N69+M70-V69)))</f>
        <v>223.91625000000013</v>
      </c>
      <c r="O70" s="13">
        <f>N70*VLOOKUP('Données projet'!$B$9,Paramètres!$A$1:$I$89,3,0)*VLOOKUP('Données projet'!$B$9,Paramètres!$A$1:$I$89,5,0)</f>
        <v>227.05107750000016</v>
      </c>
      <c r="P70" s="13">
        <f t="shared" si="87"/>
        <v>55.644577455036639</v>
      </c>
      <c r="Q70" s="20">
        <f t="shared" si="54"/>
        <v>492.36159904668904</v>
      </c>
      <c r="R70" s="59">
        <f t="shared" si="55"/>
        <v>774.04808160331459</v>
      </c>
      <c r="S70" s="59">
        <f ca="1">AVERAGE(OFFSET($R$3,0,0,'Données projet'!$E$9+1,1))-AVERAGE(OFFSET($H$3,0,0,'Données projet'!$E$9+1,1))</f>
        <v>665.7907881991157</v>
      </c>
      <c r="T70" s="59">
        <f t="shared" si="88"/>
        <v>306.76923535735227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27.070027756513749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27.070027756513749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66.823586151806964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16.050000000000004</v>
      </c>
      <c r="AI70" s="13">
        <f>IF('Données projet'!$A$62&gt;35,AI69+AH70-AQ69,IF(A70&lt;'Données projet'!$A$62,$AF$205^A70,IF(A70='Données projet'!$A$62,'Données projet'!$B$62,AI69+AH70-AQ69)))</f>
        <v>401.58999999999986</v>
      </c>
      <c r="AJ70" s="13">
        <f>AI70*VLOOKUP('Données projet'!$B$10,Paramètres!$A$1:$I$89,3,0)*VLOOKUP('Données projet'!$B$10,Paramètres!$A$1:$I$89,5,0)</f>
        <v>187.94411999999991</v>
      </c>
      <c r="AK70" s="13">
        <f t="shared" si="89"/>
        <v>47.085139576843218</v>
      </c>
      <c r="AL70" s="20">
        <f t="shared" si="58"/>
        <v>409.34262709633504</v>
      </c>
      <c r="AM70" s="59">
        <f t="shared" si="59"/>
        <v>691.02910965296064</v>
      </c>
      <c r="AN70" s="59">
        <f ca="1">AVERAGE(OFFSET($AM$3,0,0,'Données projet'!$E$10+1,1))-AVERAGE(OFFSET($H$3,0,0,'Données projet'!$E$10+1,1))</f>
        <v>370.42479501931444</v>
      </c>
      <c r="AO70" s="59">
        <f t="shared" si="90"/>
        <v>351.95632347830144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63.679979018495146</v>
      </c>
      <c r="AV70" s="21">
        <f>EXP(-LN(2)/25)*AV69+(1-EXP(-LN(2)/25))/(LN(2)/25)*Calculateur!AQ70*Calculateur!AS70*VLOOKUP('Données projet'!$B$10,Paramètres!$A$1:$I$89,3,0)*0.475*44/12</f>
        <v>39.043714466322434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102.72369348481757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66.823586151806964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1.0814999999999997</v>
      </c>
      <c r="BD70" s="12">
        <f>IF('Données projet'!$A$88&gt;35,BD69+BC70-BL69,IF(A70&lt;'Données projet'!$A$88,$BA$205^A70,IF(A70='Données projet'!$A$88,'Données projet'!$B$88,BD69+BC70-BL69)))</f>
        <v>73.001250000000084</v>
      </c>
      <c r="BE70" s="13">
        <f>BD70*VLOOKUP('Données projet'!$B$11,Paramètres!$A$1:$I$89,3,0)*VLOOKUP('Données projet'!$B$11,Paramètres!$A$1:$I$89,5,0)</f>
        <v>63.773892000000089</v>
      </c>
      <c r="BF70" s="13">
        <f t="shared" si="91"/>
        <v>18.119013589496291</v>
      </c>
      <c r="BG70" s="20">
        <f t="shared" si="61"/>
        <v>142.63014390170619</v>
      </c>
      <c r="BH70" s="59">
        <f t="shared" si="62"/>
        <v>424.31662645833171</v>
      </c>
      <c r="BI70" s="59">
        <f ca="1">AVERAGE(OFFSET($BH$3,0,0,'Données projet'!$E$11+1,1))-AVERAGE(OFFSET($H$3,0,0,'Données projet'!$E$11+1,1))</f>
        <v>128.92423054779167</v>
      </c>
      <c r="BJ70" s="59">
        <f t="shared" si="92"/>
        <v>127.5443711972687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3.1177500517902517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3.1177500517902517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66.823586151806964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8.8662500000000044</v>
      </c>
      <c r="BY70" s="12">
        <f>IF('Données projet'!$A$114&gt;35,BY69+BX70-CG69,IF(A70&lt;'Données projet'!$A$114,$BV$205^A70,IF(A70='Données projet'!$A$114,'Données projet'!$B$114,BY69+BX70-CG69)))</f>
        <v>223.91625000000013</v>
      </c>
      <c r="BZ70" s="13">
        <f>BY70*VLOOKUP('Données projet'!$B$12,Paramètres!$A$1:$I$89,3,0)*VLOOKUP('Données projet'!$B$12,Paramètres!$A$1:$I$89,5,0)</f>
        <v>202.59942300000012</v>
      </c>
      <c r="CA70" s="13">
        <f t="shared" si="93"/>
        <v>50.315012169520465</v>
      </c>
      <c r="CB70" s="20">
        <f t="shared" si="64"/>
        <v>440.49264125358167</v>
      </c>
      <c r="CC70" s="59">
        <f t="shared" si="65"/>
        <v>722.17912381020722</v>
      </c>
      <c r="CD70" s="59">
        <f ca="1">AVERAGE(OFFSET($CC$3,0,0,'Données projet'!$E$12+1,1))-AVERAGE(OFFSET($H$3,0,0,'Données projet'!$E$12+1,1))</f>
        <v>601.17090553269054</v>
      </c>
      <c r="CE70" s="59">
        <f t="shared" si="94"/>
        <v>279.37477930888042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24.154793998119956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24.154793998119956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66.823586151806964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projet'!$A$139:$I$159,2,0)</f>
        <v>212.86</v>
      </c>
      <c r="CR70" s="12">
        <f>VLOOKUP(A70,'Données projet'!$A$139:$I$159,9,0)</f>
        <v>8.5500000000000007</v>
      </c>
      <c r="CS70" s="12">
        <f t="array" ref="CS70">INDEX(CR:CR,MIN(IF(ISNUMBER(CR70:CR266),ROW(CR70:CR266),"")))</f>
        <v>8.5500000000000007</v>
      </c>
      <c r="CT70" s="12">
        <f>IF('Données projet'!$A$140&gt;35,CT69+CS70-DB69,IF(A70&lt;'Données projet'!$A$140,$CQ$205^A70,IF(A70='Données projet'!$A$140,'Données projet'!$B$140,CT69+CS70-DB69)))</f>
        <v>212.86000000000016</v>
      </c>
      <c r="CU70" s="17">
        <f>CT70*VLOOKUP('Données projet'!$B$13,Paramètres!$A$1:$I$89,3,0)*VLOOKUP('Données projet'!$B$13,Paramètres!$A$1:$I$89,5,0)</f>
        <v>202.55757600000015</v>
      </c>
      <c r="CV70" s="13">
        <f t="shared" si="95"/>
        <v>50.305829168444113</v>
      </c>
      <c r="CW70" s="20">
        <f t="shared" si="67"/>
        <v>440.40376400170709</v>
      </c>
      <c r="CX70" s="59">
        <f t="shared" si="68"/>
        <v>722.09024655833264</v>
      </c>
      <c r="CY70" s="59">
        <f ca="1">AVERAGE(OFFSET($CX$3,0,0,'Données projet'!$E$13+1,1))-AVERAGE(OFFSET($H$3,0,0,'Données projet'!$E$13+1,1))</f>
        <v>418.79317359649315</v>
      </c>
      <c r="CZ70" s="59">
        <f t="shared" si="96"/>
        <v>286.46514989661011</v>
      </c>
      <c r="DA70" s="15">
        <f>IF(ISNA(VLOOKUP(A70,'Données projet'!$A$139:$I$159,3,0)),0,VLOOKUP(A70,'Données projet'!$A$139:$I$159,3,0))</f>
        <v>5</v>
      </c>
      <c r="DB70" s="15">
        <f>IF(ISNA(VLOOKUP(A70,'Données projet'!$A$139:$I$159,4,0)),0,VLOOKUP(A70,'Données projet'!$A$139:$I$159,4,0))</f>
        <v>38.229999999999997</v>
      </c>
      <c r="DC70" s="16">
        <f>IF(ISNA(VLOOKUP(A70,'Données projet'!$A$139:$I$159,5,0)),0%,VLOOKUP(A70,'Données projet'!$A$139:$I$159,5,0)*VLOOKUP('Données projet'!$B$13,Paramètres!$A$1:$I$89,7,0))</f>
        <v>0.25800000000000001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22.348570818967342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22.348570818967342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66.823586151806964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66.823586151806964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66.823586151806964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66.823586151806964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66.823586151806964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1.35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0.60465600000000053</v>
      </c>
      <c r="D71" s="11">
        <f t="shared" si="86"/>
        <v>0.29545602982114239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4.9699823321265448</v>
      </c>
      <c r="H71" s="67">
        <f t="shared" si="56"/>
        <v>225.56436178527181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66.878689830675626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8.8662500000000044</v>
      </c>
      <c r="N71" s="13">
        <f>IF('Données projet'!$A$36&gt;35,N70+M71-V70,IF(A71&lt;'Données projet'!$A$36,$K$205^A71,IF(A71='Données projet'!$A$36,'Données projet'!$B$36,N70+M71-V70)))</f>
        <v>232.78250000000014</v>
      </c>
      <c r="O71" s="13">
        <f>N71*VLOOKUP('Données projet'!$B$9,Paramètres!$A$1:$I$89,3,0)*VLOOKUP('Données projet'!$B$9,Paramètres!$A$1:$I$89,5,0)</f>
        <v>236.04145500000016</v>
      </c>
      <c r="P71" s="13">
        <f t="shared" si="87"/>
        <v>57.587007592056594</v>
      </c>
      <c r="Q71" s="20">
        <f t="shared" si="54"/>
        <v>511.40290568116535</v>
      </c>
      <c r="R71" s="59">
        <f t="shared" si="55"/>
        <v>793.29143506030937</v>
      </c>
      <c r="S71" s="59">
        <f ca="1">AVERAGE(OFFSET($R$3,0,0,'Données projet'!$E$9+1,1))-AVERAGE(OFFSET($H$3,0,0,'Données projet'!$E$9+1,1))</f>
        <v>665.7907881991157</v>
      </c>
      <c r="T71" s="59">
        <f t="shared" si="88"/>
        <v>306.76923535735227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26.53920102329511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26.53920102329511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66.878689830675626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16.050000000000004</v>
      </c>
      <c r="AI71" s="13">
        <f>IF('Données projet'!$A$62&gt;35,AI70+AH71-AQ70,IF(A71&lt;'Données projet'!$A$62,$AF$205^A71,IF(A71='Données projet'!$A$62,'Données projet'!$B$62,AI70+AH71-AQ70)))</f>
        <v>417.63999999999987</v>
      </c>
      <c r="AJ71" s="13">
        <f>AI71*VLOOKUP('Données projet'!$B$10,Paramètres!$A$1:$I$89,3,0)*VLOOKUP('Données projet'!$B$10,Paramètres!$A$1:$I$89,5,0)</f>
        <v>195.45551999999995</v>
      </c>
      <c r="AK71" s="13">
        <f t="shared" si="89"/>
        <v>48.744096488454666</v>
      </c>
      <c r="AL71" s="20">
        <f t="shared" si="58"/>
        <v>425.31433205072511</v>
      </c>
      <c r="AM71" s="59">
        <f t="shared" si="59"/>
        <v>707.20286142986902</v>
      </c>
      <c r="AN71" s="59">
        <f ca="1">AVERAGE(OFFSET($AM$3,0,0,'Données projet'!$E$10+1,1))-AVERAGE(OFFSET($H$3,0,0,'Données projet'!$E$10+1,1))</f>
        <v>370.42479501931444</v>
      </c>
      <c r="AO71" s="59">
        <f t="shared" si="90"/>
        <v>351.95632347830144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62.431253470894433</v>
      </c>
      <c r="AV71" s="21">
        <f>EXP(-LN(2)/25)*AV70+(1-EXP(-LN(2)/25))/(LN(2)/25)*Calculateur!AQ71*Calculateur!AS71*VLOOKUP('Données projet'!$B$10,Paramètres!$A$1:$I$89,3,0)*0.475*44/12</f>
        <v>37.976062041021137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100.40731551191557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66.878689830675626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1.0814999999999997</v>
      </c>
      <c r="BD71" s="12">
        <f>IF('Données projet'!$A$88&gt;35,BD70+BC71-BL70,IF(A71&lt;'Données projet'!$A$88,$BA$205^A71,IF(A71='Données projet'!$A$88,'Données projet'!$B$88,BD70+BC71-BL70)))</f>
        <v>74.08275000000009</v>
      </c>
      <c r="BE71" s="13">
        <f>BD71*VLOOKUP('Données projet'!$B$11,Paramètres!$A$1:$I$89,3,0)*VLOOKUP('Données projet'!$B$11,Paramètres!$A$1:$I$89,5,0)</f>
        <v>64.718690400000085</v>
      </c>
      <c r="BF71" s="13">
        <f t="shared" si="91"/>
        <v>18.355994800998367</v>
      </c>
      <c r="BG71" s="20">
        <f t="shared" si="61"/>
        <v>144.68841005840565</v>
      </c>
      <c r="BH71" s="59">
        <f t="shared" si="62"/>
        <v>426.57693943754964</v>
      </c>
      <c r="BI71" s="59">
        <f ca="1">AVERAGE(OFFSET($BH$3,0,0,'Données projet'!$E$11+1,1))-AVERAGE(OFFSET($H$3,0,0,'Données projet'!$E$11+1,1))</f>
        <v>128.92423054779167</v>
      </c>
      <c r="BJ71" s="59">
        <f t="shared" si="92"/>
        <v>127.5443711972687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3.0566128749144053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3.0566128749144053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66.878689830675626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8.8662500000000044</v>
      </c>
      <c r="BY71" s="12">
        <f>IF('Données projet'!$A$114&gt;35,BY70+BX71-CG70,IF(A71&lt;'Données projet'!$A$114,$BV$205^A71,IF(A71='Données projet'!$A$114,'Données projet'!$B$114,BY70+BX71-CG70)))</f>
        <v>232.78250000000014</v>
      </c>
      <c r="BZ71" s="13">
        <f>BY71*VLOOKUP('Données projet'!$B$12,Paramètres!$A$1:$I$89,3,0)*VLOOKUP('Données projet'!$B$12,Paramètres!$A$1:$I$89,5,0)</f>
        <v>210.62160600000013</v>
      </c>
      <c r="CA71" s="13">
        <f t="shared" si="93"/>
        <v>52.071398873356536</v>
      </c>
      <c r="CB71" s="20">
        <f t="shared" si="64"/>
        <v>457.5236501544295</v>
      </c>
      <c r="CC71" s="59">
        <f t="shared" si="65"/>
        <v>739.41217953357341</v>
      </c>
      <c r="CD71" s="59">
        <f ca="1">AVERAGE(OFFSET($CC$3,0,0,'Données projet'!$E$12+1,1))-AVERAGE(OFFSET($H$3,0,0,'Données projet'!$E$12+1,1))</f>
        <v>601.17090553269054</v>
      </c>
      <c r="CE71" s="59">
        <f t="shared" si="94"/>
        <v>279.37477930888042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23.681133220786403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23.681133220786403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66.878689830675626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8.4087499999999977</v>
      </c>
      <c r="CT71" s="12">
        <f>IF('Données projet'!$A$140&gt;35,CT70+CS71-DB70,IF(A71&lt;'Données projet'!$A$140,$CQ$205^A71,IF(A71='Données projet'!$A$140,'Données projet'!$B$140,CT70+CS71-DB70)))</f>
        <v>183.03875000000016</v>
      </c>
      <c r="CU71" s="17">
        <f>CT71*VLOOKUP('Données projet'!$B$13,Paramètres!$A$1:$I$89,3,0)*VLOOKUP('Données projet'!$B$13,Paramètres!$A$1:$I$89,5,0)</f>
        <v>174.17967450000017</v>
      </c>
      <c r="CV71" s="13">
        <f t="shared" si="95"/>
        <v>44.024804232969878</v>
      </c>
      <c r="CW71" s="20">
        <f t="shared" si="67"/>
        <v>380.03946712658944</v>
      </c>
      <c r="CX71" s="59">
        <f t="shared" si="68"/>
        <v>661.9279965057334</v>
      </c>
      <c r="CY71" s="59">
        <f ca="1">AVERAGE(OFFSET($CX$3,0,0,'Données projet'!$E$13+1,1))-AVERAGE(OFFSET($H$3,0,0,'Données projet'!$E$13+1,1))</f>
        <v>418.79317359649315</v>
      </c>
      <c r="CZ71" s="59">
        <f t="shared" si="96"/>
        <v>286.46514989661011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21.910328976489616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21.910328976489616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66.878689830675626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66.878689830675626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66.878689830675626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66.878689830675626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66.878689830675626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1.35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0.61354800000000054</v>
      </c>
      <c r="D72" s="11">
        <f t="shared" si="86"/>
        <v>0.29929195218042415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4.970964838413928</v>
      </c>
      <c r="H72" s="67">
        <f t="shared" si="56"/>
        <v>225.58652958338092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66.932837583909276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8.8662500000000044</v>
      </c>
      <c r="N72" s="13">
        <f>IF('Données projet'!$A$36&gt;35,N71+M72-V71,IF(A72&lt;'Données projet'!$A$36,$K$205^A72,IF(A72='Données projet'!$A$36,'Données projet'!$B$36,N71+M72-V71)))</f>
        <v>241.64875000000015</v>
      </c>
      <c r="O72" s="13">
        <f>N72*VLOOKUP('Données projet'!$B$9,Paramètres!$A$1:$I$89,3,0)*VLOOKUP('Données projet'!$B$9,Paramètres!$A$1:$I$89,5,0)</f>
        <v>245.03183250000018</v>
      </c>
      <c r="P72" s="13">
        <f t="shared" si="87"/>
        <v>59.520842912770703</v>
      </c>
      <c r="Q72" s="20">
        <f t="shared" si="54"/>
        <v>530.42924301057599</v>
      </c>
      <c r="R72" s="59">
        <f t="shared" si="55"/>
        <v>812.51631415157658</v>
      </c>
      <c r="S72" s="59">
        <f ca="1">AVERAGE(OFFSET($R$3,0,0,'Données projet'!$E$9+1,1))-AVERAGE(OFFSET($H$3,0,0,'Données projet'!$E$9+1,1))</f>
        <v>665.7907881991157</v>
      </c>
      <c r="T72" s="59">
        <f t="shared" si="88"/>
        <v>306.76923535735227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26.018783478542552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26.018783478542552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66.932837583909276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16.050000000000004</v>
      </c>
      <c r="AI72" s="13">
        <f>IF('Données projet'!$A$62&gt;35,AI71+AH72-AQ71,IF(A72&lt;'Données projet'!$A$62,$AF$205^A72,IF(A72='Données projet'!$A$62,'Données projet'!$B$62,AI71+AH72-AQ71)))</f>
        <v>433.68999999999988</v>
      </c>
      <c r="AJ72" s="13">
        <f>AI72*VLOOKUP('Données projet'!$B$10,Paramètres!$A$1:$I$89,3,0)*VLOOKUP('Données projet'!$B$10,Paramètres!$A$1:$I$89,5,0)</f>
        <v>202.96691999999993</v>
      </c>
      <c r="AK72" s="13">
        <f t="shared" si="89"/>
        <v>50.395647071710499</v>
      </c>
      <c r="AL72" s="20">
        <f t="shared" si="58"/>
        <v>441.27313764989566</v>
      </c>
      <c r="AM72" s="59">
        <f t="shared" si="59"/>
        <v>723.36020879089631</v>
      </c>
      <c r="AN72" s="59">
        <f ca="1">AVERAGE(OFFSET($AM$3,0,0,'Données projet'!$E$10+1,1))-AVERAGE(OFFSET($H$3,0,0,'Données projet'!$E$10+1,1))</f>
        <v>370.42479501931444</v>
      </c>
      <c r="AO72" s="59">
        <f t="shared" si="90"/>
        <v>351.95632347830144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61.207014669634788</v>
      </c>
      <c r="AV72" s="21">
        <f>EXP(-LN(2)/25)*AV71+(1-EXP(-LN(2)/25))/(LN(2)/25)*Calculateur!AQ72*Calculateur!AS72*VLOOKUP('Données projet'!$B$10,Paramètres!$A$1:$I$89,3,0)*0.475*44/12</f>
        <v>36.937604627435107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98.144619297069895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66.932837583909276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1.0814999999999997</v>
      </c>
      <c r="BD72" s="12">
        <f>IF('Données projet'!$A$88&gt;35,BD71+BC72-BL71,IF(A72&lt;'Données projet'!$A$88,$BA$205^A72,IF(A72='Données projet'!$A$88,'Données projet'!$B$88,BD71+BC72-BL71)))</f>
        <v>75.164250000000095</v>
      </c>
      <c r="BE72" s="13">
        <f>BD72*VLOOKUP('Données projet'!$B$11,Paramètres!$A$1:$I$89,3,0)*VLOOKUP('Données projet'!$B$11,Paramètres!$A$1:$I$89,5,0)</f>
        <v>65.663488800000096</v>
      </c>
      <c r="BF72" s="13">
        <f t="shared" si="91"/>
        <v>18.592573644258348</v>
      </c>
      <c r="BG72" s="20">
        <f t="shared" si="61"/>
        <v>146.74597542375011</v>
      </c>
      <c r="BH72" s="59">
        <f t="shared" si="62"/>
        <v>428.83304656475076</v>
      </c>
      <c r="BI72" s="59">
        <f ca="1">AVERAGE(OFFSET($BH$3,0,0,'Données projet'!$E$11+1,1))-AVERAGE(OFFSET($H$3,0,0,'Données projet'!$E$11+1,1))</f>
        <v>128.92423054779167</v>
      </c>
      <c r="BJ72" s="59">
        <f t="shared" si="92"/>
        <v>127.5443711972687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2.9966745607870982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2.9966745607870982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66.932837583909276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8.8662500000000044</v>
      </c>
      <c r="BY72" s="12">
        <f>IF('Données projet'!$A$114&gt;35,BY71+BX72-CG71,IF(A72&lt;'Données projet'!$A$114,$BV$205^A72,IF(A72='Données projet'!$A$114,'Données projet'!$B$114,BY71+BX72-CG71)))</f>
        <v>241.64875000000015</v>
      </c>
      <c r="BZ72" s="13">
        <f>BY72*VLOOKUP('Données projet'!$B$12,Paramètres!$A$1:$I$89,3,0)*VLOOKUP('Données projet'!$B$12,Paramètres!$A$1:$I$89,5,0)</f>
        <v>218.64378900000014</v>
      </c>
      <c r="CA72" s="13">
        <f t="shared" si="93"/>
        <v>53.820013961218514</v>
      </c>
      <c r="CB72" s="20">
        <f t="shared" si="64"/>
        <v>474.54112349078923</v>
      </c>
      <c r="CC72" s="59">
        <f t="shared" si="65"/>
        <v>756.62819463178994</v>
      </c>
      <c r="CD72" s="59">
        <f ca="1">AVERAGE(OFFSET($CC$3,0,0,'Données projet'!$E$12+1,1))-AVERAGE(OFFSET($H$3,0,0,'Données projet'!$E$12+1,1))</f>
        <v>601.17090553269054</v>
      </c>
      <c r="CE72" s="59">
        <f t="shared" si="94"/>
        <v>279.37477930888042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23.216760642391815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23.216760642391815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66.932837583909276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8.4087499999999977</v>
      </c>
      <c r="CT72" s="12">
        <f>IF('Données projet'!$A$140&gt;35,CT71+CS72-DB71,IF(A72&lt;'Données projet'!$A$140,$CQ$205^A72,IF(A72='Données projet'!$A$140,'Données projet'!$B$140,CT71+CS72-DB71)))</f>
        <v>191.44750000000016</v>
      </c>
      <c r="CU72" s="17">
        <f>CT72*VLOOKUP('Données projet'!$B$13,Paramètres!$A$1:$I$89,3,0)*VLOOKUP('Données projet'!$B$13,Paramètres!$A$1:$I$89,5,0)</f>
        <v>182.18144100000015</v>
      </c>
      <c r="CV72" s="13">
        <f t="shared" si="95"/>
        <v>45.807175813038072</v>
      </c>
      <c r="CW72" s="20">
        <f t="shared" si="67"/>
        <v>397.08017428270824</v>
      </c>
      <c r="CX72" s="59">
        <f t="shared" si="68"/>
        <v>679.16724542370889</v>
      </c>
      <c r="CY72" s="59">
        <f ca="1">AVERAGE(OFFSET($CX$3,0,0,'Données projet'!$E$13+1,1))-AVERAGE(OFFSET($H$3,0,0,'Données projet'!$E$13+1,1))</f>
        <v>418.79317359649315</v>
      </c>
      <c r="CZ72" s="59">
        <f t="shared" si="96"/>
        <v>286.46514989661011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21.480680789241745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21.480680789241745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66.932837583909276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66.932837583909276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66.932837583909276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66.932837583909276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66.932837583909276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1.35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0.62244000000000055</v>
      </c>
      <c r="D73" s="11">
        <f t="shared" si="86"/>
        <v>0.3031214087212436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4.9719468455854994</v>
      </c>
      <c r="H73" s="67">
        <f t="shared" si="56"/>
        <v>225.6086861201895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66.986045994680552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8.8662500000000044</v>
      </c>
      <c r="N73" s="13">
        <f>IF('Données projet'!$A$36&gt;35,N72+M73-V72,IF(A73&lt;'Données projet'!$A$36,$K$205^A73,IF(A73='Données projet'!$A$36,'Données projet'!$B$36,N72+M73-V72)))</f>
        <v>250.51500000000016</v>
      </c>
      <c r="O73" s="13">
        <f>N73*VLOOKUP('Données projet'!$B$9,Paramètres!$A$1:$I$89,3,0)*VLOOKUP('Données projet'!$B$9,Paramètres!$A$1:$I$89,5,0)</f>
        <v>254.02221000000017</v>
      </c>
      <c r="P73" s="13">
        <f t="shared" si="87"/>
        <v>61.446434882983361</v>
      </c>
      <c r="Q73" s="20">
        <f t="shared" si="54"/>
        <v>549.44122317119627</v>
      </c>
      <c r="R73" s="59">
        <f t="shared" si="55"/>
        <v>831.72339181835832</v>
      </c>
      <c r="S73" s="59">
        <f ca="1">AVERAGE(OFFSET($R$3,0,0,'Données projet'!$E$9+1,1))-AVERAGE(OFFSET($H$3,0,0,'Données projet'!$E$9+1,1))</f>
        <v>665.7907881991157</v>
      </c>
      <c r="T73" s="59">
        <f t="shared" si="88"/>
        <v>306.76923535735227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25.508571004419235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25.508571004419235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66.986045994680552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16.050000000000004</v>
      </c>
      <c r="AI73" s="13">
        <f>IF('Données projet'!$A$62&gt;35,AI72+AH73-AQ72,IF(A73&lt;'Données projet'!$A$62,$AF$205^A73,IF(A73='Données projet'!$A$62,'Données projet'!$B$62,AI72+AH73-AQ72)))</f>
        <v>449.7399999999999</v>
      </c>
      <c r="AJ73" s="13">
        <f>AI73*VLOOKUP('Données projet'!$B$10,Paramètres!$A$1:$I$89,3,0)*VLOOKUP('Données projet'!$B$10,Paramètres!$A$1:$I$89,5,0)</f>
        <v>210.47831999999997</v>
      </c>
      <c r="AK73" s="13">
        <f t="shared" si="89"/>
        <v>52.040096808248755</v>
      </c>
      <c r="AL73" s="20">
        <f t="shared" si="58"/>
        <v>457.21957594103316</v>
      </c>
      <c r="AM73" s="59">
        <f t="shared" si="59"/>
        <v>739.50174458819515</v>
      </c>
      <c r="AN73" s="59">
        <f ca="1">AVERAGE(OFFSET($AM$3,0,0,'Données projet'!$E$10+1,1))-AVERAGE(OFFSET($H$3,0,0,'Données projet'!$E$10+1,1))</f>
        <v>370.42479501931444</v>
      </c>
      <c r="AO73" s="59">
        <f t="shared" si="90"/>
        <v>351.95632347830144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60.00678244455591</v>
      </c>
      <c r="AV73" s="21">
        <f>EXP(-LN(2)/25)*AV72+(1-EXP(-LN(2)/25))/(LN(2)/25)*Calculateur!AQ73*Calculateur!AS73*VLOOKUP('Données projet'!$B$10,Paramètres!$A$1:$I$89,3,0)*0.475*44/12</f>
        <v>35.927543886433689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95.934326330989592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66.986045994680552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76.245750000000001</v>
      </c>
      <c r="BB73" s="12">
        <f>VLOOKUP(A73,'Données projet'!$A$87:$I$107,9,0)</f>
        <v>1.0814999999999997</v>
      </c>
      <c r="BC73" s="12">
        <f t="array" ref="BC73">INDEX(BB:BB,MIN(IF(ISNUMBER(BB73:BB269),ROW(BB73:BB269),"")))</f>
        <v>1.0814999999999997</v>
      </c>
      <c r="BD73" s="12">
        <f>IF('Données projet'!$A$88&gt;35,BD72+BC73-BL72,IF(A73&lt;'Données projet'!$A$88,$BA$205^A73,IF(A73='Données projet'!$A$88,'Données projet'!$B$88,BD72+BC73-BL72)))</f>
        <v>76.2457500000001</v>
      </c>
      <c r="BE73" s="13">
        <f>BD73*VLOOKUP('Données projet'!$B$11,Paramètres!$A$1:$I$89,3,0)*VLOOKUP('Données projet'!$B$11,Paramètres!$A$1:$I$89,5,0)</f>
        <v>66.608287200000092</v>
      </c>
      <c r="BF73" s="13">
        <f t="shared" si="91"/>
        <v>18.828756577680871</v>
      </c>
      <c r="BG73" s="20">
        <f t="shared" si="61"/>
        <v>148.80285124612769</v>
      </c>
      <c r="BH73" s="59">
        <f t="shared" si="62"/>
        <v>431.08501989328965</v>
      </c>
      <c r="BI73" s="59">
        <f ca="1">AVERAGE(OFFSET($BH$3,0,0,'Données projet'!$E$11+1,1))-AVERAGE(OFFSET($H$3,0,0,'Données projet'!$E$11+1,1))</f>
        <v>128.92423054779167</v>
      </c>
      <c r="BJ73" s="59">
        <f t="shared" si="92"/>
        <v>127.5443711972687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2.7037499999999999</v>
      </c>
      <c r="BM73" s="16">
        <f>IF(ISNA(VLOOKUP(A73,'Données projet'!$A$87:$I$107,5,0)),0%,VLOOKUP(A73,'Données projet'!$A$87:$I$107,5,0)*VLOOKUP('Données projet'!$B$11,Paramètres!$A$1:$I$89,7,0))</f>
        <v>0.318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3.7682466838760145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3.7682466838760145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66.986045994680552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8.8662500000000044</v>
      </c>
      <c r="BY73" s="12">
        <f>IF('Données projet'!$A$114&gt;35,BY72+BX73-CG72,IF(A73&lt;'Données projet'!$A$114,$BV$205^A73,IF(A73='Données projet'!$A$114,'Données projet'!$B$114,BY72+BX73-CG72)))</f>
        <v>250.51500000000016</v>
      </c>
      <c r="BZ73" s="13">
        <f>BY73*VLOOKUP('Données projet'!$B$12,Paramètres!$A$1:$I$89,3,0)*VLOOKUP('Données projet'!$B$12,Paramètres!$A$1:$I$89,5,0)</f>
        <v>226.66597200000012</v>
      </c>
      <c r="CA73" s="13">
        <f t="shared" si="93"/>
        <v>55.561175235972904</v>
      </c>
      <c r="CB73" s="20">
        <f t="shared" si="64"/>
        <v>491.54561476931968</v>
      </c>
      <c r="CC73" s="59">
        <f t="shared" si="65"/>
        <v>773.82778341648168</v>
      </c>
      <c r="CD73" s="59">
        <f ca="1">AVERAGE(OFFSET($CC$3,0,0,'Données projet'!$E$12+1,1))-AVERAGE(OFFSET($H$3,0,0,'Données projet'!$E$12+1,1))</f>
        <v>601.17090553269054</v>
      </c>
      <c r="CE73" s="59">
        <f t="shared" si="94"/>
        <v>279.37477930888042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22.761494127020239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22.761494127020239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66.986045994680552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8.4087499999999977</v>
      </c>
      <c r="CT73" s="12">
        <f>IF('Données projet'!$A$140&gt;35,CT72+CS73-DB72,IF(A73&lt;'Données projet'!$A$140,$CQ$205^A73,IF(A73='Données projet'!$A$140,'Données projet'!$B$140,CT72+CS73-DB72)))</f>
        <v>199.85625000000016</v>
      </c>
      <c r="CU73" s="17">
        <f>CT73*VLOOKUP('Données projet'!$B$13,Paramètres!$A$1:$I$89,3,0)*VLOOKUP('Données projet'!$B$13,Paramètres!$A$1:$I$89,5,0)</f>
        <v>190.18320750000015</v>
      </c>
      <c r="CV73" s="13">
        <f t="shared" si="95"/>
        <v>47.580455155983486</v>
      </c>
      <c r="CW73" s="20">
        <f t="shared" si="67"/>
        <v>414.10504579250482</v>
      </c>
      <c r="CX73" s="59">
        <f t="shared" si="68"/>
        <v>696.38721443966688</v>
      </c>
      <c r="CY73" s="59">
        <f ca="1">AVERAGE(OFFSET($CX$3,0,0,'Données projet'!$E$13+1,1))-AVERAGE(OFFSET($H$3,0,0,'Données projet'!$E$13+1,1))</f>
        <v>418.79317359649315</v>
      </c>
      <c r="CZ73" s="59">
        <f t="shared" si="96"/>
        <v>286.46514989661011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21.059457740886288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21.059457740886288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66.986045994680552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66.986045994680552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66.986045994680552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66.986045994680552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66.986045994680552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1.35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0.63133200000000056</v>
      </c>
      <c r="D74" s="11">
        <f t="shared" si="86"/>
        <v>0.30694450248553323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4.9729283615953745</v>
      </c>
      <c r="H74" s="67">
        <f t="shared" si="56"/>
        <v>225.63083157516232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67.038331358481145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8.8662500000000044</v>
      </c>
      <c r="N74" s="13">
        <f>IF('Données projet'!$A$36&gt;35,N73+M74-V73,IF(A74&lt;'Données projet'!$A$36,$K$205^A74,IF(A74='Données projet'!$A$36,'Données projet'!$B$36,N73+M74-V73)))</f>
        <v>259.38125000000014</v>
      </c>
      <c r="O74" s="13">
        <f>N74*VLOOKUP('Données projet'!$B$9,Paramètres!$A$1:$I$89,3,0)*VLOOKUP('Données projet'!$B$9,Paramètres!$A$1:$I$89,5,0)</f>
        <v>263.01258750000017</v>
      </c>
      <c r="P74" s="13">
        <f t="shared" si="87"/>
        <v>63.364108679793951</v>
      </c>
      <c r="Q74" s="20">
        <f t="shared" si="54"/>
        <v>568.43941251314141</v>
      </c>
      <c r="R74" s="59">
        <f t="shared" si="55"/>
        <v>850.91329416090559</v>
      </c>
      <c r="S74" s="59">
        <f ca="1">AVERAGE(OFFSET($R$3,0,0,'Données projet'!$E$9+1,1))-AVERAGE(OFFSET($H$3,0,0,'Données projet'!$E$9+1,1))</f>
        <v>665.7907881991157</v>
      </c>
      <c r="T74" s="59">
        <f t="shared" si="88"/>
        <v>306.76923535735227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25.008363485714593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25.008363485714593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67.038331358481145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465.79</v>
      </c>
      <c r="AG74" s="12">
        <f>VLOOKUP(A74,'Données projet'!$A$61:$I$81,9,0)</f>
        <v>16.050000000000004</v>
      </c>
      <c r="AH74" s="12">
        <f t="array" ref="AH74">INDEX(AG:AG,MIN(IF(ISNUMBER(AG74:AG270),ROW(AG74:AG270),"")))</f>
        <v>16.050000000000004</v>
      </c>
      <c r="AI74" s="13">
        <f>IF('Données projet'!$A$62&gt;35,AI73+AH74-AQ73,IF(A74&lt;'Données projet'!$A$62,$AF$205^A74,IF(A74='Données projet'!$A$62,'Données projet'!$B$62,AI73+AH74-AQ73)))</f>
        <v>465.78999999999991</v>
      </c>
      <c r="AJ74" s="13">
        <f>AI74*VLOOKUP('Données projet'!$B$10,Paramètres!$A$1:$I$89,3,0)*VLOOKUP('Données projet'!$B$10,Paramètres!$A$1:$I$89,5,0)</f>
        <v>217.98971999999995</v>
      </c>
      <c r="AK74" s="13">
        <f t="shared" si="89"/>
        <v>53.677728140063088</v>
      </c>
      <c r="AL74" s="20">
        <f t="shared" si="58"/>
        <v>473.15413884394314</v>
      </c>
      <c r="AM74" s="59">
        <f t="shared" si="59"/>
        <v>755.62802049170728</v>
      </c>
      <c r="AN74" s="59">
        <f ca="1">AVERAGE(OFFSET($AM$3,0,0,'Données projet'!$E$10+1,1))-AVERAGE(OFFSET($H$3,0,0,'Données projet'!$E$10+1,1))</f>
        <v>370.42479501931444</v>
      </c>
      <c r="AO74" s="59">
        <f t="shared" si="90"/>
        <v>351.95632347830144</v>
      </c>
      <c r="AP74" s="15">
        <f>IF(ISNA(VLOOKUP(A74,'Données projet'!$A$61:$I$81,3,0)),0,VLOOKUP(A74,'Données projet'!$A$61:$I$81,3,0))</f>
        <v>5</v>
      </c>
      <c r="AQ74" s="15">
        <f>IF(ISNA(VLOOKUP(A74,'Données projet'!$A$61:$I$81,4,0)),0,VLOOKUP(A74,'Données projet'!$A$61:$I$81,4,0))</f>
        <v>90.8</v>
      </c>
      <c r="AR74" s="16">
        <f>IF(ISNA(VLOOKUP(A74,'Données projet'!$A$61:$I$81,5,0)),0%,VLOOKUP(A74,'Données projet'!$A$61:$I$81,5,0)*VLOOKUP('Données projet'!$B$10,Paramètres!$A$1:$I$89,7,0))</f>
        <v>0.38500000000000001</v>
      </c>
      <c r="AS74" s="16">
        <f>IF(ISNA(VLOOKUP(A74,'Données projet'!$A$61:$I$81,6,0)),0%,VLOOKUP(A74,'Données projet'!$A$61:$I$81,6,0)*VLOOKUP('Données projet'!$B$10,Paramètres!$A$1:$I$89,7,0))</f>
        <v>0.16500000000000001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80.533136870505004</v>
      </c>
      <c r="AV74" s="21">
        <f>EXP(-LN(2)/25)*AV73+(1-EXP(-LN(2)/25))/(LN(2)/25)*Calculateur!AQ74*Calculateur!AS74*VLOOKUP('Données projet'!$B$10,Paramètres!$A$1:$I$89,3,0)*0.475*44/12</f>
        <v>44.20978801602822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124.74292488653322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67.038331358481145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0.93729999999999902</v>
      </c>
      <c r="BD74" s="12">
        <f>IF('Données projet'!$A$88&gt;35,BD73+BC74-BL73,IF(A74&lt;'Données projet'!$A$88,$BA$205^A74,IF(A74='Données projet'!$A$88,'Données projet'!$B$88,BD73+BC74-BL73)))</f>
        <v>74.479300000000094</v>
      </c>
      <c r="BE74" s="13">
        <f>BD74*VLOOKUP('Données projet'!$B$11,Paramètres!$A$1:$I$89,3,0)*VLOOKUP('Données projet'!$B$11,Paramètres!$A$1:$I$89,5,0)</f>
        <v>65.065116480000086</v>
      </c>
      <c r="BF74" s="13">
        <f t="shared" si="91"/>
        <v>18.442786750382318</v>
      </c>
      <c r="BG74" s="20">
        <f t="shared" si="61"/>
        <v>145.44293145958267</v>
      </c>
      <c r="BH74" s="59">
        <f t="shared" si="62"/>
        <v>427.91681310734685</v>
      </c>
      <c r="BI74" s="59">
        <f ca="1">AVERAGE(OFFSET($BH$3,0,0,'Données projet'!$E$11+1,1))-AVERAGE(OFFSET($H$3,0,0,'Données projet'!$E$11+1,1))</f>
        <v>128.92423054779167</v>
      </c>
      <c r="BJ74" s="59">
        <f t="shared" si="92"/>
        <v>127.5443711972687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3.6943536648087343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3.6943536648087343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67.038331358481145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8.8662500000000044</v>
      </c>
      <c r="BY74" s="12">
        <f>IF('Données projet'!$A$114&gt;35,BY73+BX74-CG73,IF(A74&lt;'Données projet'!$A$114,$BV$205^A74,IF(A74='Données projet'!$A$114,'Données projet'!$B$114,BY73+BX74-CG73)))</f>
        <v>259.38125000000014</v>
      </c>
      <c r="BZ74" s="13">
        <f>BY74*VLOOKUP('Données projet'!$B$12,Paramètres!$A$1:$I$89,3,0)*VLOOKUP('Données projet'!$B$12,Paramètres!$A$1:$I$89,5,0)</f>
        <v>234.68815500000011</v>
      </c>
      <c r="CA74" s="13">
        <f t="shared" si="93"/>
        <v>57.295176729679312</v>
      </c>
      <c r="CB74" s="20">
        <f t="shared" si="64"/>
        <v>508.53763609585832</v>
      </c>
      <c r="CC74" s="59">
        <f t="shared" si="65"/>
        <v>791.01151774362256</v>
      </c>
      <c r="CD74" s="59">
        <f ca="1">AVERAGE(OFFSET($CC$3,0,0,'Données projet'!$E$12+1,1))-AVERAGE(OFFSET($H$3,0,0,'Données projet'!$E$12+1,1))</f>
        <v>601.17090553269054</v>
      </c>
      <c r="CE74" s="59">
        <f t="shared" si="94"/>
        <v>279.37477930888042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22.315155110329943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22.315155110329943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67.038331358481145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8.4087499999999977</v>
      </c>
      <c r="CT74" s="12">
        <f>IF('Données projet'!$A$140&gt;35,CT73+CS74-DB73,IF(A74&lt;'Données projet'!$A$140,$CQ$205^A74,IF(A74='Données projet'!$A$140,'Données projet'!$B$140,CT73+CS74-DB73)))</f>
        <v>208.26500000000016</v>
      </c>
      <c r="CU74" s="17">
        <f>CT74*VLOOKUP('Données projet'!$B$13,Paramètres!$A$1:$I$89,3,0)*VLOOKUP('Données projet'!$B$13,Paramètres!$A$1:$I$89,5,0)</f>
        <v>198.18497400000015</v>
      </c>
      <c r="CV74" s="13">
        <f t="shared" si="95"/>
        <v>49.34506854943276</v>
      </c>
      <c r="CW74" s="20">
        <f t="shared" si="67"/>
        <v>431.11482410692901</v>
      </c>
      <c r="CX74" s="59">
        <f t="shared" si="68"/>
        <v>713.58870575469314</v>
      </c>
      <c r="CY74" s="59">
        <f ca="1">AVERAGE(OFFSET($CX$3,0,0,'Données projet'!$E$13+1,1))-AVERAGE(OFFSET($H$3,0,0,'Données projet'!$E$13+1,1))</f>
        <v>418.79317359649315</v>
      </c>
      <c r="CZ74" s="59">
        <f t="shared" si="96"/>
        <v>286.46514989661011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20.646494619588392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20.646494619588392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67.038331358481145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67.038331358481145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67.038331358481145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67.038331358481145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67.038331358481145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1.35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0.64022400000000057</v>
      </c>
      <c r="D75" s="11">
        <f t="shared" si="86"/>
        <v>0.31076133344591922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4.9739093941607377</v>
      </c>
      <c r="H75" s="67">
        <f t="shared" si="56"/>
        <v>225.65296612241832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67.089709688112364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8.8662500000000044</v>
      </c>
      <c r="N75" s="13">
        <f>IF('Données projet'!$A$36&gt;35,N74+M75-V74,IF(A75&lt;'Données projet'!$A$36,$K$205^A75,IF(A75='Données projet'!$A$36,'Données projet'!$B$36,N74+M75-V74)))</f>
        <v>268.24750000000012</v>
      </c>
      <c r="O75" s="13">
        <f>N75*VLOOKUP('Données projet'!$B$9,Paramètres!$A$1:$I$89,3,0)*VLOOKUP('Données projet'!$B$9,Paramètres!$A$1:$I$89,5,0)</f>
        <v>272.00296500000013</v>
      </c>
      <c r="P75" s="13">
        <f t="shared" si="87"/>
        <v>65.274165988687102</v>
      </c>
      <c r="Q75" s="20">
        <f t="shared" si="54"/>
        <v>587.42433647196356</v>
      </c>
      <c r="R75" s="59">
        <f t="shared" si="55"/>
        <v>870.08660532837553</v>
      </c>
      <c r="S75" s="59">
        <f ca="1">AVERAGE(OFFSET($R$3,0,0,'Données projet'!$E$9+1,1))-AVERAGE(OFFSET($H$3,0,0,'Données projet'!$E$9+1,1))</f>
        <v>665.7907881991157</v>
      </c>
      <c r="T75" s="59">
        <f t="shared" si="88"/>
        <v>306.76923535735227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24.517964731355288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24.517964731355288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67.089709688112364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15.115000000000002</v>
      </c>
      <c r="AI75" s="13">
        <f>IF('Données projet'!$A$62&gt;35,AI74+AH75-AQ74,IF(A75&lt;'Données projet'!$A$62,$AF$205^A75,IF(A75='Données projet'!$A$62,'Données projet'!$B$62,AI74+AH75-AQ74)))</f>
        <v>390.1049999999999</v>
      </c>
      <c r="AJ75" s="13">
        <f>AI75*VLOOKUP('Données projet'!$B$10,Paramètres!$A$1:$I$89,3,0)*VLOOKUP('Données projet'!$B$10,Paramètres!$A$1:$I$89,5,0)</f>
        <v>182.56913999999995</v>
      </c>
      <c r="AK75" s="13">
        <f t="shared" si="89"/>
        <v>45.893300175788823</v>
      </c>
      <c r="AL75" s="20">
        <f t="shared" si="58"/>
        <v>397.90541663949875</v>
      </c>
      <c r="AM75" s="59">
        <f t="shared" si="59"/>
        <v>680.56768549591084</v>
      </c>
      <c r="AN75" s="59">
        <f ca="1">AVERAGE(OFFSET($AM$3,0,0,'Données projet'!$E$10+1,1))-AVERAGE(OFFSET($H$3,0,0,'Données projet'!$E$10+1,1))</f>
        <v>370.42479501931444</v>
      </c>
      <c r="AO75" s="59">
        <f t="shared" si="90"/>
        <v>351.95632347830144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78.953931176837656</v>
      </c>
      <c r="AV75" s="21">
        <f>EXP(-LN(2)/25)*AV74+(1-EXP(-LN(2)/25))/(LN(2)/25)*Calculateur!AQ75*Calculateur!AS75*VLOOKUP('Données projet'!$B$10,Paramètres!$A$1:$I$89,3,0)*0.475*44/12</f>
        <v>43.000869037838221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121.95480021467588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67.089709688112364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0.93729999999999902</v>
      </c>
      <c r="BD75" s="12">
        <f>IF('Données projet'!$A$88&gt;35,BD74+BC75-BL74,IF(A75&lt;'Données projet'!$A$88,$BA$205^A75,IF(A75='Données projet'!$A$88,'Données projet'!$B$88,BD74+BC75-BL74)))</f>
        <v>75.416600000000088</v>
      </c>
      <c r="BE75" s="13">
        <f>BD75*VLOOKUP('Données projet'!$B$11,Paramètres!$A$1:$I$89,3,0)*VLOOKUP('Données projet'!$B$11,Paramètres!$A$1:$I$89,5,0)</f>
        <v>65.883941760000084</v>
      </c>
      <c r="BF75" s="13">
        <f t="shared" si="91"/>
        <v>18.647718173880332</v>
      </c>
      <c r="BG75" s="20">
        <f t="shared" si="61"/>
        <v>147.22597438484175</v>
      </c>
      <c r="BH75" s="59">
        <f t="shared" si="62"/>
        <v>429.8882432412538</v>
      </c>
      <c r="BI75" s="59">
        <f ca="1">AVERAGE(OFFSET($BH$3,0,0,'Données projet'!$E$11+1,1))-AVERAGE(OFFSET($H$3,0,0,'Données projet'!$E$11+1,1))</f>
        <v>128.92423054779167</v>
      </c>
      <c r="BJ75" s="59">
        <f t="shared" si="92"/>
        <v>127.5443711972687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3.6219096427750723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3.6219096427750723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67.089709688112364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8.8662500000000044</v>
      </c>
      <c r="BY75" s="12">
        <f>IF('Données projet'!$A$114&gt;35,BY74+BX75-CG74,IF(A75&lt;'Données projet'!$A$114,$BV$205^A75,IF(A75='Données projet'!$A$114,'Données projet'!$B$114,BY74+BX75-CG74)))</f>
        <v>268.24750000000012</v>
      </c>
      <c r="BZ75" s="13">
        <f>BY75*VLOOKUP('Données projet'!$B$12,Paramètres!$A$1:$I$89,3,0)*VLOOKUP('Données projet'!$B$12,Paramètres!$A$1:$I$89,5,0)</f>
        <v>242.71033800000009</v>
      </c>
      <c r="CA75" s="13">
        <f t="shared" si="93"/>
        <v>59.022291232778812</v>
      </c>
      <c r="CB75" s="20">
        <f t="shared" si="64"/>
        <v>525.51766258042323</v>
      </c>
      <c r="CC75" s="59">
        <f t="shared" si="65"/>
        <v>808.1799314368352</v>
      </c>
      <c r="CD75" s="59">
        <f ca="1">AVERAGE(OFFSET($CC$3,0,0,'Données projet'!$E$12+1,1))-AVERAGE(OFFSET($H$3,0,0,'Données projet'!$E$12+1,1))</f>
        <v>601.17090553269054</v>
      </c>
      <c r="CE75" s="59">
        <f t="shared" si="94"/>
        <v>279.37477930888042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21.877568529517024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21.877568529517024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67.089709688112364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8.4087499999999977</v>
      </c>
      <c r="CT75" s="12">
        <f>IF('Données projet'!$A$140&gt;35,CT74+CS75-DB74,IF(A75&lt;'Données projet'!$A$140,$CQ$205^A75,IF(A75='Données projet'!$A$140,'Données projet'!$B$140,CT74+CS75-DB74)))</f>
        <v>216.67375000000015</v>
      </c>
      <c r="CU75" s="17">
        <f>CT75*VLOOKUP('Données projet'!$B$13,Paramètres!$A$1:$I$89,3,0)*VLOOKUP('Données projet'!$B$13,Paramètres!$A$1:$I$89,5,0)</f>
        <v>206.18674050000013</v>
      </c>
      <c r="CV75" s="13">
        <f t="shared" si="95"/>
        <v>51.101405909852666</v>
      </c>
      <c r="CW75" s="20">
        <f t="shared" si="67"/>
        <v>448.1101883304936</v>
      </c>
      <c r="CX75" s="59">
        <f t="shared" si="68"/>
        <v>730.77245718690563</v>
      </c>
      <c r="CY75" s="59">
        <f ca="1">AVERAGE(OFFSET($CX$3,0,0,'Données projet'!$E$13+1,1))-AVERAGE(OFFSET($H$3,0,0,'Données projet'!$E$13+1,1))</f>
        <v>418.79317359649315</v>
      </c>
      <c r="CZ75" s="59">
        <f t="shared" si="96"/>
        <v>286.46514989661011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20.241629453216515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20.241629453216515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67.089709688112364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67.089709688112364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67.089709688112364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67.089709688112364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67.089709688112364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1.35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0.64911600000000058</v>
      </c>
      <c r="D76" s="11">
        <f t="shared" si="86"/>
        <v>0.31457199863848018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4.9748899507720932</v>
      </c>
      <c r="H76" s="67">
        <f t="shared" si="56"/>
        <v>225.67508993096203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67.140196718589209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8.8662500000000044</v>
      </c>
      <c r="N76" s="13">
        <f>IF('Données projet'!$A$36&gt;35,N75+M76-V75,IF(A76&lt;'Données projet'!$A$36,$K$205^A76,IF(A76='Données projet'!$A$36,'Données projet'!$B$36,N75+M76-V75)))</f>
        <v>277.1137500000001</v>
      </c>
      <c r="O76" s="13">
        <f>N76*VLOOKUP('Données projet'!$B$9,Paramètres!$A$1:$I$89,3,0)*VLOOKUP('Données projet'!$B$9,Paramètres!$A$1:$I$89,5,0)</f>
        <v>280.9933425000001</v>
      </c>
      <c r="P76" s="13">
        <f t="shared" si="87"/>
        <v>67.176887420430603</v>
      </c>
      <c r="Q76" s="20">
        <f t="shared" si="54"/>
        <v>606.39648377808339</v>
      </c>
      <c r="R76" s="59">
        <f t="shared" si="55"/>
        <v>889.24387174624383</v>
      </c>
      <c r="S76" s="59">
        <f ca="1">AVERAGE(OFFSET($R$3,0,0,'Données projet'!$E$9+1,1))-AVERAGE(OFFSET($H$3,0,0,'Données projet'!$E$9+1,1))</f>
        <v>665.7907881991157</v>
      </c>
      <c r="T76" s="59">
        <f t="shared" si="88"/>
        <v>306.76923535735227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24.037182397455265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24.037182397455265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67.140196718589209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15.115000000000002</v>
      </c>
      <c r="AI76" s="13">
        <f>IF('Données projet'!$A$62&gt;35,AI75+AH76-AQ75,IF(A76&lt;'Données projet'!$A$62,$AF$205^A76,IF(A76='Données projet'!$A$62,'Données projet'!$B$62,AI75+AH76-AQ75)))</f>
        <v>405.21999999999991</v>
      </c>
      <c r="AJ76" s="13">
        <f>AI76*VLOOKUP('Données projet'!$B$10,Paramètres!$A$1:$I$89,3,0)*VLOOKUP('Données projet'!$B$10,Paramètres!$A$1:$I$89,5,0)</f>
        <v>189.64295999999996</v>
      </c>
      <c r="AK76" s="13">
        <f t="shared" si="89"/>
        <v>47.461007737470666</v>
      </c>
      <c r="AL76" s="20">
        <f t="shared" si="58"/>
        <v>412.95607714276122</v>
      </c>
      <c r="AM76" s="59">
        <f t="shared" si="59"/>
        <v>695.80346511092171</v>
      </c>
      <c r="AN76" s="59">
        <f ca="1">AVERAGE(OFFSET($AM$3,0,0,'Données projet'!$E$10+1,1))-AVERAGE(OFFSET($H$3,0,0,'Données projet'!$E$10+1,1))</f>
        <v>370.42479501931444</v>
      </c>
      <c r="AO76" s="59">
        <f t="shared" si="90"/>
        <v>351.95632347830144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77.405692743602771</v>
      </c>
      <c r="AV76" s="21">
        <f>EXP(-LN(2)/25)*AV75+(1-EXP(-LN(2)/25))/(LN(2)/25)*Calculateur!AQ76*Calculateur!AS76*VLOOKUP('Données projet'!$B$10,Paramètres!$A$1:$I$89,3,0)*0.475*44/12</f>
        <v>41.82500801268111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119.23070075628388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67.140196718589209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0.93729999999999902</v>
      </c>
      <c r="BD76" s="12">
        <f>IF('Données projet'!$A$88&gt;35,BD75+BC76-BL75,IF(A76&lt;'Données projet'!$A$88,$BA$205^A76,IF(A76='Données projet'!$A$88,'Données projet'!$B$88,BD75+BC76-BL75)))</f>
        <v>76.353900000000081</v>
      </c>
      <c r="BE76" s="13">
        <f>BD76*VLOOKUP('Données projet'!$B$11,Paramètres!$A$1:$I$89,3,0)*VLOOKUP('Données projet'!$B$11,Paramètres!$A$1:$I$89,5,0)</f>
        <v>66.702767040000083</v>
      </c>
      <c r="BF76" s="13">
        <f t="shared" si="91"/>
        <v>18.85235333880377</v>
      </c>
      <c r="BG76" s="20">
        <f t="shared" si="61"/>
        <v>149.00850132641671</v>
      </c>
      <c r="BH76" s="59">
        <f t="shared" si="62"/>
        <v>431.85588929457714</v>
      </c>
      <c r="BI76" s="59">
        <f ca="1">AVERAGE(OFFSET($BH$3,0,0,'Données projet'!$E$11+1,1))-AVERAGE(OFFSET($H$3,0,0,'Données projet'!$E$11+1,1))</f>
        <v>128.92423054779167</v>
      </c>
      <c r="BJ76" s="59">
        <f t="shared" si="92"/>
        <v>127.5443711972687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3.5508862038269999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3.5508862038269999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67.140196718589209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8.8662500000000044</v>
      </c>
      <c r="BY76" s="12">
        <f>IF('Données projet'!$A$114&gt;35,BY75+BX76-CG75,IF(A76&lt;'Données projet'!$A$114,$BV$205^A76,IF(A76='Données projet'!$A$114,'Données projet'!$B$114,BY75+BX76-CG75)))</f>
        <v>277.1137500000001</v>
      </c>
      <c r="BZ76" s="13">
        <f>BY76*VLOOKUP('Données projet'!$B$12,Paramètres!$A$1:$I$89,3,0)*VLOOKUP('Données projet'!$B$12,Paramètres!$A$1:$I$89,5,0)</f>
        <v>250.73252100000005</v>
      </c>
      <c r="CA76" s="13">
        <f t="shared" si="93"/>
        <v>60.74277247950485</v>
      </c>
      <c r="CB76" s="20">
        <f t="shared" si="64"/>
        <v>542.48613614347107</v>
      </c>
      <c r="CC76" s="59">
        <f t="shared" si="65"/>
        <v>825.3335241116315</v>
      </c>
      <c r="CD76" s="59">
        <f ca="1">AVERAGE(OFFSET($CC$3,0,0,'Données projet'!$E$12+1,1))-AVERAGE(OFFSET($H$3,0,0,'Données projet'!$E$12+1,1))</f>
        <v>601.17090553269054</v>
      </c>
      <c r="CE76" s="59">
        <f t="shared" si="94"/>
        <v>279.37477930888042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21.448562754652389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21.448562754652389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67.140196718589209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8.4087499999999977</v>
      </c>
      <c r="CT76" s="12">
        <f>IF('Données projet'!$A$140&gt;35,CT75+CS76-DB75,IF(A76&lt;'Données projet'!$A$140,$CQ$205^A76,IF(A76='Données projet'!$A$140,'Données projet'!$B$140,CT75+CS76-DB75)))</f>
        <v>225.08250000000015</v>
      </c>
      <c r="CU76" s="17">
        <f>CT76*VLOOKUP('Données projet'!$B$13,Paramètres!$A$1:$I$89,3,0)*VLOOKUP('Données projet'!$B$13,Paramètres!$A$1:$I$89,5,0)</f>
        <v>214.18850700000016</v>
      </c>
      <c r="CV76" s="13">
        <f t="shared" si="95"/>
        <v>52.849825175992052</v>
      </c>
      <c r="CW76" s="20">
        <f t="shared" si="67"/>
        <v>465.09176187318639</v>
      </c>
      <c r="CX76" s="59">
        <f t="shared" si="68"/>
        <v>747.93914984134676</v>
      </c>
      <c r="CY76" s="59">
        <f ca="1">AVERAGE(OFFSET($CX$3,0,0,'Données projet'!$E$13+1,1))-AVERAGE(OFFSET($H$3,0,0,'Données projet'!$E$13+1,1))</f>
        <v>418.79317359649315</v>
      </c>
      <c r="CZ76" s="59">
        <f t="shared" si="96"/>
        <v>286.46514989661011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19.844703445813821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19.844703445813821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67.140196718589209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67.140196718589209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67.140196718589209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67.140196718589209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67.140196718589209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1.35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0.65800800000000059</v>
      </c>
      <c r="D77" s="11">
        <f t="shared" si="86"/>
        <v>0.31837659228802617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4.9758700387029355</v>
      </c>
      <c r="H77" s="67">
        <f t="shared" si="56"/>
        <v>225.69720316490165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67.189807911959377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285.98</v>
      </c>
      <c r="L77" s="12">
        <f>VLOOKUP(A77,'Données projet'!$A$35:$I$55,9,0)</f>
        <v>8.8662500000000044</v>
      </c>
      <c r="M77" s="12">
        <f t="array" ref="M77">INDEX(L:L,MIN(IF(ISNUMBER(L77:L273),ROW(L77:L273),"")))</f>
        <v>8.8662500000000044</v>
      </c>
      <c r="N77" s="13">
        <f>IF('Données projet'!$A$36&gt;35,N76+M77-V76,IF(A77&lt;'Données projet'!$A$36,$K$205^A77,IF(A77='Données projet'!$A$36,'Données projet'!$B$36,N76+M77-V76)))</f>
        <v>285.98000000000008</v>
      </c>
      <c r="O77" s="13">
        <f>N77*VLOOKUP('Données projet'!$B$9,Paramètres!$A$1:$I$89,3,0)*VLOOKUP('Données projet'!$B$9,Paramètres!$A$1:$I$89,5,0)</f>
        <v>289.98372000000012</v>
      </c>
      <c r="P77" s="13">
        <f t="shared" si="87"/>
        <v>69.072534609971271</v>
      </c>
      <c r="Q77" s="20">
        <f t="shared" si="54"/>
        <v>625.35631011236683</v>
      </c>
      <c r="R77" s="59">
        <f t="shared" si="55"/>
        <v>908.38560578955116</v>
      </c>
      <c r="S77" s="59">
        <f ca="1">AVERAGE(OFFSET($R$3,0,0,'Données projet'!$E$9+1,1))-AVERAGE(OFFSET($H$3,0,0,'Données projet'!$E$9+1,1))</f>
        <v>665.7907881991157</v>
      </c>
      <c r="T77" s="59">
        <f t="shared" si="88"/>
        <v>306.76923535735227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47.4</v>
      </c>
      <c r="W77" s="16">
        <f>IF(ISNA(VLOOKUP(A77,'Données projet'!$A$35:$I$55,5,0)),0%,VLOOKUP(A77,'Données projet'!$A$35:$I$55,5,0)*VLOOKUP('Données projet'!$B$9,Paramètres!$A$1:$I$89,7,0))</f>
        <v>0.25800000000000001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37.274112534374488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37.274112534374488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67.189807911959377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15.115000000000002</v>
      </c>
      <c r="AI77" s="13">
        <f>IF('Données projet'!$A$62&gt;35,AI76+AH77-AQ76,IF(A77&lt;'Données projet'!$A$62,$AF$205^A77,IF(A77='Données projet'!$A$62,'Données projet'!$B$62,AI76+AH77-AQ76)))</f>
        <v>420.33499999999992</v>
      </c>
      <c r="AJ77" s="13">
        <f>AI77*VLOOKUP('Données projet'!$B$10,Paramètres!$A$1:$I$89,3,0)*VLOOKUP('Données projet'!$B$10,Paramètres!$A$1:$I$89,5,0)</f>
        <v>196.71677999999994</v>
      </c>
      <c r="AK77" s="13">
        <f t="shared" si="89"/>
        <v>49.021921710754086</v>
      </c>
      <c r="AL77" s="20">
        <f t="shared" si="58"/>
        <v>427.99490547956322</v>
      </c>
      <c r="AM77" s="59">
        <f t="shared" si="59"/>
        <v>711.02420115674761</v>
      </c>
      <c r="AN77" s="59">
        <f ca="1">AVERAGE(OFFSET($AM$3,0,0,'Données projet'!$E$10+1,1))-AVERAGE(OFFSET($H$3,0,0,'Données projet'!$E$10+1,1))</f>
        <v>370.42479501931444</v>
      </c>
      <c r="AO77" s="59">
        <f t="shared" si="90"/>
        <v>351.95632347830144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75.887814321711417</v>
      </c>
      <c r="AV77" s="21">
        <f>EXP(-LN(2)/25)*AV76+(1-EXP(-LN(2)/25))/(LN(2)/25)*Calculateur!AQ77*Calculateur!AS77*VLOOKUP('Données projet'!$B$10,Paramètres!$A$1:$I$89,3,0)*0.475*44/12</f>
        <v>40.681300969092767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116.56911529080418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67.189807911959377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0.93729999999999902</v>
      </c>
      <c r="BD77" s="12">
        <f>IF('Données projet'!$A$88&gt;35,BD76+BC77-BL76,IF(A77&lt;'Données projet'!$A$88,$BA$205^A77,IF(A77='Données projet'!$A$88,'Données projet'!$B$88,BD76+BC77-BL76)))</f>
        <v>77.291200000000075</v>
      </c>
      <c r="BE77" s="13">
        <f>BD77*VLOOKUP('Données projet'!$B$11,Paramètres!$A$1:$I$89,3,0)*VLOOKUP('Données projet'!$B$11,Paramètres!$A$1:$I$89,5,0)</f>
        <v>67.521592320000082</v>
      </c>
      <c r="BF77" s="13">
        <f t="shared" si="91"/>
        <v>19.056696302571485</v>
      </c>
      <c r="BG77" s="20">
        <f t="shared" si="61"/>
        <v>150.7905193509788</v>
      </c>
      <c r="BH77" s="59">
        <f t="shared" si="62"/>
        <v>433.81981502816319</v>
      </c>
      <c r="BI77" s="59">
        <f ca="1">AVERAGE(OFFSET($BH$3,0,0,'Données projet'!$E$11+1,1))-AVERAGE(OFFSET($H$3,0,0,'Données projet'!$E$11+1,1))</f>
        <v>128.92423054779167</v>
      </c>
      <c r="BJ77" s="59">
        <f t="shared" si="92"/>
        <v>127.5443711972687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3.4812554911966793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3.4812554911966793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67.189807911959377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285.98</v>
      </c>
      <c r="BW77" s="12">
        <f>VLOOKUP(A77,'Données projet'!$A$113:$I$133,9,0)</f>
        <v>8.8662500000000044</v>
      </c>
      <c r="BX77" s="12">
        <f t="array" ref="BX77">INDEX(BW:BW,MIN(IF(ISNUMBER(BW77:BW273),ROW(BW77:BW273),"")))</f>
        <v>8.8662500000000044</v>
      </c>
      <c r="BY77" s="12">
        <f>IF('Données projet'!$A$114&gt;35,BY76+BX77-CG76,IF(A77&lt;'Données projet'!$A$114,$BV$205^A77,IF(A77='Données projet'!$A$114,'Données projet'!$B$114,BY76+BX77-CG76)))</f>
        <v>285.98000000000008</v>
      </c>
      <c r="BZ77" s="13">
        <f>BY77*VLOOKUP('Données projet'!$B$12,Paramètres!$A$1:$I$89,3,0)*VLOOKUP('Données projet'!$B$12,Paramètres!$A$1:$I$89,5,0)</f>
        <v>258.75470400000006</v>
      </c>
      <c r="CA77" s="13">
        <f t="shared" si="93"/>
        <v>62.456857045748947</v>
      </c>
      <c r="CB77" s="20">
        <f t="shared" si="64"/>
        <v>559.4434688213463</v>
      </c>
      <c r="CC77" s="59">
        <f t="shared" si="65"/>
        <v>842.47276449853075</v>
      </c>
      <c r="CD77" s="59">
        <f ca="1">AVERAGE(OFFSET($CC$3,0,0,'Données projet'!$E$12+1,1))-AVERAGE(OFFSET($H$3,0,0,'Données projet'!$E$12+1,1))</f>
        <v>601.17090553269054</v>
      </c>
      <c r="CE77" s="59">
        <f t="shared" si="94"/>
        <v>279.37477930888042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47.4</v>
      </c>
      <c r="CH77" s="16">
        <f>IF(ISNA(VLOOKUP(A77,'Données projet'!$A$113:$I$133,5,0)),0%,VLOOKUP(A77,'Données projet'!$A$113:$I$133,5,0)*VLOOKUP('Données projet'!$B$12,Paramètres!$A$1:$I$89,7,0))</f>
        <v>0.25800000000000001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33.259977338364926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33.259977338364926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67.189807911959377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8.4087499999999977</v>
      </c>
      <c r="CT77" s="12">
        <f>IF('Données projet'!$A$140&gt;35,CT76+CS77-DB76,IF(A77&lt;'Données projet'!$A$140,$CQ$205^A77,IF(A77='Données projet'!$A$140,'Données projet'!$B$140,CT76+CS77-DB76)))</f>
        <v>233.49125000000015</v>
      </c>
      <c r="CU77" s="17">
        <f>CT77*VLOOKUP('Données projet'!$B$13,Paramètres!$A$1:$I$89,3,0)*VLOOKUP('Données projet'!$B$13,Paramètres!$A$1:$I$89,5,0)</f>
        <v>222.19027350000016</v>
      </c>
      <c r="CV77" s="13">
        <f t="shared" si="95"/>
        <v>54.590656027335172</v>
      </c>
      <c r="CW77" s="20">
        <f t="shared" si="67"/>
        <v>482.06011892677566</v>
      </c>
      <c r="CX77" s="59">
        <f t="shared" si="68"/>
        <v>765.08941460395999</v>
      </c>
      <c r="CY77" s="59">
        <f ca="1">AVERAGE(OFFSET($CX$3,0,0,'Données projet'!$E$13+1,1))-AVERAGE(OFFSET($H$3,0,0,'Données projet'!$E$13+1,1))</f>
        <v>418.79317359649315</v>
      </c>
      <c r="CZ77" s="59">
        <f t="shared" si="96"/>
        <v>286.46514989661011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19.455560915315335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19.455560915315335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67.189807911959377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67.189807911959377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67.189807911959377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67.189807911959377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67.189807911959377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1.35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0.6669000000000006</v>
      </c>
      <c r="D78" s="11">
        <f t="shared" si="86"/>
        <v>0.32217520592641119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4.9768496650188814</v>
      </c>
      <c r="H78" s="67">
        <f t="shared" si="56"/>
        <v>225.71930598365518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67.238558462038583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8.6770000000000014</v>
      </c>
      <c r="N78" s="13">
        <f>IF('Données projet'!$A$36&gt;35,N77+M78-V77,IF(A78&lt;'Données projet'!$A$36,$K$205^A78,IF(A78='Données projet'!$A$36,'Données projet'!$B$36,N77+M78-V77)))</f>
        <v>247.25700000000009</v>
      </c>
      <c r="O78" s="13">
        <f>N78*VLOOKUP('Données projet'!$B$9,Paramètres!$A$1:$I$89,3,0)*VLOOKUP('Données projet'!$B$9,Paramètres!$A$1:$I$89,5,0)</f>
        <v>250.7185980000001</v>
      </c>
      <c r="P78" s="13">
        <f t="shared" si="87"/>
        <v>60.739792084155006</v>
      </c>
      <c r="Q78" s="20">
        <f t="shared" si="54"/>
        <v>542.45669606323679</v>
      </c>
      <c r="R78" s="59">
        <f t="shared" si="55"/>
        <v>825.66474375737835</v>
      </c>
      <c r="S78" s="59">
        <f ca="1">AVERAGE(OFFSET($R$3,0,0,'Données projet'!$E$9+1,1))-AVERAGE(OFFSET($H$3,0,0,'Données projet'!$E$9+1,1))</f>
        <v>665.7907881991157</v>
      </c>
      <c r="T78" s="59">
        <f t="shared" si="88"/>
        <v>306.76923535735227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36.543189922539156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36.543189922539156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67.238558462038583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15.115000000000002</v>
      </c>
      <c r="AI78" s="13">
        <f>IF('Données projet'!$A$62&gt;35,AI77+AH78-AQ77,IF(A78&lt;'Données projet'!$A$62,$AF$205^A78,IF(A78='Données projet'!$A$62,'Données projet'!$B$62,AI77+AH78-AQ77)))</f>
        <v>435.44999999999993</v>
      </c>
      <c r="AJ78" s="13">
        <f>AI78*VLOOKUP('Données projet'!$B$10,Paramètres!$A$1:$I$89,3,0)*VLOOKUP('Données projet'!$B$10,Paramètres!$A$1:$I$89,5,0)</f>
        <v>203.79059999999998</v>
      </c>
      <c r="AK78" s="13">
        <f t="shared" si="89"/>
        <v>50.57631437420887</v>
      </c>
      <c r="AL78" s="20">
        <f t="shared" si="58"/>
        <v>443.02237586841375</v>
      </c>
      <c r="AM78" s="59">
        <f t="shared" si="59"/>
        <v>726.23042356255519</v>
      </c>
      <c r="AN78" s="59">
        <f ca="1">AVERAGE(OFFSET($AM$3,0,0,'Données projet'!$E$10+1,1))-AVERAGE(OFFSET($H$3,0,0,'Données projet'!$E$10+1,1))</f>
        <v>370.42479501931444</v>
      </c>
      <c r="AO78" s="59">
        <f t="shared" si="90"/>
        <v>351.95632347830144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74.399700569858936</v>
      </c>
      <c r="AV78" s="21">
        <f>EXP(-LN(2)/25)*AV77+(1-EXP(-LN(2)/25))/(LN(2)/25)*Calculateur!AQ78*Calculateur!AS78*VLOOKUP('Données projet'!$B$10,Paramètres!$A$1:$I$89,3,0)*0.475*44/12</f>
        <v>39.568868654756287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113.96856922461522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67.238558462038583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78.228499999999997</v>
      </c>
      <c r="BB78" s="12">
        <f>VLOOKUP(A78,'Données projet'!$A$87:$I$107,9,0)</f>
        <v>0.93729999999999902</v>
      </c>
      <c r="BC78" s="12">
        <f t="array" ref="BC78">INDEX(BB:BB,MIN(IF(ISNUMBER(BB78:BB274),ROW(BB78:BB274),"")))</f>
        <v>0.93729999999999902</v>
      </c>
      <c r="BD78" s="12">
        <f>IF('Données projet'!$A$88&gt;35,BD77+BC78-BL77,IF(A78&lt;'Données projet'!$A$88,$BA$205^A78,IF(A78='Données projet'!$A$88,'Données projet'!$B$88,BD77+BC78-BL77)))</f>
        <v>78.228500000000068</v>
      </c>
      <c r="BE78" s="13">
        <f>BD78*VLOOKUP('Données projet'!$B$11,Paramètres!$A$1:$I$89,3,0)*VLOOKUP('Données projet'!$B$11,Paramètres!$A$1:$I$89,5,0)</f>
        <v>68.340417600000066</v>
      </c>
      <c r="BF78" s="13">
        <f t="shared" si="91"/>
        <v>19.260751018533277</v>
      </c>
      <c r="BG78" s="20">
        <f t="shared" si="61"/>
        <v>152.57203534394554</v>
      </c>
      <c r="BH78" s="59">
        <f t="shared" si="62"/>
        <v>435.78008303808701</v>
      </c>
      <c r="BI78" s="59">
        <f ca="1">AVERAGE(OFFSET($BH$3,0,0,'Données projet'!$E$11+1,1))-AVERAGE(OFFSET($H$3,0,0,'Données projet'!$E$11+1,1))</f>
        <v>128.92423054779167</v>
      </c>
      <c r="BJ78" s="59">
        <f t="shared" si="92"/>
        <v>127.5443711972687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2.3432499999999998</v>
      </c>
      <c r="BM78" s="16">
        <f>IF(ISNA(VLOOKUP(A78,'Données projet'!$A$87:$I$107,5,0)),0%,VLOOKUP(A78,'Données projet'!$A$87:$I$107,5,0)*VLOOKUP('Données projet'!$B$11,Paramètres!$A$1:$I$89,7,0))</f>
        <v>0.318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4.1326139333474536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4.1326139333474536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67.238558462038583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8.6770000000000014</v>
      </c>
      <c r="BY78" s="12">
        <f>IF('Données projet'!$A$114&gt;35,BY77+BX78-CG77,IF(A78&lt;'Données projet'!$A$114,$BV$205^A78,IF(A78='Données projet'!$A$114,'Données projet'!$B$114,BY77+BX78-CG77)))</f>
        <v>247.25700000000009</v>
      </c>
      <c r="BZ78" s="13">
        <f>BY78*VLOOKUP('Données projet'!$B$12,Paramètres!$A$1:$I$89,3,0)*VLOOKUP('Données projet'!$B$12,Paramètres!$A$1:$I$89,5,0)</f>
        <v>223.71813360000007</v>
      </c>
      <c r="CA78" s="13">
        <f t="shared" si="93"/>
        <v>54.92221376571495</v>
      </c>
      <c r="CB78" s="20">
        <f t="shared" si="64"/>
        <v>485.29860499528695</v>
      </c>
      <c r="CC78" s="59">
        <f t="shared" si="65"/>
        <v>768.50665268942839</v>
      </c>
      <c r="CD78" s="59">
        <f ca="1">AVERAGE(OFFSET($CC$3,0,0,'Données projet'!$E$12+1,1))-AVERAGE(OFFSET($H$3,0,0,'Données projet'!$E$12+1,1))</f>
        <v>601.17090553269054</v>
      </c>
      <c r="CE78" s="59">
        <f t="shared" si="94"/>
        <v>279.37477930888042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32.607769469342635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32.607769469342635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67.238558462038583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241.9</v>
      </c>
      <c r="CR78" s="12">
        <f>VLOOKUP(A78,'Données projet'!$A$139:$I$159,9,0)</f>
        <v>8.4087499999999977</v>
      </c>
      <c r="CS78" s="12">
        <f t="array" ref="CS78">INDEX(CR:CR,MIN(IF(ISNUMBER(CR78:CR274),ROW(CR78:CR274),"")))</f>
        <v>8.4087499999999977</v>
      </c>
      <c r="CT78" s="12">
        <f>IF('Données projet'!$A$140&gt;35,CT77+CS78-DB77,IF(A78&lt;'Données projet'!$A$140,$CQ$205^A78,IF(A78='Données projet'!$A$140,'Données projet'!$B$140,CT77+CS78-DB77)))</f>
        <v>241.90000000000015</v>
      </c>
      <c r="CU78" s="17">
        <f>CT78*VLOOKUP('Données projet'!$B$13,Paramètres!$A$1:$I$89,3,0)*VLOOKUP('Données projet'!$B$13,Paramètres!$A$1:$I$89,5,0)</f>
        <v>230.19204000000013</v>
      </c>
      <c r="CV78" s="13">
        <f t="shared" si="95"/>
        <v>56.324203051849373</v>
      </c>
      <c r="CW78" s="20">
        <f t="shared" si="67"/>
        <v>499.01578998197124</v>
      </c>
      <c r="CX78" s="59">
        <f t="shared" si="68"/>
        <v>782.22383767611268</v>
      </c>
      <c r="CY78" s="59">
        <f ca="1">AVERAGE(OFFSET($CX$3,0,0,'Données projet'!$E$13+1,1))-AVERAGE(OFFSET($H$3,0,0,'Données projet'!$E$13+1,1))</f>
        <v>418.79317359649315</v>
      </c>
      <c r="CZ78" s="59">
        <f t="shared" si="96"/>
        <v>286.46514989661011</v>
      </c>
      <c r="DA78" s="15">
        <f>IF(ISNA(VLOOKUP(A78,'Données projet'!$A$139:$I$159,3,0)),0,VLOOKUP(A78,'Données projet'!$A$139:$I$159,3,0))</f>
        <v>6</v>
      </c>
      <c r="DB78" s="15">
        <f>IF(ISNA(VLOOKUP(A78,'Données projet'!$A$139:$I$159,4,0)),0,VLOOKUP(A78,'Données projet'!$A$139:$I$159,4,0))</f>
        <v>38.909999999999997</v>
      </c>
      <c r="DC78" s="16">
        <f>IF(ISNA(VLOOKUP(A78,'Données projet'!$A$139:$I$159,5,0)),0%,VLOOKUP(A78,'Données projet'!$A$139:$I$159,5,0)*VLOOKUP('Données projet'!$B$13,Paramètres!$A$1:$I$89,7,0))</f>
        <v>0.25800000000000001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29.634500590600453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29.634500590600453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67.238558462038583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67.238558462038583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67.238558462038583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67.238558462038583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67.238558462038583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1.35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0.67579200000000061</v>
      </c>
      <c r="D79" s="11">
        <f t="shared" si="86"/>
        <v>0.32596792850435818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4.9778288365863013</v>
      </c>
      <c r="H79" s="67">
        <f t="shared" si="56"/>
        <v>225.74139854214511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67.286463299063811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8.6770000000000014</v>
      </c>
      <c r="N79" s="13">
        <f>IF('Données projet'!$A$36&gt;35,N78+M79-V78,IF(A79&lt;'Données projet'!$A$36,$K$205^A79,IF(A79='Données projet'!$A$36,'Données projet'!$B$36,N78+M79-V78)))</f>
        <v>255.93400000000008</v>
      </c>
      <c r="O79" s="13">
        <f>N79*VLOOKUP('Données projet'!$B$9,Paramètres!$A$1:$I$89,3,0)*VLOOKUP('Données projet'!$B$9,Paramètres!$A$1:$I$89,5,0)</f>
        <v>259.51707600000009</v>
      </c>
      <c r="P79" s="13">
        <f t="shared" si="87"/>
        <v>62.619426939193161</v>
      </c>
      <c r="Q79" s="20">
        <f t="shared" si="54"/>
        <v>561.05440928576149</v>
      </c>
      <c r="R79" s="59">
        <f t="shared" si="55"/>
        <v>844.43810804899545</v>
      </c>
      <c r="S79" s="59">
        <f ca="1">AVERAGE(OFFSET($R$3,0,0,'Données projet'!$E$9+1,1))-AVERAGE(OFFSET($H$3,0,0,'Données projet'!$E$9+1,1))</f>
        <v>665.7907881991157</v>
      </c>
      <c r="T79" s="59">
        <f t="shared" si="88"/>
        <v>306.76923535735227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35.826600257303149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35.826600257303149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67.286463299063811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15.115000000000002</v>
      </c>
      <c r="AI79" s="13">
        <f>IF('Données projet'!$A$62&gt;35,AI78+AH79-AQ78,IF(A79&lt;'Données projet'!$A$62,$AF$205^A79,IF(A79='Données projet'!$A$62,'Données projet'!$B$62,AI78+AH79-AQ78)))</f>
        <v>450.56499999999994</v>
      </c>
      <c r="AJ79" s="13">
        <f>AI79*VLOOKUP('Données projet'!$B$10,Paramètres!$A$1:$I$89,3,0)*VLOOKUP('Données projet'!$B$10,Paramètres!$A$1:$I$89,5,0)</f>
        <v>210.86441999999997</v>
      </c>
      <c r="AK79" s="13">
        <f t="shared" si="89"/>
        <v>52.12443803219238</v>
      </c>
      <c r="AL79" s="20">
        <f t="shared" si="58"/>
        <v>458.03892773940169</v>
      </c>
      <c r="AM79" s="59">
        <f t="shared" si="59"/>
        <v>741.42262650263569</v>
      </c>
      <c r="AN79" s="59">
        <f ca="1">AVERAGE(OFFSET($AM$3,0,0,'Données projet'!$E$10+1,1))-AVERAGE(OFFSET($H$3,0,0,'Données projet'!$E$10+1,1))</f>
        <v>370.42479501931444</v>
      </c>
      <c r="AO79" s="59">
        <f t="shared" si="90"/>
        <v>351.95632347830144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72.940767821020515</v>
      </c>
      <c r="AV79" s="21">
        <f>EXP(-LN(2)/25)*AV78+(1-EXP(-LN(2)/25))/(LN(2)/25)*Calculateur!AQ79*Calculateur!AS79*VLOOKUP('Données projet'!$B$10,Paramètres!$A$1:$I$89,3,0)*0.475*44/12</f>
        <v>38.486855860555607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111.42762368157612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67.286463299063811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0.8291499999999985</v>
      </c>
      <c r="BD79" s="12">
        <f>IF('Données projet'!$A$88&gt;35,BD78+BC79-BL78,IF(A79&lt;'Données projet'!$A$88,$BA$205^A79,IF(A79='Données projet'!$A$88,'Données projet'!$B$88,BD78+BC79-BL78)))</f>
        <v>76.714400000000069</v>
      </c>
      <c r="BE79" s="13">
        <f>BD79*VLOOKUP('Données projet'!$B$11,Paramètres!$A$1:$I$89,3,0)*VLOOKUP('Données projet'!$B$11,Paramètres!$A$1:$I$89,5,0)</f>
        <v>67.017699840000077</v>
      </c>
      <c r="BF79" s="13">
        <f t="shared" si="91"/>
        <v>18.930981148239642</v>
      </c>
      <c r="BG79" s="20">
        <f t="shared" si="61"/>
        <v>149.69395272118416</v>
      </c>
      <c r="BH79" s="59">
        <f t="shared" si="62"/>
        <v>433.0776514844182</v>
      </c>
      <c r="BI79" s="59">
        <f ca="1">AVERAGE(OFFSET($BH$3,0,0,'Données projet'!$E$11+1,1))-AVERAGE(OFFSET($H$3,0,0,'Données projet'!$E$11+1,1))</f>
        <v>128.92423054779167</v>
      </c>
      <c r="BJ79" s="59">
        <f t="shared" si="92"/>
        <v>127.5443711972687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4.0515758947601164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4.0515758947601164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67.286463299063811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8.6770000000000014</v>
      </c>
      <c r="BY79" s="12">
        <f>IF('Données projet'!$A$114&gt;35,BY78+BX79-CG78,IF(A79&lt;'Données projet'!$A$114,$BV$205^A79,IF(A79='Données projet'!$A$114,'Données projet'!$B$114,BY78+BX79-CG78)))</f>
        <v>255.93400000000008</v>
      </c>
      <c r="BZ79" s="13">
        <f>BY79*VLOOKUP('Données projet'!$B$12,Paramètres!$A$1:$I$89,3,0)*VLOOKUP('Données projet'!$B$12,Paramètres!$A$1:$I$89,5,0)</f>
        <v>231.56908320000005</v>
      </c>
      <c r="CA79" s="13">
        <f t="shared" si="93"/>
        <v>56.621819638037671</v>
      </c>
      <c r="CB79" s="20">
        <f t="shared" si="64"/>
        <v>501.93248910958238</v>
      </c>
      <c r="CC79" s="59">
        <f t="shared" si="65"/>
        <v>785.31618787281639</v>
      </c>
      <c r="CD79" s="59">
        <f ca="1">AVERAGE(OFFSET($CC$3,0,0,'Données projet'!$E$12+1,1))-AVERAGE(OFFSET($H$3,0,0,'Données projet'!$E$12+1,1))</f>
        <v>601.17090553269054</v>
      </c>
      <c r="CE79" s="59">
        <f t="shared" si="94"/>
        <v>279.37477930888042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31.968350998824349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31.968350998824349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67.286463299063811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8.2100000000000009</v>
      </c>
      <c r="CT79" s="12">
        <f>IF('Données projet'!$A$140&gt;35,CT78+CS79-DB78,IF(A79&lt;'Données projet'!$A$140,$CQ$205^A79,IF(A79='Données projet'!$A$140,'Données projet'!$B$140,CT78+CS79-DB78)))</f>
        <v>211.20000000000016</v>
      </c>
      <c r="CU79" s="17">
        <f>CT79*VLOOKUP('Données projet'!$B$13,Paramètres!$A$1:$I$89,3,0)*VLOOKUP('Données projet'!$B$13,Paramètres!$A$1:$I$89,5,0)</f>
        <v>200.97792000000018</v>
      </c>
      <c r="CV79" s="13">
        <f t="shared" si="95"/>
        <v>49.959023893680829</v>
      </c>
      <c r="CW79" s="20">
        <f t="shared" si="67"/>
        <v>437.04851061482776</v>
      </c>
      <c r="CX79" s="59">
        <f t="shared" si="68"/>
        <v>720.43220937806177</v>
      </c>
      <c r="CY79" s="59">
        <f ca="1">AVERAGE(OFFSET($CX$3,0,0,'Données projet'!$E$13+1,1))-AVERAGE(OFFSET($H$3,0,0,'Données projet'!$E$13+1,1))</f>
        <v>418.79317359649315</v>
      </c>
      <c r="CZ79" s="59">
        <f t="shared" si="96"/>
        <v>286.46514989661011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29.053386109279355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29.053386109279355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67.286463299063811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67.286463299063811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67.286463299063811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67.286463299063811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67.286463299063811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1.35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0.68468400000000063</v>
      </c>
      <c r="D80" s="11">
        <f t="shared" si="86"/>
        <v>0.32975484649722953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4.9788075600804884</v>
      </c>
      <c r="H80" s="67">
        <f t="shared" si="56"/>
        <v>225.76348099098269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67.333537094265822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8.6770000000000014</v>
      </c>
      <c r="N80" s="13">
        <f>IF('Données projet'!$A$36&gt;35,N79+M80-V79,IF(A80&lt;'Données projet'!$A$36,$K$205^A80,IF(A80='Données projet'!$A$36,'Données projet'!$B$36,N79+M80-V79)))</f>
        <v>264.6110000000001</v>
      </c>
      <c r="O80" s="13">
        <f>N80*VLOOKUP('Données projet'!$B$9,Paramètres!$A$1:$I$89,3,0)*VLOOKUP('Données projet'!$B$9,Paramètres!$A$1:$I$89,5,0)</f>
        <v>268.31555400000013</v>
      </c>
      <c r="P80" s="13">
        <f t="shared" si="87"/>
        <v>64.491657233004062</v>
      </c>
      <c r="Q80" s="20">
        <f t="shared" si="54"/>
        <v>579.63922623081567</v>
      </c>
      <c r="R80" s="59">
        <f t="shared" si="55"/>
        <v>863.19552890979026</v>
      </c>
      <c r="S80" s="59">
        <f ca="1">AVERAGE(OFFSET($R$3,0,0,'Données projet'!$E$9+1,1))-AVERAGE(OFFSET($H$3,0,0,'Données projet'!$E$9+1,1))</f>
        <v>665.7907881991157</v>
      </c>
      <c r="T80" s="59">
        <f t="shared" si="88"/>
        <v>306.76923535735227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35.124062478325875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35.124062478325875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67.333537094265822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15.115000000000002</v>
      </c>
      <c r="AI80" s="13">
        <f>IF('Données projet'!$A$62&gt;35,AI79+AH80-AQ79,IF(A80&lt;'Données projet'!$A$62,$AF$205^A80,IF(A80='Données projet'!$A$62,'Données projet'!$B$62,AI79+AH80-AQ79)))</f>
        <v>465.67999999999995</v>
      </c>
      <c r="AJ80" s="13">
        <f>AI80*VLOOKUP('Données projet'!$B$10,Paramètres!$A$1:$I$89,3,0)*VLOOKUP('Données projet'!$B$10,Paramètres!$A$1:$I$89,5,0)</f>
        <v>217.93823999999998</v>
      </c>
      <c r="AK80" s="13">
        <f t="shared" si="89"/>
        <v>53.666527100584652</v>
      </c>
      <c r="AL80" s="20">
        <f t="shared" si="58"/>
        <v>473.0449693668516</v>
      </c>
      <c r="AM80" s="59">
        <f t="shared" si="59"/>
        <v>756.60127204582625</v>
      </c>
      <c r="AN80" s="59">
        <f ca="1">AVERAGE(OFFSET($AM$3,0,0,'Données projet'!$E$10+1,1))-AVERAGE(OFFSET($H$3,0,0,'Données projet'!$E$10+1,1))</f>
        <v>370.42479501931444</v>
      </c>
      <c r="AO80" s="59">
        <f t="shared" si="90"/>
        <v>351.95632347830144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71.5104438535257</v>
      </c>
      <c r="AV80" s="21">
        <f>EXP(-LN(2)/25)*AV79+(1-EXP(-LN(2)/25))/(LN(2)/25)*Calculateur!AQ80*Calculateur!AS80*VLOOKUP('Données projet'!$B$10,Paramètres!$A$1:$I$89,3,0)*0.475*44/12</f>
        <v>37.434430763112928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108.94487461663863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67.333537094265822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0.8291499999999985</v>
      </c>
      <c r="BD80" s="12">
        <f>IF('Données projet'!$A$88&gt;35,BD79+BC80-BL79,IF(A80&lt;'Données projet'!$A$88,$BA$205^A80,IF(A80='Données projet'!$A$88,'Données projet'!$B$88,BD79+BC80-BL79)))</f>
        <v>77.543550000000067</v>
      </c>
      <c r="BE80" s="13">
        <f>BD80*VLOOKUP('Données projet'!$B$11,Paramètres!$A$1:$I$89,3,0)*VLOOKUP('Données projet'!$B$11,Paramètres!$A$1:$I$89,5,0)</f>
        <v>67.74204528000007</v>
      </c>
      <c r="BF80" s="13">
        <f t="shared" si="91"/>
        <v>19.111662304314219</v>
      </c>
      <c r="BG80" s="20">
        <f t="shared" si="61"/>
        <v>151.27020737601404</v>
      </c>
      <c r="BH80" s="59">
        <f t="shared" si="62"/>
        <v>434.82651005498872</v>
      </c>
      <c r="BI80" s="59">
        <f ca="1">AVERAGE(OFFSET($BH$3,0,0,'Données projet'!$E$11+1,1))-AVERAGE(OFFSET($H$3,0,0,'Données projet'!$E$11+1,1))</f>
        <v>128.92423054779167</v>
      </c>
      <c r="BJ80" s="59">
        <f t="shared" si="92"/>
        <v>127.5443711972687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3.9721269626811537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3.9721269626811537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67.333537094265822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8.6770000000000014</v>
      </c>
      <c r="BY80" s="12">
        <f>IF('Données projet'!$A$114&gt;35,BY79+BX80-CG79,IF(A80&lt;'Données projet'!$A$114,$BV$205^A80,IF(A80='Données projet'!$A$114,'Données projet'!$B$114,BY79+BX80-CG79)))</f>
        <v>264.6110000000001</v>
      </c>
      <c r="BZ80" s="13">
        <f>BY80*VLOOKUP('Données projet'!$B$12,Paramètres!$A$1:$I$89,3,0)*VLOOKUP('Données projet'!$B$12,Paramètres!$A$1:$I$89,5,0)</f>
        <v>239.42003280000009</v>
      </c>
      <c r="CA80" s="13">
        <f t="shared" si="93"/>
        <v>58.314730148380967</v>
      </c>
      <c r="CB80" s="20">
        <f t="shared" si="64"/>
        <v>518.55471213509702</v>
      </c>
      <c r="CC80" s="59">
        <f t="shared" si="65"/>
        <v>802.11101481407172</v>
      </c>
      <c r="CD80" s="59">
        <f ca="1">AVERAGE(OFFSET($CC$3,0,0,'Données projet'!$E$12+1,1))-AVERAGE(OFFSET($H$3,0,0,'Données projet'!$E$12+1,1))</f>
        <v>601.17090553269054</v>
      </c>
      <c r="CE80" s="59">
        <f t="shared" si="94"/>
        <v>279.37477930888042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31.341471134506168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31.341471134506168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67.333537094265822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8.2100000000000009</v>
      </c>
      <c r="CT80" s="12">
        <f>IF('Données projet'!$A$140&gt;35,CT79+CS80-DB79,IF(A80&lt;'Données projet'!$A$140,$CQ$205^A80,IF(A80='Données projet'!$A$140,'Données projet'!$B$140,CT79+CS80-DB79)))</f>
        <v>219.41000000000017</v>
      </c>
      <c r="CU80" s="17">
        <f>CT80*VLOOKUP('Données projet'!$B$13,Paramètres!$A$1:$I$89,3,0)*VLOOKUP('Données projet'!$B$13,Paramètres!$A$1:$I$89,5,0)</f>
        <v>208.79055600000015</v>
      </c>
      <c r="CV80" s="13">
        <f t="shared" si="95"/>
        <v>51.671202976328452</v>
      </c>
      <c r="CW80" s="20">
        <f t="shared" si="67"/>
        <v>453.63756355043893</v>
      </c>
      <c r="CX80" s="59">
        <f t="shared" si="68"/>
        <v>737.19386622941352</v>
      </c>
      <c r="CY80" s="59">
        <f ca="1">AVERAGE(OFFSET($CX$3,0,0,'Données projet'!$E$13+1,1))-AVERAGE(OFFSET($H$3,0,0,'Données projet'!$E$13+1,1))</f>
        <v>418.79317359649315</v>
      </c>
      <c r="CZ80" s="59">
        <f t="shared" si="96"/>
        <v>286.46514989661011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28.483666928492127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28.483666928492127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67.333537094265822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67.333537094265822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67.333537094265822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67.333537094265822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67.333537094265822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1.35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0.69357600000000064</v>
      </c>
      <c r="D81" s="11">
        <f t="shared" si="86"/>
        <v>0.33353604400514725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4.9797858419933796</v>
      </c>
      <c r="H81" s="67">
        <f t="shared" si="56"/>
        <v>225.78555347664229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67.379794264362317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8.6770000000000014</v>
      </c>
      <c r="N81" s="13">
        <f>IF('Données projet'!$A$36&gt;35,N80+M81-V80,IF(A81&lt;'Données projet'!$A$36,$K$205^A81,IF(A81='Données projet'!$A$36,'Données projet'!$B$36,N80+M81-V80)))</f>
        <v>273.28800000000012</v>
      </c>
      <c r="O81" s="13">
        <f>N81*VLOOKUP('Données projet'!$B$9,Paramètres!$A$1:$I$89,3,0)*VLOOKUP('Données projet'!$B$9,Paramètres!$A$1:$I$89,5,0)</f>
        <v>277.11403200000018</v>
      </c>
      <c r="P81" s="13">
        <f t="shared" si="87"/>
        <v>66.356753617040368</v>
      </c>
      <c r="Q81" s="20">
        <f t="shared" si="54"/>
        <v>598.21161828301217</v>
      </c>
      <c r="R81" s="59">
        <f t="shared" si="55"/>
        <v>881.93753058567404</v>
      </c>
      <c r="S81" s="59">
        <f ca="1">AVERAGE(OFFSET($R$3,0,0,'Données projet'!$E$9+1,1))-AVERAGE(OFFSET($H$3,0,0,'Données projet'!$E$9+1,1))</f>
        <v>665.7907881991157</v>
      </c>
      <c r="T81" s="59">
        <f t="shared" si="88"/>
        <v>306.76923535735227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34.435301036688614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34.435301036688614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67.379794264362317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15.115000000000002</v>
      </c>
      <c r="AI81" s="13">
        <f>IF('Données projet'!$A$62&gt;35,AI80+AH81-AQ80,IF(A81&lt;'Données projet'!$A$62,$AF$205^A81,IF(A81='Données projet'!$A$62,'Données projet'!$B$62,AI80+AH81-AQ80)))</f>
        <v>480.79499999999996</v>
      </c>
      <c r="AJ81" s="13">
        <f>AI81*VLOOKUP('Données projet'!$B$10,Paramètres!$A$1:$I$89,3,0)*VLOOKUP('Données projet'!$B$10,Paramètres!$A$1:$I$89,5,0)</f>
        <v>225.01205999999999</v>
      </c>
      <c r="AK81" s="13">
        <f t="shared" si="89"/>
        <v>55.202799914121982</v>
      </c>
      <c r="AL81" s="20">
        <f t="shared" si="58"/>
        <v>488.04088101709573</v>
      </c>
      <c r="AM81" s="59">
        <f t="shared" si="59"/>
        <v>771.76679331975754</v>
      </c>
      <c r="AN81" s="59">
        <f ca="1">AVERAGE(OFFSET($AM$3,0,0,'Données projet'!$E$10+1,1))-AVERAGE(OFFSET($H$3,0,0,'Données projet'!$E$10+1,1))</f>
        <v>370.42479501931444</v>
      </c>
      <c r="AO81" s="59">
        <f t="shared" si="90"/>
        <v>351.95632347830144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70.108167666621981</v>
      </c>
      <c r="AV81" s="21">
        <f>EXP(-LN(2)/25)*AV80+(1-EXP(-LN(2)/25))/(LN(2)/25)*Calculateur!AQ81*Calculateur!AS81*VLOOKUP('Données projet'!$B$10,Paramètres!$A$1:$I$89,3,0)*0.475*44/12</f>
        <v>36.410784285304452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106.51895195192643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67.379794264362317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0.8291499999999985</v>
      </c>
      <c r="BD81" s="12">
        <f>IF('Données projet'!$A$88&gt;35,BD80+BC81-BL80,IF(A81&lt;'Données projet'!$A$88,$BA$205^A81,IF(A81='Données projet'!$A$88,'Données projet'!$B$88,BD80+BC81-BL80)))</f>
        <v>78.372700000000066</v>
      </c>
      <c r="BE81" s="13">
        <f>BD81*VLOOKUP('Données projet'!$B$11,Paramètres!$A$1:$I$89,3,0)*VLOOKUP('Données projet'!$B$11,Paramètres!$A$1:$I$89,5,0)</f>
        <v>68.466390720000064</v>
      </c>
      <c r="BF81" s="13">
        <f t="shared" si="91"/>
        <v>19.292118714488179</v>
      </c>
      <c r="BG81" s="20">
        <f t="shared" si="61"/>
        <v>152.84607059840036</v>
      </c>
      <c r="BH81" s="59">
        <f t="shared" si="62"/>
        <v>436.57198290106214</v>
      </c>
      <c r="BI81" s="59">
        <f ca="1">AVERAGE(OFFSET($BH$3,0,0,'Données projet'!$E$11+1,1))-AVERAGE(OFFSET($H$3,0,0,'Données projet'!$E$11+1,1))</f>
        <v>128.92423054779167</v>
      </c>
      <c r="BJ81" s="59">
        <f t="shared" si="92"/>
        <v>127.5443711972687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3.894235975701196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3.894235975701196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67.379794264362317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8.6770000000000014</v>
      </c>
      <c r="BY81" s="12">
        <f>IF('Données projet'!$A$114&gt;35,BY80+BX81-CG80,IF(A81&lt;'Données projet'!$A$114,$BV$205^A81,IF(A81='Données projet'!$A$114,'Données projet'!$B$114,BY80+BX81-CG80)))</f>
        <v>273.28800000000012</v>
      </c>
      <c r="BZ81" s="13">
        <f>BY81*VLOOKUP('Données projet'!$B$12,Paramètres!$A$1:$I$89,3,0)*VLOOKUP('Données projet'!$B$12,Paramètres!$A$1:$I$89,5,0)</f>
        <v>247.27098240000012</v>
      </c>
      <c r="CA81" s="13">
        <f t="shared" si="93"/>
        <v>60.001190025553029</v>
      </c>
      <c r="CB81" s="20">
        <f t="shared" si="64"/>
        <v>535.16570030783839</v>
      </c>
      <c r="CC81" s="59">
        <f t="shared" si="65"/>
        <v>818.89161261050026</v>
      </c>
      <c r="CD81" s="59">
        <f ca="1">AVERAGE(OFFSET($CC$3,0,0,'Données projet'!$E$12+1,1))-AVERAGE(OFFSET($H$3,0,0,'Données projet'!$E$12+1,1))</f>
        <v>601.17090553269054</v>
      </c>
      <c r="CE81" s="59">
        <f t="shared" si="94"/>
        <v>279.37477930888042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30.726884001968305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30.726884001968305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67.379794264362317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8.2100000000000009</v>
      </c>
      <c r="CT81" s="12">
        <f>IF('Données projet'!$A$140&gt;35,CT80+CS81-DB80,IF(A81&lt;'Données projet'!$A$140,$CQ$205^A81,IF(A81='Données projet'!$A$140,'Données projet'!$B$140,CT80+CS81-DB80)))</f>
        <v>227.62000000000018</v>
      </c>
      <c r="CU81" s="17">
        <f>CT81*VLOOKUP('Données projet'!$B$13,Paramètres!$A$1:$I$89,3,0)*VLOOKUP('Données projet'!$B$13,Paramètres!$A$1:$I$89,5,0)</f>
        <v>216.60319200000018</v>
      </c>
      <c r="CV81" s="13">
        <f t="shared" si="95"/>
        <v>53.375939016073879</v>
      </c>
      <c r="CW81" s="20">
        <f t="shared" si="67"/>
        <v>470.21365318632894</v>
      </c>
      <c r="CX81" s="59">
        <f t="shared" si="68"/>
        <v>753.93956548899075</v>
      </c>
      <c r="CY81" s="59">
        <f ca="1">AVERAGE(OFFSET($CX$3,0,0,'Données projet'!$E$13+1,1))-AVERAGE(OFFSET($H$3,0,0,'Données projet'!$E$13+1,1))</f>
        <v>418.79317359649315</v>
      </c>
      <c r="CZ81" s="59">
        <f t="shared" si="96"/>
        <v>286.46514989661011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27.925119593345748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27.925119593345748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67.379794264362317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67.379794264362317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67.379794264362317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67.379794264362317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67.379794264362317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1.35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0.70246800000000065</v>
      </c>
      <c r="D82" s="11">
        <f t="shared" si="86"/>
        <v>0.33731160284783229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4.9807636886408853</v>
      </c>
      <c r="H82" s="67">
        <f t="shared" si="56"/>
        <v>225.80761614162665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67.42524897597319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8.6770000000000014</v>
      </c>
      <c r="N82" s="13">
        <f>IF('Données projet'!$A$36&gt;35,N81+M82-V81,IF(A82&lt;'Données projet'!$A$36,$K$205^A82,IF(A82='Données projet'!$A$36,'Données projet'!$B$36,N81+M82-V81)))</f>
        <v>281.96500000000015</v>
      </c>
      <c r="O82" s="13">
        <f>N82*VLOOKUP('Données projet'!$B$9,Paramètres!$A$1:$I$89,3,0)*VLOOKUP('Données projet'!$B$9,Paramètres!$A$1:$I$89,5,0)</f>
        <v>285.91251000000017</v>
      </c>
      <c r="P82" s="13">
        <f t="shared" si="87"/>
        <v>68.214968580220258</v>
      </c>
      <c r="Q82" s="20">
        <f t="shared" si="54"/>
        <v>616.77202519388391</v>
      </c>
      <c r="R82" s="59">
        <f t="shared" si="55"/>
        <v>900.66460477245232</v>
      </c>
      <c r="S82" s="59">
        <f ca="1">AVERAGE(OFFSET($R$3,0,0,'Données projet'!$E$9+1,1))-AVERAGE(OFFSET($H$3,0,0,'Données projet'!$E$9+1,1))</f>
        <v>665.7907881991157</v>
      </c>
      <c r="T82" s="59">
        <f t="shared" si="88"/>
        <v>306.76923535735227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33.760045786818864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33.760045786818864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67.42524897597319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>
        <f>VLOOKUP(A82,'Données projet'!$A$61:$I$81,2,0)</f>
        <v>495.91</v>
      </c>
      <c r="AG82" s="12">
        <f>VLOOKUP(A82,'Données projet'!$A$61:$I$81,9,0)</f>
        <v>15.115000000000002</v>
      </c>
      <c r="AH82" s="12">
        <f t="array" ref="AH82">INDEX(AG:AG,MIN(IF(ISNUMBER(AG82:AG278),ROW(AG82:AG278),"")))</f>
        <v>15.115000000000002</v>
      </c>
      <c r="AI82" s="13">
        <f>IF('Données projet'!$A$62&gt;35,AI81+AH82-AQ81,IF(A82&lt;'Données projet'!$A$62,$AF$205^A82,IF(A82='Données projet'!$A$62,'Données projet'!$B$62,AI81+AH82-AQ81)))</f>
        <v>495.90999999999997</v>
      </c>
      <c r="AJ82" s="13">
        <f>AI82*VLOOKUP('Données projet'!$B$10,Paramètres!$A$1:$I$89,3,0)*VLOOKUP('Données projet'!$B$10,Paramètres!$A$1:$I$89,5,0)</f>
        <v>232.08587999999997</v>
      </c>
      <c r="AK82" s="13">
        <f t="shared" si="89"/>
        <v>56.733460300074178</v>
      </c>
      <c r="AL82" s="20">
        <f t="shared" si="58"/>
        <v>503.02701768929575</v>
      </c>
      <c r="AM82" s="59">
        <f t="shared" si="59"/>
        <v>786.91959726786411</v>
      </c>
      <c r="AN82" s="59">
        <f ca="1">AVERAGE(OFFSET($AM$3,0,0,'Données projet'!$E$10+1,1))-AVERAGE(OFFSET($H$3,0,0,'Données projet'!$E$10+1,1))</f>
        <v>370.42479501931444</v>
      </c>
      <c r="AO82" s="59">
        <f t="shared" si="90"/>
        <v>351.95632347830144</v>
      </c>
      <c r="AP82" s="15">
        <f>IF(ISNA(VLOOKUP(A82,'Données projet'!$A$61:$I$81,3,0)),0,VLOOKUP(A82,'Données projet'!$A$61:$I$81,3,0))</f>
        <v>6</v>
      </c>
      <c r="AQ82" s="15">
        <f>IF(ISNA(VLOOKUP(A82,'Données projet'!$A$61:$I$81,4,0)),0,VLOOKUP(A82,'Données projet'!$A$61:$I$81,4,0))</f>
        <v>87.99</v>
      </c>
      <c r="AR82" s="16">
        <f>IF(ISNA(VLOOKUP(A82,'Données projet'!$A$61:$I$81,5,0)),0%,VLOOKUP(A82,'Données projet'!$A$61:$I$81,5,0)*VLOOKUP('Données projet'!$B$10,Paramètres!$A$1:$I$89,7,0))</f>
        <v>0.38500000000000001</v>
      </c>
      <c r="AS82" s="16">
        <f>IF(ISNA(VLOOKUP(A82,'Données projet'!$A$61:$I$81,6,0)),0%,VLOOKUP(A82,'Données projet'!$A$61:$I$81,6,0)*VLOOKUP('Données projet'!$B$10,Paramètres!$A$1:$I$89,7,0))</f>
        <v>0.16500000000000001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89.764792811740094</v>
      </c>
      <c r="AV82" s="21">
        <f>EXP(-LN(2)/25)*AV81+(1-EXP(-LN(2)/25))/(LN(2)/25)*Calculateur!AQ82*Calculateur!AS82*VLOOKUP('Données projet'!$B$10,Paramètres!$A$1:$I$89,3,0)*0.475*44/12</f>
        <v>44.393098717945527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134.15789152968563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67.42524897597319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0.8291499999999985</v>
      </c>
      <c r="BD82" s="12">
        <f>IF('Données projet'!$A$88&gt;35,BD81+BC82-BL81,IF(A82&lt;'Données projet'!$A$88,$BA$205^A82,IF(A82='Données projet'!$A$88,'Données projet'!$B$88,BD81+BC82-BL81)))</f>
        <v>79.201850000000064</v>
      </c>
      <c r="BE82" s="13">
        <f>BD82*VLOOKUP('Données projet'!$B$11,Paramètres!$A$1:$I$89,3,0)*VLOOKUP('Données projet'!$B$11,Paramètres!$A$1:$I$89,5,0)</f>
        <v>69.190736160000057</v>
      </c>
      <c r="BF82" s="13">
        <f t="shared" si="91"/>
        <v>19.472353031709922</v>
      </c>
      <c r="BG82" s="20">
        <f t="shared" si="61"/>
        <v>154.42154700889486</v>
      </c>
      <c r="BH82" s="59">
        <f t="shared" si="62"/>
        <v>438.31412658746319</v>
      </c>
      <c r="BI82" s="59">
        <f ca="1">AVERAGE(OFFSET($BH$3,0,0,'Données projet'!$E$11+1,1))-AVERAGE(OFFSET($H$3,0,0,'Données projet'!$E$11+1,1))</f>
        <v>128.92423054779167</v>
      </c>
      <c r="BJ82" s="59">
        <f t="shared" si="92"/>
        <v>127.5443711972687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3.8178723834671042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3.8178723834671042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67.42524897597319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8.6770000000000014</v>
      </c>
      <c r="BY82" s="12">
        <f>IF('Données projet'!$A$114&gt;35,BY81+BX82-CG81,IF(A82&lt;'Données projet'!$A$114,$BV$205^A82,IF(A82='Données projet'!$A$114,'Données projet'!$B$114,BY81+BX82-CG81)))</f>
        <v>281.96500000000015</v>
      </c>
      <c r="BZ82" s="13">
        <f>BY82*VLOOKUP('Données projet'!$B$12,Paramètres!$A$1:$I$89,3,0)*VLOOKUP('Données projet'!$B$12,Paramètres!$A$1:$I$89,5,0)</f>
        <v>255.1219320000001</v>
      </c>
      <c r="CA82" s="13">
        <f t="shared" si="93"/>
        <v>61.681427575411924</v>
      </c>
      <c r="CB82" s="20">
        <f t="shared" si="64"/>
        <v>551.76585126050918</v>
      </c>
      <c r="CC82" s="59">
        <f t="shared" si="65"/>
        <v>835.65843083907748</v>
      </c>
      <c r="CD82" s="59">
        <f ca="1">AVERAGE(OFFSET($CC$3,0,0,'Données projet'!$E$12+1,1))-AVERAGE(OFFSET($H$3,0,0,'Données projet'!$E$12+1,1))</f>
        <v>601.17090553269054</v>
      </c>
      <c r="CE82" s="59">
        <f t="shared" si="94"/>
        <v>279.37477930888042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30.124348548238373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30.124348548238373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67.42524897597319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8.2100000000000009</v>
      </c>
      <c r="CT82" s="12">
        <f>IF('Données projet'!$A$140&gt;35,CT81+CS82-DB81,IF(A82&lt;'Données projet'!$A$140,$CQ$205^A82,IF(A82='Données projet'!$A$140,'Données projet'!$B$140,CT81+CS82-DB81)))</f>
        <v>235.83000000000018</v>
      </c>
      <c r="CU82" s="17">
        <f>CT82*VLOOKUP('Données projet'!$B$13,Paramètres!$A$1:$I$89,3,0)*VLOOKUP('Données projet'!$B$13,Paramètres!$A$1:$I$89,5,0)</f>
        <v>224.4158280000002</v>
      </c>
      <c r="CV82" s="13">
        <f t="shared" si="95"/>
        <v>55.073531227874348</v>
      </c>
      <c r="CW82" s="20">
        <f t="shared" si="67"/>
        <v>486.7773006552149</v>
      </c>
      <c r="CX82" s="59">
        <f t="shared" si="68"/>
        <v>770.66988023378326</v>
      </c>
      <c r="CY82" s="59">
        <f ca="1">AVERAGE(OFFSET($CX$3,0,0,'Données projet'!$E$13+1,1))-AVERAGE(OFFSET($H$3,0,0,'Données projet'!$E$13+1,1))</f>
        <v>418.79317359649315</v>
      </c>
      <c r="CZ82" s="59">
        <f t="shared" si="96"/>
        <v>286.46514989661011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27.377525030761355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27.377525030761355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67.42524897597319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67.42524897597319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67.42524897597319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67.42524897597319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67.42524897597319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1.35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0.71136000000000066</v>
      </c>
      <c r="D83" s="11">
        <f t="shared" si="86"/>
        <v>0.34108160265450593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4.9817411061698218</v>
      </c>
      <c r="H83" s="67">
        <f t="shared" si="56"/>
        <v>225.82966912462328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67.469915149959121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8.6770000000000014</v>
      </c>
      <c r="N83" s="13">
        <f>IF('Données projet'!$A$36&gt;35,N82+M83-V82,IF(A83&lt;'Données projet'!$A$36,$K$205^A83,IF(A83='Données projet'!$A$36,'Données projet'!$B$36,N82+M83-V82)))</f>
        <v>290.64200000000017</v>
      </c>
      <c r="O83" s="13">
        <f>N83*VLOOKUP('Données projet'!$B$9,Paramètres!$A$1:$I$89,3,0)*VLOOKUP('Données projet'!$B$9,Paramètres!$A$1:$I$89,5,0)</f>
        <v>294.71098800000021</v>
      </c>
      <c r="P83" s="13">
        <f t="shared" si="87"/>
        <v>70.066538188752801</v>
      </c>
      <c r="Q83" s="20">
        <f t="shared" si="54"/>
        <v>635.3208581120781</v>
      </c>
      <c r="R83" s="59">
        <f t="shared" si="55"/>
        <v>919.37721366192818</v>
      </c>
      <c r="S83" s="59">
        <f ca="1">AVERAGE(OFFSET($R$3,0,0,'Données projet'!$E$9+1,1))-AVERAGE(OFFSET($H$3,0,0,'Données projet'!$E$9+1,1))</f>
        <v>665.7907881991157</v>
      </c>
      <c r="T83" s="59">
        <f t="shared" si="88"/>
        <v>306.76923535735227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33.098031880534023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33.098031880534023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67.469915149959121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14.212499999999999</v>
      </c>
      <c r="AI83" s="13">
        <f>IF('Données projet'!$A$62&gt;35,AI82+AH83-AQ82,IF(A83&lt;'Données projet'!$A$62,$AF$205^A83,IF(A83='Données projet'!$A$62,'Données projet'!$B$62,AI82+AH83-AQ82)))</f>
        <v>422.13249999999994</v>
      </c>
      <c r="AJ83" s="13">
        <f>AI83*VLOOKUP('Données projet'!$B$10,Paramètres!$A$1:$I$89,3,0)*VLOOKUP('Données projet'!$B$10,Paramètres!$A$1:$I$89,5,0)</f>
        <v>197.55800999999997</v>
      </c>
      <c r="AK83" s="13">
        <f t="shared" si="89"/>
        <v>49.207109119088621</v>
      </c>
      <c r="AL83" s="20">
        <f t="shared" si="58"/>
        <v>429.78258246574592</v>
      </c>
      <c r="AM83" s="59">
        <f t="shared" si="59"/>
        <v>713.83893801559611</v>
      </c>
      <c r="AN83" s="59">
        <f ca="1">AVERAGE(OFFSET($AM$3,0,0,'Données projet'!$E$10+1,1))-AVERAGE(OFFSET($H$3,0,0,'Données projet'!$E$10+1,1))</f>
        <v>370.42479501931444</v>
      </c>
      <c r="AO83" s="59">
        <f t="shared" si="90"/>
        <v>351.95632347830144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88.004559975819262</v>
      </c>
      <c r="AV83" s="21">
        <f>EXP(-LN(2)/25)*AV82+(1-EXP(-LN(2)/25))/(LN(2)/25)*Calculateur!AQ83*Calculateur!AS83*VLOOKUP('Données projet'!$B$10,Paramètres!$A$1:$I$89,3,0)*0.475*44/12</f>
        <v>43.17916709897171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131.18372707479097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67.469915149959121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80.030999999999992</v>
      </c>
      <c r="BB83" s="12">
        <f>VLOOKUP(A83,'Données projet'!$A$87:$I$107,9,0)</f>
        <v>0.8291499999999985</v>
      </c>
      <c r="BC83" s="12">
        <f t="array" ref="BC83">INDEX(BB:BB,MIN(IF(ISNUMBER(BB83:BB279),ROW(BB83:BB279),"")))</f>
        <v>0.8291499999999985</v>
      </c>
      <c r="BD83" s="12">
        <f>IF('Données projet'!$A$88&gt;35,BD82+BC83-BL82,IF(A83&lt;'Données projet'!$A$88,$BA$205^A83,IF(A83='Données projet'!$A$88,'Données projet'!$B$88,BD82+BC83-BL82)))</f>
        <v>80.031000000000063</v>
      </c>
      <c r="BE83" s="13">
        <f>BD83*VLOOKUP('Données projet'!$B$11,Paramètres!$A$1:$I$89,3,0)*VLOOKUP('Données projet'!$B$11,Paramètres!$A$1:$I$89,5,0)</f>
        <v>69.915081600000065</v>
      </c>
      <c r="BF83" s="13">
        <f t="shared" si="91"/>
        <v>19.652367850181154</v>
      </c>
      <c r="BG83" s="20">
        <f t="shared" si="61"/>
        <v>155.99664112573228</v>
      </c>
      <c r="BH83" s="59">
        <f t="shared" si="62"/>
        <v>440.05299667558245</v>
      </c>
      <c r="BI83" s="59">
        <f ca="1">AVERAGE(OFFSET($BH$3,0,0,'Données projet'!$E$11+1,1))-AVERAGE(OFFSET($H$3,0,0,'Données projet'!$E$11+1,1))</f>
        <v>128.92423054779167</v>
      </c>
      <c r="BJ83" s="59">
        <f t="shared" si="92"/>
        <v>127.5443711972687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80.030999999999992</v>
      </c>
      <c r="BM83" s="16">
        <f>IF(ISNA(VLOOKUP(A83,'Données projet'!$A$87:$I$107,5,0)),0%,VLOOKUP(A83,'Données projet'!$A$87:$I$107,5,0)*VLOOKUP('Données projet'!$B$11,Paramètres!$A$1:$I$89,7,0))</f>
        <v>0.318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28.320924704374015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28.320924704374015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67.469915149959121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8.6770000000000014</v>
      </c>
      <c r="BY83" s="12">
        <f>IF('Données projet'!$A$114&gt;35,BY82+BX83-CG82,IF(A83&lt;'Données projet'!$A$114,$BV$205^A83,IF(A83='Données projet'!$A$114,'Données projet'!$B$114,BY82+BX83-CG82)))</f>
        <v>290.64200000000017</v>
      </c>
      <c r="BZ83" s="13">
        <f>BY83*VLOOKUP('Données projet'!$B$12,Paramètres!$A$1:$I$89,3,0)*VLOOKUP('Données projet'!$B$12,Paramètres!$A$1:$I$89,5,0)</f>
        <v>262.97288160000016</v>
      </c>
      <c r="CA83" s="13">
        <f t="shared" si="93"/>
        <v>63.355656254051972</v>
      </c>
      <c r="CB83" s="20">
        <f t="shared" si="64"/>
        <v>568.35553676247412</v>
      </c>
      <c r="CC83" s="59">
        <f t="shared" si="65"/>
        <v>852.4118923123242</v>
      </c>
      <c r="CD83" s="59">
        <f ca="1">AVERAGE(OFFSET($CC$3,0,0,'Données projet'!$E$12+1,1))-AVERAGE(OFFSET($H$3,0,0,'Données projet'!$E$12+1,1))</f>
        <v>601.17090553269054</v>
      </c>
      <c r="CE83" s="59">
        <f t="shared" si="94"/>
        <v>279.37477930888042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29.533628447245746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29.533628447245746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67.469915149959121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8.2100000000000009</v>
      </c>
      <c r="CT83" s="12">
        <f>IF('Données projet'!$A$140&gt;35,CT82+CS83-DB82,IF(A83&lt;'Données projet'!$A$140,$CQ$205^A83,IF(A83='Données projet'!$A$140,'Données projet'!$B$140,CT82+CS83-DB82)))</f>
        <v>244.04000000000019</v>
      </c>
      <c r="CU83" s="17">
        <f>CT83*VLOOKUP('Données projet'!$B$13,Paramètres!$A$1:$I$89,3,0)*VLOOKUP('Données projet'!$B$13,Paramètres!$A$1:$I$89,5,0)</f>
        <v>232.22846400000017</v>
      </c>
      <c r="CV83" s="13">
        <f t="shared" si="95"/>
        <v>56.764256811986904</v>
      </c>
      <c r="CW83" s="20">
        <f t="shared" si="67"/>
        <v>503.32898874754409</v>
      </c>
      <c r="CX83" s="59">
        <f t="shared" si="68"/>
        <v>787.38534429739423</v>
      </c>
      <c r="CY83" s="59">
        <f ca="1">AVERAGE(OFFSET($CX$3,0,0,'Données projet'!$E$13+1,1))-AVERAGE(OFFSET($H$3,0,0,'Données projet'!$E$13+1,1))</f>
        <v>418.79317359649315</v>
      </c>
      <c r="CZ83" s="59">
        <f t="shared" si="96"/>
        <v>286.46514989661011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26.840668463549541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26.840668463549541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67.469915149959121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67.469915149959121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67.469915149959121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67.469915149959121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67.469915149959121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1.35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0.72025200000000067</v>
      </c>
      <c r="D84" s="11">
        <f t="shared" si="86"/>
        <v>0.3448461209491665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4.9827181005644974</v>
      </c>
      <c r="H84" s="67">
        <f t="shared" si="56"/>
        <v>225.85171256065314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67.513806465684993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8.6770000000000014</v>
      </c>
      <c r="N84" s="13">
        <f>IF('Données projet'!$A$36&gt;35,N83+M84-V83,IF(A84&lt;'Données projet'!$A$36,$K$205^A84,IF(A84='Données projet'!$A$36,'Données projet'!$B$36,N83+M84-V83)))</f>
        <v>299.31900000000019</v>
      </c>
      <c r="O84" s="13">
        <f>N84*VLOOKUP('Données projet'!$B$9,Paramètres!$A$1:$I$89,3,0)*VLOOKUP('Données projet'!$B$9,Paramètres!$A$1:$I$89,5,0)</f>
        <v>303.5094660000002</v>
      </c>
      <c r="P84" s="13">
        <f t="shared" si="87"/>
        <v>71.911683612358004</v>
      </c>
      <c r="Q84" s="20">
        <f t="shared" si="54"/>
        <v>653.85850224152387</v>
      </c>
      <c r="R84" s="59">
        <f t="shared" si="55"/>
        <v>938.07579261570208</v>
      </c>
      <c r="S84" s="59">
        <f ca="1">AVERAGE(OFFSET($R$3,0,0,'Données projet'!$E$9+1,1))-AVERAGE(OFFSET($H$3,0,0,'Données projet'!$E$9+1,1))</f>
        <v>665.7907881991157</v>
      </c>
      <c r="T84" s="59">
        <f t="shared" si="88"/>
        <v>306.76923535735227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32.448999663162816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32.448999663162816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67.513806465684993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14.212499999999999</v>
      </c>
      <c r="AI84" s="13">
        <f>IF('Données projet'!$A$62&gt;35,AI83+AH84-AQ83,IF(A84&lt;'Données projet'!$A$62,$AF$205^A84,IF(A84='Données projet'!$A$62,'Données projet'!$B$62,AI83+AH84-AQ83)))</f>
        <v>436.34499999999991</v>
      </c>
      <c r="AJ84" s="13">
        <f>AI84*VLOOKUP('Données projet'!$B$10,Paramètres!$A$1:$I$89,3,0)*VLOOKUP('Données projet'!$B$10,Paramètres!$A$1:$I$89,5,0)</f>
        <v>204.20945999999995</v>
      </c>
      <c r="AK84" s="13">
        <f t="shared" si="89"/>
        <v>50.668155185492893</v>
      </c>
      <c r="AL84" s="20">
        <f t="shared" si="58"/>
        <v>443.91184644806668</v>
      </c>
      <c r="AM84" s="59">
        <f t="shared" si="59"/>
        <v>728.12913682224496</v>
      </c>
      <c r="AN84" s="59">
        <f ca="1">AVERAGE(OFFSET($AM$3,0,0,'Données projet'!$E$10+1,1))-AVERAGE(OFFSET($H$3,0,0,'Données projet'!$E$10+1,1))</f>
        <v>370.42479501931444</v>
      </c>
      <c r="AO84" s="59">
        <f t="shared" si="90"/>
        <v>351.95632347830144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86.278844232174819</v>
      </c>
      <c r="AV84" s="21">
        <f>EXP(-LN(2)/25)*AV83+(1-EXP(-LN(2)/25))/(LN(2)/25)*Calculateur!AQ84*Calculateur!AS84*VLOOKUP('Données projet'!$B$10,Paramètres!$A$1:$I$89,3,0)*0.475*44/12</f>
        <v>41.998430503956619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128.27727473613143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67.513806465684993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7.1054273576010019E-14</v>
      </c>
      <c r="BE84" s="13">
        <f>BD84*VLOOKUP('Données projet'!$B$11,Paramètres!$A$1:$I$89,3,0)*VLOOKUP('Données projet'!$B$11,Paramètres!$A$1:$I$89,5,0)</f>
        <v>6.2073013396002357E-14</v>
      </c>
      <c r="BF84" s="13">
        <f t="shared" si="91"/>
        <v>9.8573687844725482E-13</v>
      </c>
      <c r="BG84" s="20">
        <f t="shared" si="61"/>
        <v>1.8249355616270061E-12</v>
      </c>
      <c r="BH84" s="59">
        <f t="shared" si="62"/>
        <v>284.2172903741801</v>
      </c>
      <c r="BI84" s="59">
        <f ca="1">AVERAGE(OFFSET($BH$3,0,0,'Données projet'!$E$11+1,1))-AVERAGE(OFFSET($H$3,0,0,'Données projet'!$E$11+1,1))</f>
        <v>128.92423054779167</v>
      </c>
      <c r="BJ84" s="59">
        <f t="shared" si="92"/>
        <v>127.5443711972687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27.765568644979638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27.765568644979638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67.513806465684993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8.6770000000000014</v>
      </c>
      <c r="BY84" s="12">
        <f>IF('Données projet'!$A$114&gt;35,BY83+BX84-CG83,IF(A84&lt;'Données projet'!$A$114,$BV$205^A84,IF(A84='Données projet'!$A$114,'Données projet'!$B$114,BY83+BX84-CG83)))</f>
        <v>299.31900000000019</v>
      </c>
      <c r="BZ84" s="13">
        <f>BY84*VLOOKUP('Données projet'!$B$12,Paramètres!$A$1:$I$89,3,0)*VLOOKUP('Données projet'!$B$12,Paramètres!$A$1:$I$89,5,0)</f>
        <v>270.8238312000002</v>
      </c>
      <c r="CA84" s="13">
        <f t="shared" si="93"/>
        <v>65.024076047844915</v>
      </c>
      <c r="CB84" s="20">
        <f t="shared" si="64"/>
        <v>584.93510512333023</v>
      </c>
      <c r="CC84" s="59">
        <f t="shared" si="65"/>
        <v>869.15239549750845</v>
      </c>
      <c r="CD84" s="59">
        <f ca="1">AVERAGE(OFFSET($CC$3,0,0,'Données projet'!$E$12+1,1))-AVERAGE(OFFSET($H$3,0,0,'Données projet'!$E$12+1,1))</f>
        <v>601.17090553269054</v>
      </c>
      <c r="CE84" s="59">
        <f t="shared" si="94"/>
        <v>279.37477930888042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28.9544920071299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28.9544920071299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67.513806465684993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8.2100000000000009</v>
      </c>
      <c r="CT84" s="12">
        <f>IF('Données projet'!$A$140&gt;35,CT83+CS84-DB83,IF(A84&lt;'Données projet'!$A$140,$CQ$205^A84,IF(A84='Données projet'!$A$140,'Données projet'!$B$140,CT83+CS84-DB83)))</f>
        <v>252.2500000000002</v>
      </c>
      <c r="CU84" s="17">
        <f>CT84*VLOOKUP('Données projet'!$B$13,Paramètres!$A$1:$I$89,3,0)*VLOOKUP('Données projet'!$B$13,Paramètres!$A$1:$I$89,5,0)</f>
        <v>240.0411000000002</v>
      </c>
      <c r="CV84" s="13">
        <f t="shared" si="95"/>
        <v>58.448373259299728</v>
      </c>
      <c r="CW84" s="20">
        <f t="shared" si="67"/>
        <v>519.86916592661407</v>
      </c>
      <c r="CX84" s="59">
        <f t="shared" si="68"/>
        <v>804.08645630079241</v>
      </c>
      <c r="CY84" s="59">
        <f ca="1">AVERAGE(OFFSET($CX$3,0,0,'Données projet'!$E$13+1,1))-AVERAGE(OFFSET($H$3,0,0,'Données projet'!$E$13+1,1))</f>
        <v>418.79317359649315</v>
      </c>
      <c r="CZ84" s="59">
        <f t="shared" si="96"/>
        <v>286.46514989661011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26.314339326170575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26.314339326170575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67.513806465684993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67.513806465684993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67.513806465684993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67.513806465684993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67.513806465684993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1.35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0.72914400000000068</v>
      </c>
      <c r="D85" s="11">
        <f t="shared" si="86"/>
        <v>0.34860523323153664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4.9836946776529611</v>
      </c>
      <c r="H85" s="67">
        <f t="shared" si="56"/>
        <v>225.87374658121161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67.55693636520931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8.6770000000000014</v>
      </c>
      <c r="N85" s="13">
        <f>IF('Données projet'!$A$36&gt;35,N84+M85-V84,IF(A85&lt;'Données projet'!$A$36,$K$205^A85,IF(A85='Données projet'!$A$36,'Données projet'!$B$36,N84+M85-V84)))</f>
        <v>307.99600000000021</v>
      </c>
      <c r="O85" s="13">
        <f>N85*VLOOKUP('Données projet'!$B$9,Paramètres!$A$1:$I$89,3,0)*VLOOKUP('Données projet'!$B$9,Paramètres!$A$1:$I$89,5,0)</f>
        <v>312.30794400000019</v>
      </c>
      <c r="P85" s="13">
        <f t="shared" si="87"/>
        <v>73.750612468537497</v>
      </c>
      <c r="Q85" s="20">
        <f t="shared" si="54"/>
        <v>672.38531918270314</v>
      </c>
      <c r="R85" s="59">
        <f t="shared" si="55"/>
        <v>956.76075252180385</v>
      </c>
      <c r="S85" s="59">
        <f ca="1">AVERAGE(OFFSET($R$3,0,0,'Données projet'!$E$9+1,1))-AVERAGE(OFFSET($H$3,0,0,'Données projet'!$E$9+1,1))</f>
        <v>665.7907881991157</v>
      </c>
      <c r="T85" s="59">
        <f t="shared" si="88"/>
        <v>306.76923535735227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31.812694571703695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31.812694571703695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67.55693636520931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14.212499999999999</v>
      </c>
      <c r="AI85" s="13">
        <f>IF('Données projet'!$A$62&gt;35,AI84+AH85-AQ84,IF(A85&lt;'Données projet'!$A$62,$AF$205^A85,IF(A85='Données projet'!$A$62,'Données projet'!$B$62,AI84+AH85-AQ84)))</f>
        <v>450.55749999999989</v>
      </c>
      <c r="AJ85" s="13">
        <f>AI85*VLOOKUP('Données projet'!$B$10,Paramètres!$A$1:$I$89,3,0)*VLOOKUP('Données projet'!$B$10,Paramètres!$A$1:$I$89,5,0)</f>
        <v>210.86090999999996</v>
      </c>
      <c r="AK85" s="13">
        <f t="shared" si="89"/>
        <v>52.123671374805603</v>
      </c>
      <c r="AL85" s="20">
        <f t="shared" si="58"/>
        <v>458.03147922778635</v>
      </c>
      <c r="AM85" s="59">
        <f t="shared" si="59"/>
        <v>742.40691256688706</v>
      </c>
      <c r="AN85" s="59">
        <f ca="1">AVERAGE(OFFSET($AM$3,0,0,'Données projet'!$E$10+1,1))-AVERAGE(OFFSET($H$3,0,0,'Données projet'!$E$10+1,1))</f>
        <v>370.42479501931444</v>
      </c>
      <c r="AO85" s="59">
        <f t="shared" si="90"/>
        <v>351.95632347830144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84.586968721680577</v>
      </c>
      <c r="AV85" s="21">
        <f>EXP(-LN(2)/25)*AV84+(1-EXP(-LN(2)/25))/(LN(2)/25)*Calculateur!AQ85*Calculateur!AS85*VLOOKUP('Données projet'!$B$10,Paramètres!$A$1:$I$89,3,0)*0.475*44/12</f>
        <v>40.849981213224453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125.43694993490503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67.55693636520931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7.1054273576010019E-14</v>
      </c>
      <c r="BE85" s="13">
        <f>BD85*VLOOKUP('Données projet'!$B$11,Paramètres!$A$1:$I$89,3,0)*VLOOKUP('Données projet'!$B$11,Paramètres!$A$1:$I$89,5,0)</f>
        <v>6.2073013396002357E-14</v>
      </c>
      <c r="BF85" s="13">
        <f t="shared" si="91"/>
        <v>9.8573687844725482E-13</v>
      </c>
      <c r="BG85" s="20">
        <f t="shared" si="61"/>
        <v>1.8249355616270061E-12</v>
      </c>
      <c r="BH85" s="59">
        <f t="shared" si="62"/>
        <v>284.37543333910259</v>
      </c>
      <c r="BI85" s="59">
        <f ca="1">AVERAGE(OFFSET($BH$3,0,0,'Données projet'!$E$11+1,1))-AVERAGE(OFFSET($H$3,0,0,'Données projet'!$E$11+1,1))</f>
        <v>128.92423054779167</v>
      </c>
      <c r="BJ85" s="59">
        <f t="shared" si="92"/>
        <v>127.5443711972687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27.221102779176235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27.221102779176235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67.55693636520931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8.6770000000000014</v>
      </c>
      <c r="BY85" s="12">
        <f>IF('Données projet'!$A$114&gt;35,BY84+BX85-CG84,IF(A85&lt;'Données projet'!$A$114,$BV$205^A85,IF(A85='Données projet'!$A$114,'Données projet'!$B$114,BY84+BX85-CG84)))</f>
        <v>307.99600000000021</v>
      </c>
      <c r="BZ85" s="13">
        <f>BY85*VLOOKUP('Données projet'!$B$12,Paramètres!$A$1:$I$89,3,0)*VLOOKUP('Données projet'!$B$12,Paramètres!$A$1:$I$89,5,0)</f>
        <v>278.67478080000018</v>
      </c>
      <c r="CA85" s="13">
        <f t="shared" si="93"/>
        <v>66.686874688958113</v>
      </c>
      <c r="CB85" s="20">
        <f t="shared" si="64"/>
        <v>601.50488330993562</v>
      </c>
      <c r="CC85" s="59">
        <f t="shared" si="65"/>
        <v>885.88031664903633</v>
      </c>
      <c r="CD85" s="59">
        <f ca="1">AVERAGE(OFFSET($CC$3,0,0,'Données projet'!$E$12+1,1))-AVERAGE(OFFSET($H$3,0,0,'Données projet'!$E$12+1,1))</f>
        <v>601.17090553269054</v>
      </c>
      <c r="CE85" s="59">
        <f t="shared" si="94"/>
        <v>279.37477930888042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28.386712079366379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28.386712079366379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67.55693636520931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8.2100000000000009</v>
      </c>
      <c r="CT85" s="12">
        <f>IF('Données projet'!$A$140&gt;35,CT84+CS85-DB84,IF(A85&lt;'Données projet'!$A$140,$CQ$205^A85,IF(A85='Données projet'!$A$140,'Données projet'!$B$140,CT84+CS85-DB84)))</f>
        <v>260.46000000000021</v>
      </c>
      <c r="CU85" s="17">
        <f>CT85*VLOOKUP('Données projet'!$B$13,Paramètres!$A$1:$I$89,3,0)*VLOOKUP('Données projet'!$B$13,Paramètres!$A$1:$I$89,5,0)</f>
        <v>247.8537360000002</v>
      </c>
      <c r="CV85" s="13">
        <f t="shared" si="95"/>
        <v>60.126120348104386</v>
      </c>
      <c r="CW85" s="20">
        <f t="shared" si="67"/>
        <v>536.39824980628214</v>
      </c>
      <c r="CX85" s="59">
        <f t="shared" si="68"/>
        <v>820.77368314538285</v>
      </c>
      <c r="CY85" s="59">
        <f ca="1">AVERAGE(OFFSET($CX$3,0,0,'Données projet'!$E$13+1,1))-AVERAGE(OFFSET($H$3,0,0,'Données projet'!$E$13+1,1))</f>
        <v>418.79317359649315</v>
      </c>
      <c r="CZ85" s="59">
        <f t="shared" si="96"/>
        <v>286.46514989661011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25.798331182146537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25.798331182146537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67.55693636520931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67.55693636520931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67.55693636520931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67.55693636520931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67.55693636520931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1.35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0.73803600000000069</v>
      </c>
      <c r="D86" s="11">
        <f t="shared" si="86"/>
        <v>0.35235901305394807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4.9846708431129363</v>
      </c>
      <c r="H86" s="67">
        <f t="shared" si="56"/>
        <v>225.89577131440231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67.599318057400893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8.6770000000000014</v>
      </c>
      <c r="N86" s="13">
        <f>IF('Données projet'!$A$36&gt;35,N85+M86-V85,IF(A86&lt;'Données projet'!$A$36,$K$205^A86,IF(A86='Données projet'!$A$36,'Données projet'!$B$36,N85+M86-V85)))</f>
        <v>316.67300000000023</v>
      </c>
      <c r="O86" s="13">
        <f>N86*VLOOKUP('Données projet'!$B$9,Paramètres!$A$1:$I$89,3,0)*VLOOKUP('Données projet'!$B$9,Paramètres!$A$1:$I$89,5,0)</f>
        <v>321.10642200000024</v>
      </c>
      <c r="P86" s="13">
        <f t="shared" si="87"/>
        <v>75.58352001110228</v>
      </c>
      <c r="Q86" s="20">
        <f t="shared" si="54"/>
        <v>690.90164900267018</v>
      </c>
      <c r="R86" s="59">
        <f t="shared" si="55"/>
        <v>975.4324818798068</v>
      </c>
      <c r="S86" s="59">
        <f ca="1">AVERAGE(OFFSET($R$3,0,0,'Données projet'!$E$9+1,1))-AVERAGE(OFFSET($H$3,0,0,'Données projet'!$E$9+1,1))</f>
        <v>665.7907881991157</v>
      </c>
      <c r="T86" s="59">
        <f t="shared" si="88"/>
        <v>306.76923535735227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31.188867034980305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31.188867034980305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67.599318057400893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14.212499999999999</v>
      </c>
      <c r="AI86" s="13">
        <f>IF('Données projet'!$A$62&gt;35,AI85+AH86-AQ85,IF(A86&lt;'Données projet'!$A$62,$AF$205^A86,IF(A86='Données projet'!$A$62,'Données projet'!$B$62,AI85+AH86-AQ85)))</f>
        <v>464.76999999999987</v>
      </c>
      <c r="AJ86" s="13">
        <f>AI86*VLOOKUP('Données projet'!$B$10,Paramètres!$A$1:$I$89,3,0)*VLOOKUP('Données projet'!$B$10,Paramètres!$A$1:$I$89,5,0)</f>
        <v>217.51235999999994</v>
      </c>
      <c r="AK86" s="13">
        <f t="shared" si="89"/>
        <v>53.573852135564842</v>
      </c>
      <c r="AL86" s="20">
        <f t="shared" si="58"/>
        <v>472.141819469442</v>
      </c>
      <c r="AM86" s="59">
        <f t="shared" si="59"/>
        <v>756.67265234657862</v>
      </c>
      <c r="AN86" s="59">
        <f ca="1">AVERAGE(OFFSET($AM$3,0,0,'Données projet'!$E$10+1,1))-AVERAGE(OFFSET($H$3,0,0,'Données projet'!$E$10+1,1))</f>
        <v>370.42479501931444</v>
      </c>
      <c r="AO86" s="59">
        <f t="shared" si="90"/>
        <v>351.95632347830144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82.928269858004967</v>
      </c>
      <c r="AV86" s="21">
        <f>EXP(-LN(2)/25)*AV85+(1-EXP(-LN(2)/25))/(LN(2)/25)*Calculateur!AQ86*Calculateur!AS86*VLOOKUP('Données projet'!$B$10,Paramètres!$A$1:$I$89,3,0)*0.475*44/12</f>
        <v>39.73293632874168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122.66120618674665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67.599318057400893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7.1054273576010019E-14</v>
      </c>
      <c r="BE86" s="13">
        <f>BD86*VLOOKUP('Données projet'!$B$11,Paramètres!$A$1:$I$89,3,0)*VLOOKUP('Données projet'!$B$11,Paramètres!$A$1:$I$89,5,0)</f>
        <v>6.2073013396002357E-14</v>
      </c>
      <c r="BF86" s="13">
        <f t="shared" si="91"/>
        <v>9.8573687844725482E-13</v>
      </c>
      <c r="BG86" s="20">
        <f t="shared" si="61"/>
        <v>1.8249355616270061E-12</v>
      </c>
      <c r="BH86" s="59">
        <f t="shared" si="62"/>
        <v>284.53083287713844</v>
      </c>
      <c r="BI86" s="59">
        <f ca="1">AVERAGE(OFFSET($BH$3,0,0,'Données projet'!$E$11+1,1))-AVERAGE(OFFSET($H$3,0,0,'Données projet'!$E$11+1,1))</f>
        <v>128.92423054779167</v>
      </c>
      <c r="BJ86" s="59">
        <f t="shared" si="92"/>
        <v>127.5443711972687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26.687313556909849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26.687313556909849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67.599318057400893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8.6770000000000014</v>
      </c>
      <c r="BY86" s="12">
        <f>IF('Données projet'!$A$114&gt;35,BY85+BX86-CG85,IF(A86&lt;'Données projet'!$A$114,$BV$205^A86,IF(A86='Données projet'!$A$114,'Données projet'!$B$114,BY85+BX86-CG85)))</f>
        <v>316.67300000000023</v>
      </c>
      <c r="BZ86" s="13">
        <f>BY86*VLOOKUP('Données projet'!$B$12,Paramètres!$A$1:$I$89,3,0)*VLOOKUP('Données projet'!$B$12,Paramètres!$A$1:$I$89,5,0)</f>
        <v>286.52573040000021</v>
      </c>
      <c r="CA86" s="13">
        <f t="shared" si="93"/>
        <v>68.344228730046424</v>
      </c>
      <c r="CB86" s="20">
        <f t="shared" si="64"/>
        <v>618.06517881816455</v>
      </c>
      <c r="CC86" s="59">
        <f t="shared" si="65"/>
        <v>902.59601169530117</v>
      </c>
      <c r="CD86" s="59">
        <f ca="1">AVERAGE(OFFSET($CC$3,0,0,'Données projet'!$E$12+1,1))-AVERAGE(OFFSET($H$3,0,0,'Données projet'!$E$12+1,1))</f>
        <v>601.17090553269054</v>
      </c>
      <c r="CE86" s="59">
        <f t="shared" si="94"/>
        <v>279.37477930888042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27.830065969674738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27.830065969674738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67.599318057400893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>
        <f>VLOOKUP(A86,'Données projet'!$A$139:$I$159,2,0)</f>
        <v>268.67</v>
      </c>
      <c r="CR86" s="12">
        <f>VLOOKUP(A86,'Données projet'!$A$139:$I$159,9,0)</f>
        <v>8.2100000000000009</v>
      </c>
      <c r="CS86" s="12">
        <f t="array" ref="CS86">INDEX(CR:CR,MIN(IF(ISNUMBER(CR86:CR282),ROW(CR86:CR282),"")))</f>
        <v>8.2100000000000009</v>
      </c>
      <c r="CT86" s="12">
        <f>IF('Données projet'!$A$140&gt;35,CT85+CS86-DB85,IF(A86&lt;'Données projet'!$A$140,$CQ$205^A86,IF(A86='Données projet'!$A$140,'Données projet'!$B$140,CT85+CS86-DB85)))</f>
        <v>268.67000000000019</v>
      </c>
      <c r="CU86" s="17">
        <f>CT86*VLOOKUP('Données projet'!$B$13,Paramètres!$A$1:$I$89,3,0)*VLOOKUP('Données projet'!$B$13,Paramètres!$A$1:$I$89,5,0)</f>
        <v>255.66637200000019</v>
      </c>
      <c r="CV86" s="13">
        <f t="shared" si="95"/>
        <v>61.797721882034004</v>
      </c>
      <c r="CW86" s="20">
        <f t="shared" si="67"/>
        <v>552.91663017787619</v>
      </c>
      <c r="CX86" s="59">
        <f t="shared" si="68"/>
        <v>837.4474630550128</v>
      </c>
      <c r="CY86" s="59">
        <f ca="1">AVERAGE(OFFSET($CX$3,0,0,'Données projet'!$E$13+1,1))-AVERAGE(OFFSET($H$3,0,0,'Données projet'!$E$13+1,1))</f>
        <v>418.79317359649315</v>
      </c>
      <c r="CZ86" s="59">
        <f t="shared" si="96"/>
        <v>286.46514989661011</v>
      </c>
      <c r="DA86" s="15">
        <f>IF(ISNA(VLOOKUP(A86,'Données projet'!$A$139:$I$159,3,0)),0,VLOOKUP(A86,'Données projet'!$A$139:$I$159,3,0))</f>
        <v>7</v>
      </c>
      <c r="DB86" s="15">
        <f>IF(ISNA(VLOOKUP(A86,'Données projet'!$A$139:$I$159,4,0)),0,VLOOKUP(A86,'Données projet'!$A$139:$I$159,4,0))</f>
        <v>44.22</v>
      </c>
      <c r="DC86" s="16">
        <f>IF(ISNA(VLOOKUP(A86,'Données projet'!$A$139:$I$159,5,0)),0%,VLOOKUP(A86,'Données projet'!$A$139:$I$159,5,0)*VLOOKUP('Données projet'!$B$13,Paramètres!$A$1:$I$89,7,0))</f>
        <v>0.25800000000000001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37.294064851928766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37.294064851928766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67.599318057400893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67.599318057400893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67.599318057400893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67.599318057400893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67.599318057400893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1.35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0.7469280000000007</v>
      </c>
      <c r="D87" s="11">
        <f t="shared" si="86"/>
        <v>0.35610753209441637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4.9856466024774635</v>
      </c>
      <c r="H87" s="67">
        <f t="shared" si="56"/>
        <v>225.91778688506446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67.640964521984216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325.35000000000002</v>
      </c>
      <c r="L87" s="12">
        <f>VLOOKUP(A87,'Données projet'!$A$35:$I$55,9,0)</f>
        <v>8.6770000000000014</v>
      </c>
      <c r="M87" s="12">
        <f t="array" ref="M87">INDEX(L:L,MIN(IF(ISNUMBER(L87:L283),ROW(L87:L283),"")))</f>
        <v>8.6770000000000014</v>
      </c>
      <c r="N87" s="13">
        <f>IF('Données projet'!$A$36&gt;35,N86+M87-V86,IF(A87&lt;'Données projet'!$A$36,$K$205^A87,IF(A87='Données projet'!$A$36,'Données projet'!$B$36,N86+M87-V86)))</f>
        <v>325.35000000000025</v>
      </c>
      <c r="O87" s="13">
        <f>N87*VLOOKUP('Données projet'!$B$9,Paramètres!$A$1:$I$89,3,0)*VLOOKUP('Données projet'!$B$9,Paramètres!$A$1:$I$89,5,0)</f>
        <v>329.90490000000028</v>
      </c>
      <c r="P87" s="13">
        <f t="shared" si="87"/>
        <v>77.410590184772218</v>
      </c>
      <c r="Q87" s="20">
        <f t="shared" si="54"/>
        <v>709.40781207181215</v>
      </c>
      <c r="R87" s="59">
        <f t="shared" si="55"/>
        <v>994.09134865242095</v>
      </c>
      <c r="S87" s="59">
        <f ca="1">AVERAGE(OFFSET($R$3,0,0,'Données projet'!$E$9+1,1))-AVERAGE(OFFSET($H$3,0,0,'Données projet'!$E$9+1,1))</f>
        <v>665.7907881991157</v>
      </c>
      <c r="T87" s="59">
        <f t="shared" si="88"/>
        <v>306.76923535735227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61.47</v>
      </c>
      <c r="W87" s="16">
        <f>IF(ISNA(VLOOKUP(A87,'Données projet'!$A$35:$I$55,5,0)),0%,VLOOKUP(A87,'Données projet'!$A$35:$I$55,5,0)*VLOOKUP('Données projet'!$B$9,Paramètres!$A$1:$I$89,7,0))</f>
        <v>0.25800000000000001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48.354661737464937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48.354661737464937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67.640964521984216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14.212499999999999</v>
      </c>
      <c r="AI87" s="13">
        <f>IF('Données projet'!$A$62&gt;35,AI86+AH87-AQ86,IF(A87&lt;'Données projet'!$A$62,$AF$205^A87,IF(A87='Données projet'!$A$62,'Données projet'!$B$62,AI86+AH87-AQ86)))</f>
        <v>478.98249999999985</v>
      </c>
      <c r="AJ87" s="13">
        <f>AI87*VLOOKUP('Données projet'!$B$10,Paramètres!$A$1:$I$89,3,0)*VLOOKUP('Données projet'!$B$10,Paramètres!$A$1:$I$89,5,0)</f>
        <v>224.16380999999993</v>
      </c>
      <c r="AK87" s="13">
        <f t="shared" si="89"/>
        <v>55.018879348273053</v>
      </c>
      <c r="AL87" s="20">
        <f t="shared" si="58"/>
        <v>486.24318394824201</v>
      </c>
      <c r="AM87" s="59">
        <f t="shared" si="59"/>
        <v>770.92672052885086</v>
      </c>
      <c r="AN87" s="59">
        <f ca="1">AVERAGE(OFFSET($AM$3,0,0,'Données projet'!$E$10+1,1))-AVERAGE(OFFSET($H$3,0,0,'Données projet'!$E$10+1,1))</f>
        <v>370.42479501931444</v>
      </c>
      <c r="AO87" s="59">
        <f t="shared" si="90"/>
        <v>351.95632347830144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81.302097067339616</v>
      </c>
      <c r="AV87" s="21">
        <f>EXP(-LN(2)/25)*AV86+(1-EXP(-LN(2)/25))/(LN(2)/25)*Calculateur!AQ87*Calculateur!AS87*VLOOKUP('Données projet'!$B$10,Paramètres!$A$1:$I$89,3,0)*0.475*44/12</f>
        <v>38.646437095367929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119.94853416270755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67.640964521984216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7.1054273576010019E-14</v>
      </c>
      <c r="BE87" s="13">
        <f>BD87*VLOOKUP('Données projet'!$B$11,Paramètres!$A$1:$I$89,3,0)*VLOOKUP('Données projet'!$B$11,Paramètres!$A$1:$I$89,5,0)</f>
        <v>6.2073013396002357E-14</v>
      </c>
      <c r="BF87" s="13">
        <f t="shared" si="91"/>
        <v>9.8573687844725482E-13</v>
      </c>
      <c r="BG87" s="20">
        <f t="shared" si="61"/>
        <v>1.8249355616270061E-12</v>
      </c>
      <c r="BH87" s="59">
        <f t="shared" si="62"/>
        <v>284.68353658061062</v>
      </c>
      <c r="BI87" s="59">
        <f ca="1">AVERAGE(OFFSET($BH$3,0,0,'Données projet'!$E$11+1,1))-AVERAGE(OFFSET($H$3,0,0,'Données projet'!$E$11+1,1))</f>
        <v>128.92423054779167</v>
      </c>
      <c r="BJ87" s="59">
        <f t="shared" si="92"/>
        <v>127.5443711972687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26.163991615712831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26.163991615712831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67.640964521984216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325.35000000000002</v>
      </c>
      <c r="BW87" s="12">
        <f>VLOOKUP(A87,'Données projet'!$A$113:$I$133,9,0)</f>
        <v>8.6770000000000014</v>
      </c>
      <c r="BX87" s="12">
        <f t="array" ref="BX87">INDEX(BW:BW,MIN(IF(ISNUMBER(BW87:BW283),ROW(BW87:BW283),"")))</f>
        <v>8.6770000000000014</v>
      </c>
      <c r="BY87" s="12">
        <f>IF('Données projet'!$A$114&gt;35,BY86+BX87-CG86,IF(A87&lt;'Données projet'!$A$114,$BV$205^A87,IF(A87='Données projet'!$A$114,'Données projet'!$B$114,BY86+BX87-CG86)))</f>
        <v>325.35000000000025</v>
      </c>
      <c r="BZ87" s="13">
        <f>BY87*VLOOKUP('Données projet'!$B$12,Paramètres!$A$1:$I$89,3,0)*VLOOKUP('Données projet'!$B$12,Paramètres!$A$1:$I$89,5,0)</f>
        <v>294.37668000000025</v>
      </c>
      <c r="CA87" s="13">
        <f t="shared" si="93"/>
        <v>69.99630449784344</v>
      </c>
      <c r="CB87" s="20">
        <f t="shared" si="64"/>
        <v>634.61628133374438</v>
      </c>
      <c r="CC87" s="59">
        <f t="shared" si="65"/>
        <v>919.29981791435318</v>
      </c>
      <c r="CD87" s="59">
        <f ca="1">AVERAGE(OFFSET($CC$3,0,0,'Données projet'!$E$12+1,1))-AVERAGE(OFFSET($H$3,0,0,'Données projet'!$E$12+1,1))</f>
        <v>601.17090553269054</v>
      </c>
      <c r="CE87" s="59">
        <f t="shared" si="94"/>
        <v>279.37477930888042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61.47</v>
      </c>
      <c r="CH87" s="16">
        <f>IF(ISNA(VLOOKUP(A87,'Données projet'!$A$113:$I$133,5,0)),0%,VLOOKUP(A87,'Données projet'!$A$113:$I$133,5,0)*VLOOKUP('Données projet'!$B$12,Paramètres!$A$1:$I$89,7,0))</f>
        <v>0.25800000000000001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43.147236627276406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43.147236627276406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67.640964521984216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7.9879999999999969</v>
      </c>
      <c r="CT87" s="12">
        <f>IF('Données projet'!$A$140&gt;35,CT86+CS87-DB86,IF(A87&lt;'Données projet'!$A$140,$CQ$205^A87,IF(A87='Données projet'!$A$140,'Données projet'!$B$140,CT86+CS87-DB86)))</f>
        <v>232.43800000000019</v>
      </c>
      <c r="CU87" s="17">
        <f>CT87*VLOOKUP('Données projet'!$B$13,Paramètres!$A$1:$I$89,3,0)*VLOOKUP('Données projet'!$B$13,Paramètres!$A$1:$I$89,5,0)</f>
        <v>221.1880008000002</v>
      </c>
      <c r="CV87" s="13">
        <f t="shared" si="95"/>
        <v>54.373010838332092</v>
      </c>
      <c r="CW87" s="20">
        <f t="shared" si="67"/>
        <v>479.93542860342876</v>
      </c>
      <c r="CX87" s="59">
        <f t="shared" si="68"/>
        <v>764.61896518403751</v>
      </c>
      <c r="CY87" s="59">
        <f ca="1">AVERAGE(OFFSET($CX$3,0,0,'Données projet'!$E$13+1,1))-AVERAGE(OFFSET($H$3,0,0,'Données projet'!$E$13+1,1))</f>
        <v>418.79317359649315</v>
      </c>
      <c r="CZ87" s="59">
        <f t="shared" si="96"/>
        <v>286.46514989661011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36.562750987315908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36.562750987315908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67.640964521984216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67.640964521984216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67.640964521984216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67.640964521984216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67.640964521984216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1.35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0.75582000000000071</v>
      </c>
      <c r="D88" s="11">
        <f t="shared" si="86"/>
        <v>0.35985086022613627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4.9866219611402629</v>
      </c>
      <c r="H88" s="67">
        <f t="shared" si="56"/>
        <v>225.93979341489387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67.681888513514565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8.2910000000000021</v>
      </c>
      <c r="N88" s="13">
        <f>IF('Données projet'!$A$36&gt;35,N87+M88-V87,IF(A88&lt;'Données projet'!$A$36,$K$205^A88,IF(A88='Données projet'!$A$36,'Données projet'!$B$36,N87+M88-V87)))</f>
        <v>272.17100000000028</v>
      </c>
      <c r="O88" s="13">
        <f>N88*VLOOKUP('Données projet'!$B$9,Paramètres!$A$1:$I$89,3,0)*VLOOKUP('Données projet'!$B$9,Paramètres!$A$1:$I$89,5,0)</f>
        <v>275.98139400000031</v>
      </c>
      <c r="P88" s="13">
        <f t="shared" si="87"/>
        <v>66.117048721763197</v>
      </c>
      <c r="Q88" s="20">
        <f t="shared" si="54"/>
        <v>595.82145440707143</v>
      </c>
      <c r="R88" s="59">
        <f t="shared" si="55"/>
        <v>880.65504562329147</v>
      </c>
      <c r="S88" s="59">
        <f ca="1">AVERAGE(OFFSET($R$3,0,0,'Données projet'!$E$9+1,1))-AVERAGE(OFFSET($H$3,0,0,'Données projet'!$E$9+1,1))</f>
        <v>665.7907881991157</v>
      </c>
      <c r="T88" s="59">
        <f t="shared" si="88"/>
        <v>306.76923535735227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47.406456314224677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47.406456314224677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67.681888513514565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14.212499999999999</v>
      </c>
      <c r="AI88" s="13">
        <f>IF('Données projet'!$A$62&gt;35,AI87+AH88-AQ87,IF(A88&lt;'Données projet'!$A$62,$AF$205^A88,IF(A88='Données projet'!$A$62,'Données projet'!$B$62,AI87+AH88-AQ87)))</f>
        <v>493.19499999999982</v>
      </c>
      <c r="AJ88" s="13">
        <f>AI88*VLOOKUP('Données projet'!$B$10,Paramètres!$A$1:$I$89,3,0)*VLOOKUP('Données projet'!$B$10,Paramètres!$A$1:$I$89,5,0)</f>
        <v>230.81525999999991</v>
      </c>
      <c r="AK88" s="13">
        <f t="shared" si="89"/>
        <v>56.458923486259444</v>
      </c>
      <c r="AL88" s="20">
        <f t="shared" si="58"/>
        <v>500.33586957190164</v>
      </c>
      <c r="AM88" s="59">
        <f t="shared" si="59"/>
        <v>785.1694607881218</v>
      </c>
      <c r="AN88" s="59">
        <f ca="1">AVERAGE(OFFSET($AM$3,0,0,'Données projet'!$E$10+1,1))-AVERAGE(OFFSET($H$3,0,0,'Données projet'!$E$10+1,1))</f>
        <v>370.42479501931444</v>
      </c>
      <c r="AO88" s="59">
        <f t="shared" si="90"/>
        <v>351.95632347830144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79.70781253323176</v>
      </c>
      <c r="AV88" s="21">
        <f>EXP(-LN(2)/25)*AV87+(1-EXP(-LN(2)/25))/(LN(2)/25)*Calculateur!AQ88*Calculateur!AS88*VLOOKUP('Données projet'!$B$10,Paramètres!$A$1:$I$89,3,0)*0.475*44/12</f>
        <v>37.589648240667294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117.29746077389905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67.681888513514565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7.1054273576010019E-14</v>
      </c>
      <c r="BE88" s="13">
        <f>BD88*VLOOKUP('Données projet'!$B$11,Paramètres!$A$1:$I$89,3,0)*VLOOKUP('Données projet'!$B$11,Paramètres!$A$1:$I$89,5,0)</f>
        <v>6.2073013396002357E-14</v>
      </c>
      <c r="BF88" s="13">
        <f t="shared" si="91"/>
        <v>9.8573687844725482E-13</v>
      </c>
      <c r="BG88" s="20">
        <f t="shared" si="61"/>
        <v>1.8249355616270061E-12</v>
      </c>
      <c r="BH88" s="59">
        <f t="shared" si="62"/>
        <v>284.83359121622192</v>
      </c>
      <c r="BI88" s="59">
        <f ca="1">AVERAGE(OFFSET($BH$3,0,0,'Données projet'!$E$11+1,1))-AVERAGE(OFFSET($H$3,0,0,'Données projet'!$E$11+1,1))</f>
        <v>128.92423054779167</v>
      </c>
      <c r="BJ88" s="59">
        <f t="shared" si="92"/>
        <v>127.5443711972687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25.650931698587822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25.650931698587822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67.681888513514565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8.2910000000000021</v>
      </c>
      <c r="BY88" s="12">
        <f>IF('Données projet'!$A$114&gt;35,BY87+BX88-CG87,IF(A88&lt;'Données projet'!$A$114,$BV$205^A88,IF(A88='Données projet'!$A$114,'Données projet'!$B$114,BY87+BX88-CG87)))</f>
        <v>272.17100000000028</v>
      </c>
      <c r="BZ88" s="13">
        <f>BY88*VLOOKUP('Données projet'!$B$12,Paramètres!$A$1:$I$89,3,0)*VLOOKUP('Données projet'!$B$12,Paramètres!$A$1:$I$89,5,0)</f>
        <v>246.26032080000024</v>
      </c>
      <c r="CA88" s="13">
        <f t="shared" si="93"/>
        <v>59.784443753506842</v>
      </c>
      <c r="CB88" s="20">
        <f t="shared" si="64"/>
        <v>533.02796493069138</v>
      </c>
      <c r="CC88" s="59">
        <f t="shared" si="65"/>
        <v>817.86155614691143</v>
      </c>
      <c r="CD88" s="59">
        <f ca="1">AVERAGE(OFFSET($CC$3,0,0,'Données projet'!$E$12+1,1))-AVERAGE(OFFSET($H$3,0,0,'Données projet'!$E$12+1,1))</f>
        <v>601.17090553269054</v>
      </c>
      <c r="CE88" s="59">
        <f t="shared" si="94"/>
        <v>279.37477930888042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42.301145634231247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42.301145634231247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67.681888513514565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7.9879999999999969</v>
      </c>
      <c r="CT88" s="12">
        <f>IF('Données projet'!$A$140&gt;35,CT87+CS88-DB87,IF(A88&lt;'Données projet'!$A$140,$CQ$205^A88,IF(A88='Données projet'!$A$140,'Données projet'!$B$140,CT87+CS88-DB87)))</f>
        <v>240.42600000000019</v>
      </c>
      <c r="CU88" s="17">
        <f>CT88*VLOOKUP('Données projet'!$B$13,Paramètres!$A$1:$I$89,3,0)*VLOOKUP('Données projet'!$B$13,Paramètres!$A$1:$I$89,5,0)</f>
        <v>228.78938160000021</v>
      </c>
      <c r="CV88" s="13">
        <f t="shared" si="95"/>
        <v>56.020837182743769</v>
      </c>
      <c r="CW88" s="20">
        <f t="shared" si="67"/>
        <v>496.04446437994574</v>
      </c>
      <c r="CX88" s="59">
        <f t="shared" si="68"/>
        <v>780.87805559616584</v>
      </c>
      <c r="CY88" s="59">
        <f ca="1">AVERAGE(OFFSET($CX$3,0,0,'Données projet'!$E$13+1,1))-AVERAGE(OFFSET($H$3,0,0,'Données projet'!$E$13+1,1))</f>
        <v>418.79317359649315</v>
      </c>
      <c r="CZ88" s="59">
        <f t="shared" si="96"/>
        <v>286.46514989661011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35.845777741530696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35.845777741530696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67.681888513514565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67.681888513514565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67.681888513514565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67.681888513514565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67.681888513514565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1.35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0.76471200000000072</v>
      </c>
      <c r="D89" s="11">
        <f t="shared" si="86"/>
        <v>0.36358906558361342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4.9875969243608402</v>
      </c>
      <c r="H89" s="67">
        <f t="shared" si="56"/>
        <v>225.96179102255812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67.722102565284203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8.2910000000000021</v>
      </c>
      <c r="N89" s="13">
        <f>IF('Données projet'!$A$36&gt;35,N88+M89-V88,IF(A89&lt;'Données projet'!$A$36,$K$205^A89,IF(A89='Données projet'!$A$36,'Données projet'!$B$36,N88+M89-V88)))</f>
        <v>280.46200000000027</v>
      </c>
      <c r="O89" s="13">
        <f>N89*VLOOKUP('Données projet'!$B$9,Paramètres!$A$1:$I$89,3,0)*VLOOKUP('Données projet'!$B$9,Paramètres!$A$1:$I$89,5,0)</f>
        <v>284.38846800000033</v>
      </c>
      <c r="P89" s="13">
        <f t="shared" si="87"/>
        <v>67.893577257383939</v>
      </c>
      <c r="Q89" s="20">
        <f t="shared" si="54"/>
        <v>613.55789548994426</v>
      </c>
      <c r="R89" s="59">
        <f t="shared" si="55"/>
        <v>898.53893822931968</v>
      </c>
      <c r="S89" s="59">
        <f ca="1">AVERAGE(OFFSET($R$3,0,0,'Données projet'!$E$9+1,1))-AVERAGE(OFFSET($H$3,0,0,'Données projet'!$E$9+1,1))</f>
        <v>665.7907881991157</v>
      </c>
      <c r="T89" s="59">
        <f t="shared" si="88"/>
        <v>306.76923535735227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46.476844620985958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46.476844620985958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67.722102565284203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14.212499999999999</v>
      </c>
      <c r="AI89" s="13">
        <f>IF('Données projet'!$A$62&gt;35,AI88+AH89-AQ88,IF(A89&lt;'Données projet'!$A$62,$AF$205^A89,IF(A89='Données projet'!$A$62,'Données projet'!$B$62,AI88+AH89-AQ88)))</f>
        <v>507.4074999999998</v>
      </c>
      <c r="AJ89" s="13">
        <f>AI89*VLOOKUP('Données projet'!$B$10,Paramètres!$A$1:$I$89,3,0)*VLOOKUP('Données projet'!$B$10,Paramètres!$A$1:$I$89,5,0)</f>
        <v>237.46670999999992</v>
      </c>
      <c r="AK89" s="13">
        <f t="shared" si="89"/>
        <v>57.89414463897004</v>
      </c>
      <c r="AL89" s="20">
        <f t="shared" si="58"/>
        <v>514.42015516287267</v>
      </c>
      <c r="AM89" s="59">
        <f t="shared" si="59"/>
        <v>799.4011979022481</v>
      </c>
      <c r="AN89" s="59">
        <f ca="1">AVERAGE(OFFSET($AM$3,0,0,'Données projet'!$E$10+1,1))-AVERAGE(OFFSET($H$3,0,0,'Données projet'!$E$10+1,1))</f>
        <v>370.42479501931444</v>
      </c>
      <c r="AO89" s="59">
        <f t="shared" si="90"/>
        <v>351.95632347830144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78.144790946420201</v>
      </c>
      <c r="AV89" s="21">
        <f>EXP(-LN(2)/25)*AV88+(1-EXP(-LN(2)/25))/(LN(2)/25)*Calculateur!AQ89*Calculateur!AS89*VLOOKUP('Données projet'!$B$10,Paramètres!$A$1:$I$89,3,0)*0.475*44/12</f>
        <v>36.561757332772558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114.70654827919276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67.722102565284203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7.1054273576010019E-14</v>
      </c>
      <c r="BE89" s="13">
        <f>BD89*VLOOKUP('Données projet'!$B$11,Paramètres!$A$1:$I$89,3,0)*VLOOKUP('Données projet'!$B$11,Paramètres!$A$1:$I$89,5,0)</f>
        <v>6.2073013396002357E-14</v>
      </c>
      <c r="BF89" s="13">
        <f t="shared" si="91"/>
        <v>9.8573687844725482E-13</v>
      </c>
      <c r="BG89" s="20">
        <f t="shared" si="61"/>
        <v>1.8249355616270061E-12</v>
      </c>
      <c r="BH89" s="59">
        <f t="shared" si="62"/>
        <v>284.98104273937724</v>
      </c>
      <c r="BI89" s="59">
        <f ca="1">AVERAGE(OFFSET($BH$3,0,0,'Données projet'!$E$11+1,1))-AVERAGE(OFFSET($H$3,0,0,'Données projet'!$E$11+1,1))</f>
        <v>128.92423054779167</v>
      </c>
      <c r="BJ89" s="59">
        <f t="shared" si="92"/>
        <v>127.5443711972687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25.147932573501983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25.147932573501983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67.722102565284203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8.2910000000000021</v>
      </c>
      <c r="BY89" s="12">
        <f>IF('Données projet'!$A$114&gt;35,BY88+BX89-CG88,IF(A89&lt;'Données projet'!$A$114,$BV$205^A89,IF(A89='Données projet'!$A$114,'Données projet'!$B$114,BY88+BX89-CG88)))</f>
        <v>280.46200000000027</v>
      </c>
      <c r="BZ89" s="13">
        <f>BY89*VLOOKUP('Données projet'!$B$12,Paramètres!$A$1:$I$89,3,0)*VLOOKUP('Données projet'!$B$12,Paramètres!$A$1:$I$89,5,0)</f>
        <v>253.76201760000023</v>
      </c>
      <c r="CA89" s="13">
        <f t="shared" si="93"/>
        <v>61.390818695638195</v>
      </c>
      <c r="CB89" s="20">
        <f t="shared" si="64"/>
        <v>548.89118988157031</v>
      </c>
      <c r="CC89" s="59">
        <f t="shared" si="65"/>
        <v>833.87223262094574</v>
      </c>
      <c r="CD89" s="59">
        <f ca="1">AVERAGE(OFFSET($CC$3,0,0,'Données projet'!$E$12+1,1))-AVERAGE(OFFSET($H$3,0,0,'Données projet'!$E$12+1,1))</f>
        <v>601.17090553269054</v>
      </c>
      <c r="CE89" s="59">
        <f t="shared" si="94"/>
        <v>279.37477930888042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41.471645969495157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41.471645969495157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67.722102565284203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7.9879999999999969</v>
      </c>
      <c r="CT89" s="12">
        <f>IF('Données projet'!$A$140&gt;35,CT88+CS89-DB88,IF(A89&lt;'Données projet'!$A$140,$CQ$205^A89,IF(A89='Données projet'!$A$140,'Données projet'!$B$140,CT88+CS89-DB88)))</f>
        <v>248.41400000000019</v>
      </c>
      <c r="CU89" s="17">
        <f>CT89*VLOOKUP('Données projet'!$B$13,Paramètres!$A$1:$I$89,3,0)*VLOOKUP('Données projet'!$B$13,Paramètres!$A$1:$I$89,5,0)</f>
        <v>236.39076240000017</v>
      </c>
      <c r="CV89" s="13">
        <f t="shared" si="95"/>
        <v>57.662301933013048</v>
      </c>
      <c r="CW89" s="20">
        <f t="shared" si="67"/>
        <v>512.14242037999793</v>
      </c>
      <c r="CX89" s="59">
        <f t="shared" si="68"/>
        <v>797.12346311937335</v>
      </c>
      <c r="CY89" s="59">
        <f ca="1">AVERAGE(OFFSET($CX$3,0,0,'Données projet'!$E$13+1,1))-AVERAGE(OFFSET($H$3,0,0,'Données projet'!$E$13+1,1))</f>
        <v>418.79317359649315</v>
      </c>
      <c r="CZ89" s="59">
        <f t="shared" si="96"/>
        <v>286.46514989661011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35.142863903784836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35.142863903784836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67.722102565284203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67.722102565284203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67.722102565284203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67.722102565284203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67.722102565284203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1.35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0.77360400000000074</v>
      </c>
      <c r="D90" s="11">
        <f t="shared" si="86"/>
        <v>0.3673222146256328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4.9885714972693469</v>
      </c>
      <c r="H90" s="67">
        <f t="shared" si="56"/>
        <v>225.98377982380632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67.761618993160795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8.2910000000000021</v>
      </c>
      <c r="N90" s="13">
        <f>IF('Données projet'!$A$36&gt;35,N89+M90-V89,IF(A90&lt;'Données projet'!$A$36,$K$205^A90,IF(A90='Données projet'!$A$36,'Données projet'!$B$36,N89+M90-V89)))</f>
        <v>288.75300000000027</v>
      </c>
      <c r="O90" s="13">
        <f>N90*VLOOKUP('Données projet'!$B$9,Paramètres!$A$1:$I$89,3,0)*VLOOKUP('Données projet'!$B$9,Paramètres!$A$1:$I$89,5,0)</f>
        <v>292.7955420000003</v>
      </c>
      <c r="P90" s="13">
        <f t="shared" si="87"/>
        <v>69.664002307656872</v>
      </c>
      <c r="Q90" s="20">
        <f t="shared" si="54"/>
        <v>631.2837063358362</v>
      </c>
      <c r="R90" s="59">
        <f t="shared" si="55"/>
        <v>916.4096426440924</v>
      </c>
      <c r="S90" s="59">
        <f ca="1">AVERAGE(OFFSET($R$3,0,0,'Données projet'!$E$9+1,1))-AVERAGE(OFFSET($H$3,0,0,'Données projet'!$E$9+1,1))</f>
        <v>665.7907881991157</v>
      </c>
      <c r="T90" s="59">
        <f t="shared" si="88"/>
        <v>306.76923535735227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45.565462046044502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45.565462046044502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67.761618993160795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521.62</v>
      </c>
      <c r="AG90" s="12">
        <f>VLOOKUP(A90,'Données projet'!$A$61:$I$81,9,0)</f>
        <v>14.212499999999999</v>
      </c>
      <c r="AH90" s="12">
        <f t="array" ref="AH90">INDEX(AG:AG,MIN(IF(ISNUMBER(AG90:AG286),ROW(AG90:AG286),"")))</f>
        <v>14.212499999999999</v>
      </c>
      <c r="AI90" s="13">
        <f>IF('Données projet'!$A$62&gt;35,AI89+AH90-AQ89,IF(A90&lt;'Données projet'!$A$62,$AF$205^A90,IF(A90='Données projet'!$A$62,'Données projet'!$B$62,AI89+AH90-AQ89)))</f>
        <v>521.61999999999978</v>
      </c>
      <c r="AJ90" s="13">
        <f>AI90*VLOOKUP('Données projet'!$B$10,Paramètres!$A$1:$I$89,3,0)*VLOOKUP('Données projet'!$B$10,Paramètres!$A$1:$I$89,5,0)</f>
        <v>244.11815999999988</v>
      </c>
      <c r="AK90" s="13">
        <f t="shared" si="89"/>
        <v>59.324693417385667</v>
      </c>
      <c r="AL90" s="20">
        <f t="shared" si="58"/>
        <v>528.49630303527977</v>
      </c>
      <c r="AM90" s="59">
        <f t="shared" si="59"/>
        <v>813.62223934353597</v>
      </c>
      <c r="AN90" s="59">
        <f ca="1">AVERAGE(OFFSET($AM$3,0,0,'Données projet'!$E$10+1,1))-AVERAGE(OFFSET($H$3,0,0,'Données projet'!$E$10+1,1))</f>
        <v>370.42479501931444</v>
      </c>
      <c r="AO90" s="59">
        <f t="shared" si="90"/>
        <v>351.95632347830144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88.62</v>
      </c>
      <c r="AR90" s="16">
        <f>IF(ISNA(VLOOKUP(A90,'Données projet'!$A$61:$I$81,5,0)),0%,VLOOKUP(A90,'Données projet'!$A$61:$I$81,5,0)*VLOOKUP('Données projet'!$B$10,Paramètres!$A$1:$I$89,7,0))</f>
        <v>0.38500000000000001</v>
      </c>
      <c r="AS90" s="16">
        <f>IF(ISNA(VLOOKUP(A90,'Données projet'!$A$61:$I$81,6,0)),0%,VLOOKUP(A90,'Données projet'!$A$61:$I$81,6,0)*VLOOKUP('Données projet'!$B$10,Paramètres!$A$1:$I$89,7,0))</f>
        <v>0.16500000000000001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97.79440565253374</v>
      </c>
      <c r="AV90" s="21">
        <f>EXP(-LN(2)/25)*AV89+(1-EXP(-LN(2)/25))/(LN(2)/25)*Calculateur!AQ90*Calculateur!AS90*VLOOKUP('Données projet'!$B$10,Paramètres!$A$1:$I$89,3,0)*0.475*44/12</f>
        <v>44.604224802190686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142.39863045472441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67.761618993160795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7.1054273576010019E-14</v>
      </c>
      <c r="BE90" s="13">
        <f>BD90*VLOOKUP('Données projet'!$B$11,Paramètres!$A$1:$I$89,3,0)*VLOOKUP('Données projet'!$B$11,Paramètres!$A$1:$I$89,5,0)</f>
        <v>6.2073013396002357E-14</v>
      </c>
      <c r="BF90" s="13">
        <f t="shared" si="91"/>
        <v>9.8573687844725482E-13</v>
      </c>
      <c r="BG90" s="20">
        <f t="shared" si="61"/>
        <v>1.8249355616270061E-12</v>
      </c>
      <c r="BH90" s="59">
        <f t="shared" si="62"/>
        <v>285.12593630825808</v>
      </c>
      <c r="BI90" s="59">
        <f ca="1">AVERAGE(OFFSET($BH$3,0,0,'Données projet'!$E$11+1,1))-AVERAGE(OFFSET($H$3,0,0,'Données projet'!$E$11+1,1))</f>
        <v>128.92423054779167</v>
      </c>
      <c r="BJ90" s="59">
        <f t="shared" si="92"/>
        <v>127.5443711972687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24.654796954459904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24.654796954459904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67.761618993160795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8.2910000000000021</v>
      </c>
      <c r="BY90" s="12">
        <f>IF('Données projet'!$A$114&gt;35,BY89+BX90-CG89,IF(A90&lt;'Données projet'!$A$114,$BV$205^A90,IF(A90='Données projet'!$A$114,'Données projet'!$B$114,BY89+BX90-CG89)))</f>
        <v>288.75300000000027</v>
      </c>
      <c r="BZ90" s="13">
        <f>BY90*VLOOKUP('Données projet'!$B$12,Paramètres!$A$1:$I$89,3,0)*VLOOKUP('Données projet'!$B$12,Paramètres!$A$1:$I$89,5,0)</f>
        <v>261.26371440000025</v>
      </c>
      <c r="CA90" s="13">
        <f t="shared" si="93"/>
        <v>62.991674736313257</v>
      </c>
      <c r="CB90" s="20">
        <f t="shared" si="64"/>
        <v>564.74480274574603</v>
      </c>
      <c r="CC90" s="59">
        <f t="shared" si="65"/>
        <v>849.87073905400234</v>
      </c>
      <c r="CD90" s="59">
        <f ca="1">AVERAGE(OFFSET($CC$3,0,0,'Données projet'!$E$12+1,1))-AVERAGE(OFFSET($H$3,0,0,'Données projet'!$E$12+1,1))</f>
        <v>601.17090553269054</v>
      </c>
      <c r="CE90" s="59">
        <f t="shared" si="94"/>
        <v>279.37477930888042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40.658412287239706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40.658412287239706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67.761618993160795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7.9879999999999969</v>
      </c>
      <c r="CT90" s="12">
        <f>IF('Données projet'!$A$140&gt;35,CT89+CS90-DB89,IF(A90&lt;'Données projet'!$A$140,$CQ$205^A90,IF(A90='Données projet'!$A$140,'Données projet'!$B$140,CT89+CS90-DB89)))</f>
        <v>256.40200000000016</v>
      </c>
      <c r="CU90" s="17">
        <f>CT90*VLOOKUP('Données projet'!$B$13,Paramètres!$A$1:$I$89,3,0)*VLOOKUP('Données projet'!$B$13,Paramètres!$A$1:$I$89,5,0)</f>
        <v>243.99214320000016</v>
      </c>
      <c r="CV90" s="13">
        <f t="shared" si="95"/>
        <v>59.297633116634216</v>
      </c>
      <c r="CW90" s="20">
        <f t="shared" si="67"/>
        <v>528.22969375147147</v>
      </c>
      <c r="CX90" s="59">
        <f t="shared" si="68"/>
        <v>813.35563005972767</v>
      </c>
      <c r="CY90" s="59">
        <f ca="1">AVERAGE(OFFSET($CX$3,0,0,'Données projet'!$E$13+1,1))-AVERAGE(OFFSET($H$3,0,0,'Données projet'!$E$13+1,1))</f>
        <v>418.79317359649315</v>
      </c>
      <c r="CZ90" s="59">
        <f t="shared" si="96"/>
        <v>286.46514989661011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34.453733777662066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34.453733777662066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67.761618993160795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67.761618993160795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67.761618993160795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67.761618993160795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67.761618993160795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1.35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0.78249600000000075</v>
      </c>
      <c r="D91" s="11">
        <f t="shared" si="86"/>
        <v>0.37105037219524906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4.9895456848712127</v>
      </c>
      <c r="H91" s="67">
        <f t="shared" si="56"/>
        <v>226.00575993157341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67.800449899359208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8.2910000000000021</v>
      </c>
      <c r="N91" s="13">
        <f>IF('Données projet'!$A$36&gt;35,N90+M91-V90,IF(A91&lt;'Données projet'!$A$36,$K$205^A91,IF(A91='Données projet'!$A$36,'Données projet'!$B$36,N90+M91-V90)))</f>
        <v>297.04400000000027</v>
      </c>
      <c r="O91" s="13">
        <f>N91*VLOOKUP('Données projet'!$B$9,Paramètres!$A$1:$I$89,3,0)*VLOOKUP('Données projet'!$B$9,Paramètres!$A$1:$I$89,5,0)</f>
        <v>301.20261600000032</v>
      </c>
      <c r="P91" s="13">
        <f t="shared" si="87"/>
        <v>71.428519249633297</v>
      </c>
      <c r="Q91" s="20">
        <f t="shared" si="54"/>
        <v>648.99922722644521</v>
      </c>
      <c r="R91" s="59">
        <f t="shared" si="55"/>
        <v>934.26754352409557</v>
      </c>
      <c r="S91" s="59">
        <f ca="1">AVERAGE(OFFSET($R$3,0,0,'Données projet'!$E$9+1,1))-AVERAGE(OFFSET($H$3,0,0,'Données projet'!$E$9+1,1))</f>
        <v>665.7907881991157</v>
      </c>
      <c r="T91" s="59">
        <f t="shared" si="88"/>
        <v>306.76923535735227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44.671951127509168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44.671951127509168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67.800449899359208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13.159999999999997</v>
      </c>
      <c r="AI91" s="13">
        <f>IF('Données projet'!$A$62&gt;35,AI90+AH91-AQ90,IF(A91&lt;'Données projet'!$A$62,$AF$205^A91,IF(A91='Données projet'!$A$62,'Données projet'!$B$62,AI90+AH91-AQ90)))</f>
        <v>446.15999999999974</v>
      </c>
      <c r="AJ91" s="13">
        <f>AI91*VLOOKUP('Données projet'!$B$10,Paramètres!$A$1:$I$89,3,0)*VLOOKUP('Données projet'!$B$10,Paramètres!$A$1:$I$89,5,0)</f>
        <v>208.80287999999987</v>
      </c>
      <c r="AK91" s="13">
        <f t="shared" si="89"/>
        <v>51.67389788236224</v>
      </c>
      <c r="AL91" s="20">
        <f t="shared" si="58"/>
        <v>453.66372147844731</v>
      </c>
      <c r="AM91" s="59">
        <f t="shared" si="59"/>
        <v>738.93203777609779</v>
      </c>
      <c r="AN91" s="59">
        <f ca="1">AVERAGE(OFFSET($AM$3,0,0,'Données projet'!$E$10+1,1))-AVERAGE(OFFSET($H$3,0,0,'Données projet'!$E$10+1,1))</f>
        <v>370.42479501931444</v>
      </c>
      <c r="AO91" s="59">
        <f t="shared" si="90"/>
        <v>351.95632347830144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95.876717006385178</v>
      </c>
      <c r="AV91" s="21">
        <f>EXP(-LN(2)/25)*AV90+(1-EXP(-LN(2)/25))/(LN(2)/25)*Calculateur!AQ91*Calculateur!AS91*VLOOKUP('Données projet'!$B$10,Paramètres!$A$1:$I$89,3,0)*0.475*44/12</f>
        <v>43.384519929340541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139.26123693572572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67.800449899359208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7.1054273576010019E-14</v>
      </c>
      <c r="BE91" s="13">
        <f>BD91*VLOOKUP('Données projet'!$B$11,Paramètres!$A$1:$I$89,3,0)*VLOOKUP('Données projet'!$B$11,Paramètres!$A$1:$I$89,5,0)</f>
        <v>6.2073013396002357E-14</v>
      </c>
      <c r="BF91" s="13">
        <f t="shared" si="91"/>
        <v>9.8573687844725482E-13</v>
      </c>
      <c r="BG91" s="20">
        <f t="shared" si="61"/>
        <v>1.8249355616270061E-12</v>
      </c>
      <c r="BH91" s="59">
        <f t="shared" si="62"/>
        <v>285.26831629765223</v>
      </c>
      <c r="BI91" s="59">
        <f ca="1">AVERAGE(OFFSET($BH$3,0,0,'Données projet'!$E$11+1,1))-AVERAGE(OFFSET($H$3,0,0,'Données projet'!$E$11+1,1))</f>
        <v>128.92423054779167</v>
      </c>
      <c r="BJ91" s="59">
        <f t="shared" si="92"/>
        <v>127.5443711972687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24.171331424124215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24.171331424124215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67.800449899359208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8.2910000000000021</v>
      </c>
      <c r="BY91" s="12">
        <f>IF('Données projet'!$A$114&gt;35,BY90+BX91-CG90,IF(A91&lt;'Données projet'!$A$114,$BV$205^A91,IF(A91='Données projet'!$A$114,'Données projet'!$B$114,BY90+BX91-CG90)))</f>
        <v>297.04400000000027</v>
      </c>
      <c r="BZ91" s="13">
        <f>BY91*VLOOKUP('Données projet'!$B$12,Paramètres!$A$1:$I$89,3,0)*VLOOKUP('Données projet'!$B$12,Paramètres!$A$1:$I$89,5,0)</f>
        <v>268.76541120000024</v>
      </c>
      <c r="CA91" s="13">
        <f t="shared" si="93"/>
        <v>64.587188539623412</v>
      </c>
      <c r="CB91" s="20">
        <f t="shared" si="64"/>
        <v>580.58911121317794</v>
      </c>
      <c r="CC91" s="59">
        <f t="shared" si="65"/>
        <v>865.8574275108283</v>
      </c>
      <c r="CD91" s="59">
        <f ca="1">AVERAGE(OFFSET($CC$3,0,0,'Données projet'!$E$12+1,1))-AVERAGE(OFFSET($H$3,0,0,'Données projet'!$E$12+1,1))</f>
        <v>601.17090553269054</v>
      </c>
      <c r="CE91" s="59">
        <f t="shared" si="94"/>
        <v>279.37477930888042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39.861125621469718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39.861125621469718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67.800449899359208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7.9879999999999969</v>
      </c>
      <c r="CT91" s="12">
        <f>IF('Données projet'!$A$140&gt;35,CT90+CS91-DB90,IF(A91&lt;'Données projet'!$A$140,$CQ$205^A91,IF(A91='Données projet'!$A$140,'Données projet'!$B$140,CT90+CS91-DB90)))</f>
        <v>264.39000000000016</v>
      </c>
      <c r="CU91" s="17">
        <f>CT91*VLOOKUP('Données projet'!$B$13,Paramètres!$A$1:$I$89,3,0)*VLOOKUP('Données projet'!$B$13,Paramètres!$A$1:$I$89,5,0)</f>
        <v>251.59352400000017</v>
      </c>
      <c r="CV91" s="13">
        <f t="shared" si="95"/>
        <v>60.927043746023045</v>
      </c>
      <c r="CW91" s="20">
        <f t="shared" si="67"/>
        <v>544.30665549099047</v>
      </c>
      <c r="CX91" s="59">
        <f t="shared" si="68"/>
        <v>829.57497178864082</v>
      </c>
      <c r="CY91" s="59">
        <f ca="1">AVERAGE(OFFSET($CX$3,0,0,'Données projet'!$E$13+1,1))-AVERAGE(OFFSET($H$3,0,0,'Données projet'!$E$13+1,1))</f>
        <v>418.79317359649315</v>
      </c>
      <c r="CZ91" s="59">
        <f t="shared" si="96"/>
        <v>286.46514989661011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33.778117072984685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33.778117072984685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67.800449899359208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67.800449899359208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67.800449899359208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67.800449899359208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67.800449899359208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1.35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0.79138800000000076</v>
      </c>
      <c r="D92" s="11">
        <f t="shared" si="86"/>
        <v>0.37477360157697254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4.9905194920515559</v>
      </c>
      <c r="H92" s="67">
        <f t="shared" si="56"/>
        <v>226.02773145607989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67.838607176147988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8.2910000000000021</v>
      </c>
      <c r="N92" s="13">
        <f>IF('Données projet'!$A$36&gt;35,N91+M92-V91,IF(A92&lt;'Données projet'!$A$36,$K$205^A92,IF(A92='Données projet'!$A$36,'Données projet'!$B$36,N91+M92-V91)))</f>
        <v>305.33500000000026</v>
      </c>
      <c r="O92" s="13">
        <f>N92*VLOOKUP('Données projet'!$B$9,Paramètres!$A$1:$I$89,3,0)*VLOOKUP('Données projet'!$B$9,Paramètres!$A$1:$I$89,5,0)</f>
        <v>309.60969000000028</v>
      </c>
      <c r="P92" s="13">
        <f t="shared" si="87"/>
        <v>73.187311933195204</v>
      </c>
      <c r="Q92" s="20">
        <f t="shared" si="54"/>
        <v>666.70477836698205</v>
      </c>
      <c r="R92" s="59">
        <f t="shared" si="55"/>
        <v>952.11300467952469</v>
      </c>
      <c r="S92" s="59">
        <f ca="1">AVERAGE(OFFSET($R$3,0,0,'Données projet'!$E$9+1,1))-AVERAGE(OFFSET($H$3,0,0,'Données projet'!$E$9+1,1))</f>
        <v>665.7907881991157</v>
      </c>
      <c r="T92" s="59">
        <f t="shared" si="88"/>
        <v>306.76923535735227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43.79596141309846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43.79596141309846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67.838607176147988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13.159999999999997</v>
      </c>
      <c r="AI92" s="13">
        <f>IF('Données projet'!$A$62&gt;35,AI91+AH92-AQ91,IF(A92&lt;'Données projet'!$A$62,$AF$205^A92,IF(A92='Données projet'!$A$62,'Données projet'!$B$62,AI91+AH92-AQ91)))</f>
        <v>459.31999999999971</v>
      </c>
      <c r="AJ92" s="13">
        <f>AI92*VLOOKUP('Données projet'!$B$10,Paramètres!$A$1:$I$89,3,0)*VLOOKUP('Données projet'!$B$10,Paramètres!$A$1:$I$89,5,0)</f>
        <v>214.96175999999986</v>
      </c>
      <c r="AK92" s="13">
        <f t="shared" si="89"/>
        <v>53.018377045952029</v>
      </c>
      <c r="AL92" s="20">
        <f t="shared" si="58"/>
        <v>466.73207202169948</v>
      </c>
      <c r="AM92" s="59">
        <f t="shared" si="59"/>
        <v>752.14029833424206</v>
      </c>
      <c r="AN92" s="59">
        <f ca="1">AVERAGE(OFFSET($AM$3,0,0,'Données projet'!$E$10+1,1))-AVERAGE(OFFSET($H$3,0,0,'Données projet'!$E$10+1,1))</f>
        <v>370.42479501931444</v>
      </c>
      <c r="AO92" s="59">
        <f t="shared" si="90"/>
        <v>351.95632347830144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93.996633064913013</v>
      </c>
      <c r="AV92" s="21">
        <f>EXP(-LN(2)/25)*AV91+(1-EXP(-LN(2)/25))/(LN(2)/25)*Calculateur!AQ92*Calculateur!AS92*VLOOKUP('Données projet'!$B$10,Paramètres!$A$1:$I$89,3,0)*0.475*44/12</f>
        <v>42.198167950379975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136.194801015293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67.838607176147988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7.1054273576010019E-14</v>
      </c>
      <c r="BE92" s="13">
        <f>BD92*VLOOKUP('Données projet'!$B$11,Paramètres!$A$1:$I$89,3,0)*VLOOKUP('Données projet'!$B$11,Paramètres!$A$1:$I$89,5,0)</f>
        <v>6.2073013396002357E-14</v>
      </c>
      <c r="BF92" s="13">
        <f t="shared" si="91"/>
        <v>9.8573687844725482E-13</v>
      </c>
      <c r="BG92" s="20">
        <f t="shared" si="61"/>
        <v>1.8249355616270061E-12</v>
      </c>
      <c r="BH92" s="59">
        <f t="shared" si="62"/>
        <v>285.40822631254446</v>
      </c>
      <c r="BI92" s="59">
        <f ca="1">AVERAGE(OFFSET($BH$3,0,0,'Données projet'!$E$11+1,1))-AVERAGE(OFFSET($H$3,0,0,'Données projet'!$E$11+1,1))</f>
        <v>128.92423054779167</v>
      </c>
      <c r="BJ92" s="59">
        <f t="shared" si="92"/>
        <v>127.5443711972687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23.697346357953553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23.697346357953553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67.838607176147988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8.2910000000000021</v>
      </c>
      <c r="BY92" s="12">
        <f>IF('Données projet'!$A$114&gt;35,BY91+BX92-CG91,IF(A92&lt;'Données projet'!$A$114,$BV$205^A92,IF(A92='Données projet'!$A$114,'Données projet'!$B$114,BY91+BX92-CG91)))</f>
        <v>305.33500000000026</v>
      </c>
      <c r="BZ92" s="13">
        <f>BY92*VLOOKUP('Données projet'!$B$12,Paramètres!$A$1:$I$89,3,0)*VLOOKUP('Données projet'!$B$12,Paramètres!$A$1:$I$89,5,0)</f>
        <v>276.26710800000023</v>
      </c>
      <c r="CA92" s="13">
        <f t="shared" si="93"/>
        <v>66.177526346547864</v>
      </c>
      <c r="CB92" s="20">
        <f t="shared" si="64"/>
        <v>596.42440482023801</v>
      </c>
      <c r="CC92" s="59">
        <f t="shared" si="65"/>
        <v>881.83263113278065</v>
      </c>
      <c r="CD92" s="59">
        <f ca="1">AVERAGE(OFFSET($CC$3,0,0,'Données projet'!$E$12+1,1))-AVERAGE(OFFSET($H$3,0,0,'Données projet'!$E$12+1,1))</f>
        <v>601.17090553269054</v>
      </c>
      <c r="CE92" s="59">
        <f t="shared" si="94"/>
        <v>279.37477930888042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39.079473260918625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39.079473260918625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67.838607176147988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7.9879999999999969</v>
      </c>
      <c r="CT92" s="12">
        <f>IF('Données projet'!$A$140&gt;35,CT91+CS92-DB91,IF(A92&lt;'Données projet'!$A$140,$CQ$205^A92,IF(A92='Données projet'!$A$140,'Données projet'!$B$140,CT91+CS92-DB91)))</f>
        <v>272.37800000000016</v>
      </c>
      <c r="CU92" s="17">
        <f>CT92*VLOOKUP('Données projet'!$B$13,Paramètres!$A$1:$I$89,3,0)*VLOOKUP('Données projet'!$B$13,Paramètres!$A$1:$I$89,5,0)</f>
        <v>259.19490480000019</v>
      </c>
      <c r="CV92" s="13">
        <f t="shared" si="95"/>
        <v>62.550733230662381</v>
      </c>
      <c r="CW92" s="20">
        <f t="shared" si="67"/>
        <v>560.37365290340404</v>
      </c>
      <c r="CX92" s="59">
        <f t="shared" si="68"/>
        <v>845.78187921594667</v>
      </c>
      <c r="CY92" s="59">
        <f ca="1">AVERAGE(OFFSET($CX$3,0,0,'Données projet'!$E$13+1,1))-AVERAGE(OFFSET($H$3,0,0,'Données projet'!$E$13+1,1))</f>
        <v>418.79317359649315</v>
      </c>
      <c r="CZ92" s="59">
        <f t="shared" si="96"/>
        <v>286.46514989661011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33.115748799800528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33.115748799800528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67.838607176147988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67.838607176147988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67.838607176147988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67.838607176147988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67.838607176147988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1.35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0.80028000000000077</v>
      </c>
      <c r="D93" s="11">
        <f t="shared" si="86"/>
        <v>0.37849196455131201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4.9914929235793997</v>
      </c>
      <c r="H93" s="67">
        <f t="shared" si="56"/>
        <v>226.04969450492686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67.876102509491375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8.2910000000000021</v>
      </c>
      <c r="N93" s="13">
        <f>IF('Données projet'!$A$36&gt;35,N92+M93-V92,IF(A93&lt;'Données projet'!$A$36,$K$205^A93,IF(A93='Données projet'!$A$36,'Données projet'!$B$36,N92+M93-V92)))</f>
        <v>313.62600000000026</v>
      </c>
      <c r="O93" s="13">
        <f>N93*VLOOKUP('Données projet'!$B$9,Paramètres!$A$1:$I$89,3,0)*VLOOKUP('Données projet'!$B$9,Paramètres!$A$1:$I$89,5,0)</f>
        <v>318.01676400000025</v>
      </c>
      <c r="P93" s="13">
        <f t="shared" si="87"/>
        <v>74.940553655452632</v>
      </c>
      <c r="Q93" s="20">
        <f t="shared" si="54"/>
        <v>684.40066158324714</v>
      </c>
      <c r="R93" s="59">
        <f t="shared" si="55"/>
        <v>969.94637078471555</v>
      </c>
      <c r="S93" s="59">
        <f ca="1">AVERAGE(OFFSET($R$3,0,0,'Données projet'!$E$9+1,1))-AVERAGE(OFFSET($H$3,0,0,'Données projet'!$E$9+1,1))</f>
        <v>665.7907881991157</v>
      </c>
      <c r="T93" s="59">
        <f t="shared" si="88"/>
        <v>306.76923535735227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42.937149322686381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42.937149322686381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67.876102509491375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13.159999999999997</v>
      </c>
      <c r="AI93" s="13">
        <f>IF('Données projet'!$A$62&gt;35,AI92+AH93-AQ92,IF(A93&lt;'Données projet'!$A$62,$AF$205^A93,IF(A93='Données projet'!$A$62,'Données projet'!$B$62,AI92+AH93-AQ92)))</f>
        <v>472.47999999999968</v>
      </c>
      <c r="AJ93" s="13">
        <f>AI93*VLOOKUP('Données projet'!$B$10,Paramètres!$A$1:$I$89,3,0)*VLOOKUP('Données projet'!$B$10,Paramètres!$A$1:$I$89,5,0)</f>
        <v>221.12063999999984</v>
      </c>
      <c r="AK93" s="13">
        <f t="shared" si="89"/>
        <v>54.35837921673749</v>
      </c>
      <c r="AL93" s="20">
        <f t="shared" si="58"/>
        <v>479.79262513581756</v>
      </c>
      <c r="AM93" s="59">
        <f t="shared" si="59"/>
        <v>765.33833433728591</v>
      </c>
      <c r="AN93" s="59">
        <f ca="1">AVERAGE(OFFSET($AM$3,0,0,'Données projet'!$E$10+1,1))-AVERAGE(OFFSET($H$3,0,0,'Données projet'!$E$10+1,1))</f>
        <v>370.42479501931444</v>
      </c>
      <c r="AO93" s="59">
        <f t="shared" si="90"/>
        <v>351.95632347830144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92.153416422795146</v>
      </c>
      <c r="AV93" s="21">
        <f>EXP(-LN(2)/25)*AV92+(1-EXP(-LN(2)/25))/(LN(2)/25)*Calculateur!AQ93*Calculateur!AS93*VLOOKUP('Données projet'!$B$10,Paramètres!$A$1:$I$89,3,0)*0.475*44/12</f>
        <v>41.044256828671628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133.19767325146677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67.876102509491375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7.1054273576010019E-14</v>
      </c>
      <c r="BE93" s="13">
        <f>BD93*VLOOKUP('Données projet'!$B$11,Paramètres!$A$1:$I$89,3,0)*VLOOKUP('Données projet'!$B$11,Paramètres!$A$1:$I$89,5,0)</f>
        <v>6.2073013396002357E-14</v>
      </c>
      <c r="BF93" s="13">
        <f t="shared" si="91"/>
        <v>9.8573687844725482E-13</v>
      </c>
      <c r="BG93" s="20">
        <f t="shared" si="61"/>
        <v>1.8249355616270061E-12</v>
      </c>
      <c r="BH93" s="59">
        <f t="shared" si="62"/>
        <v>285.54570920147017</v>
      </c>
      <c r="BI93" s="59">
        <f ca="1">AVERAGE(OFFSET($BH$3,0,0,'Données projet'!$E$11+1,1))-AVERAGE(OFFSET($H$3,0,0,'Données projet'!$E$11+1,1))</f>
        <v>128.92423054779167</v>
      </c>
      <c r="BJ93" s="59">
        <f t="shared" si="92"/>
        <v>127.5443711972687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23.232655849828152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23.232655849828152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67.876102509491375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8.2910000000000021</v>
      </c>
      <c r="BY93" s="12">
        <f>IF('Données projet'!$A$114&gt;35,BY92+BX93-CG92,IF(A93&lt;'Données projet'!$A$114,$BV$205^A93,IF(A93='Données projet'!$A$114,'Données projet'!$B$114,BY92+BX93-CG92)))</f>
        <v>313.62600000000026</v>
      </c>
      <c r="BZ93" s="13">
        <f>BY93*VLOOKUP('Données projet'!$B$12,Paramètres!$A$1:$I$89,3,0)*VLOOKUP('Données projet'!$B$12,Paramètres!$A$1:$I$89,5,0)</f>
        <v>283.76880480000023</v>
      </c>
      <c r="CA93" s="13">
        <f t="shared" si="93"/>
        <v>67.762844856024827</v>
      </c>
      <c r="CB93" s="20">
        <f t="shared" si="64"/>
        <v>612.2509564842436</v>
      </c>
      <c r="CC93" s="59">
        <f t="shared" si="65"/>
        <v>897.79666568571201</v>
      </c>
      <c r="CD93" s="59">
        <f ca="1">AVERAGE(OFFSET($CC$3,0,0,'Données projet'!$E$12+1,1))-AVERAGE(OFFSET($H$3,0,0,'Données projet'!$E$12+1,1))</f>
        <v>601.17090553269054</v>
      </c>
      <c r="CE93" s="59">
        <f t="shared" si="94"/>
        <v>279.37477930888042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38.31314862639708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38.31314862639708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67.876102509491375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7.9879999999999969</v>
      </c>
      <c r="CT93" s="12">
        <f>IF('Données projet'!$A$140&gt;35,CT92+CS93-DB92,IF(A93&lt;'Données projet'!$A$140,$CQ$205^A93,IF(A93='Données projet'!$A$140,'Données projet'!$B$140,CT92+CS93-DB92)))</f>
        <v>280.36600000000016</v>
      </c>
      <c r="CU93" s="17">
        <f>CT93*VLOOKUP('Données projet'!$B$13,Paramètres!$A$1:$I$89,3,0)*VLOOKUP('Données projet'!$B$13,Paramètres!$A$1:$I$89,5,0)</f>
        <v>266.79628560000015</v>
      </c>
      <c r="CV93" s="13">
        <f t="shared" si="95"/>
        <v>64.168888618935569</v>
      </c>
      <c r="CW93" s="20">
        <f t="shared" si="67"/>
        <v>576.43101176464631</v>
      </c>
      <c r="CX93" s="59">
        <f t="shared" si="68"/>
        <v>861.97672096611473</v>
      </c>
      <c r="CY93" s="59">
        <f ca="1">AVERAGE(OFFSET($CX$3,0,0,'Données projet'!$E$13+1,1))-AVERAGE(OFFSET($H$3,0,0,'Données projet'!$E$13+1,1))</f>
        <v>418.79317359649315</v>
      </c>
      <c r="CZ93" s="59">
        <f t="shared" si="96"/>
        <v>286.46514989661011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32.466369164448757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32.466369164448757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67.876102509491375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67.876102509491375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67.876102509491375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67.876102509491375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67.876102509491375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1.35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0.80917200000000078</v>
      </c>
      <c r="D94" s="11">
        <f t="shared" si="86"/>
        <v>0.38220552144682318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4.9924659841116847</v>
      </c>
      <c r="H94" s="67">
        <f t="shared" si="56"/>
        <v>226.07164918318657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67.912947382628261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8.2910000000000021</v>
      </c>
      <c r="N94" s="13">
        <f>IF('Données projet'!$A$36&gt;35,N93+M94-V93,IF(A94&lt;'Données projet'!$A$36,$K$205^A94,IF(A94='Données projet'!$A$36,'Données projet'!$B$36,N93+M94-V93)))</f>
        <v>321.91700000000026</v>
      </c>
      <c r="O94" s="13">
        <f>N94*VLOOKUP('Données projet'!$B$9,Paramètres!$A$1:$I$89,3,0)*VLOOKUP('Données projet'!$B$9,Paramètres!$A$1:$I$89,5,0)</f>
        <v>326.42383800000027</v>
      </c>
      <c r="P94" s="13">
        <f t="shared" si="87"/>
        <v>76.688408029206073</v>
      </c>
      <c r="Q94" s="20">
        <f t="shared" si="54"/>
        <v>702.08716183420108</v>
      </c>
      <c r="R94" s="59">
        <f t="shared" si="55"/>
        <v>987.76796890383798</v>
      </c>
      <c r="S94" s="59">
        <f ca="1">AVERAGE(OFFSET($R$3,0,0,'Données projet'!$E$9+1,1))-AVERAGE(OFFSET($H$3,0,0,'Données projet'!$E$9+1,1))</f>
        <v>665.7907881991157</v>
      </c>
      <c r="T94" s="59">
        <f t="shared" si="88"/>
        <v>306.76923535735227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42.095178013543631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42.095178013543631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67.912947382628261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13.159999999999997</v>
      </c>
      <c r="AI94" s="13">
        <f>IF('Données projet'!$A$62&gt;35,AI93+AH94-AQ93,IF(A94&lt;'Données projet'!$A$62,$AF$205^A94,IF(A94='Données projet'!$A$62,'Données projet'!$B$62,AI93+AH94-AQ93)))</f>
        <v>485.63999999999965</v>
      </c>
      <c r="AJ94" s="13">
        <f>AI94*VLOOKUP('Données projet'!$B$10,Paramètres!$A$1:$I$89,3,0)*VLOOKUP('Données projet'!$B$10,Paramètres!$A$1:$I$89,5,0)</f>
        <v>227.27951999999982</v>
      </c>
      <c r="AK94" s="13">
        <f t="shared" si="89"/>
        <v>55.694043418351256</v>
      </c>
      <c r="AL94" s="20">
        <f t="shared" si="58"/>
        <v>492.84562295362815</v>
      </c>
      <c r="AM94" s="59">
        <f t="shared" si="59"/>
        <v>778.52643002326511</v>
      </c>
      <c r="AN94" s="59">
        <f ca="1">AVERAGE(OFFSET($AM$3,0,0,'Données projet'!$E$10+1,1))-AVERAGE(OFFSET($H$3,0,0,'Données projet'!$E$10+1,1))</f>
        <v>370.42479501931444</v>
      </c>
      <c r="AO94" s="59">
        <f t="shared" si="90"/>
        <v>351.95632347830144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90.346344134778064</v>
      </c>
      <c r="AV94" s="21">
        <f>EXP(-LN(2)/25)*AV93+(1-EXP(-LN(2)/25))/(LN(2)/25)*Calculateur!AQ94*Calculateur!AS94*VLOOKUP('Données projet'!$B$10,Paramètres!$A$1:$I$89,3,0)*0.475*44/12</f>
        <v>39.921899467267941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130.268243602046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67.912947382628261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7.1054273576010019E-14</v>
      </c>
      <c r="BE94" s="13">
        <f>BD94*VLOOKUP('Données projet'!$B$11,Paramètres!$A$1:$I$89,3,0)*VLOOKUP('Données projet'!$B$11,Paramètres!$A$1:$I$89,5,0)</f>
        <v>6.2073013396002357E-14</v>
      </c>
      <c r="BF94" s="13">
        <f t="shared" si="91"/>
        <v>9.8573687844725482E-13</v>
      </c>
      <c r="BG94" s="20">
        <f t="shared" si="61"/>
        <v>1.8249355616270061E-12</v>
      </c>
      <c r="BH94" s="59">
        <f t="shared" si="62"/>
        <v>285.68080706963877</v>
      </c>
      <c r="BI94" s="59">
        <f ca="1">AVERAGE(OFFSET($BH$3,0,0,'Données projet'!$E$11+1,1))-AVERAGE(OFFSET($H$3,0,0,'Données projet'!$E$11+1,1))</f>
        <v>128.92423054779167</v>
      </c>
      <c r="BJ94" s="59">
        <f t="shared" si="92"/>
        <v>127.5443711972687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22.777077639133868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22.777077639133868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67.912947382628261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8.2910000000000021</v>
      </c>
      <c r="BY94" s="12">
        <f>IF('Données projet'!$A$114&gt;35,BY93+BX94-CG93,IF(A94&lt;'Données projet'!$A$114,$BV$205^A94,IF(A94='Données projet'!$A$114,'Données projet'!$B$114,BY93+BX94-CG93)))</f>
        <v>321.91700000000026</v>
      </c>
      <c r="BZ94" s="13">
        <f>BY94*VLOOKUP('Données projet'!$B$12,Paramètres!$A$1:$I$89,3,0)*VLOOKUP('Données projet'!$B$12,Paramètres!$A$1:$I$89,5,0)</f>
        <v>291.27050160000022</v>
      </c>
      <c r="CA94" s="13">
        <f t="shared" si="93"/>
        <v>69.343292010233441</v>
      </c>
      <c r="CB94" s="20">
        <f t="shared" si="64"/>
        <v>628.0690238711569</v>
      </c>
      <c r="CC94" s="59">
        <f t="shared" si="65"/>
        <v>913.7498309407938</v>
      </c>
      <c r="CD94" s="59">
        <f ca="1">AVERAGE(OFFSET($CC$3,0,0,'Données projet'!$E$12+1,1))-AVERAGE(OFFSET($H$3,0,0,'Données projet'!$E$12+1,1))</f>
        <v>601.17090553269054</v>
      </c>
      <c r="CE94" s="59">
        <f t="shared" si="94"/>
        <v>279.37477930888042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37.561851150546623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37.561851150546623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67.912947382628261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7.9879999999999969</v>
      </c>
      <c r="CT94" s="12">
        <f>IF('Données projet'!$A$140&gt;35,CT93+CS94-DB93,IF(A94&lt;'Données projet'!$A$140,$CQ$205^A94,IF(A94='Données projet'!$A$140,'Données projet'!$B$140,CT93+CS94-DB93)))</f>
        <v>288.35400000000016</v>
      </c>
      <c r="CU94" s="17">
        <f>CT94*VLOOKUP('Données projet'!$B$13,Paramètres!$A$1:$I$89,3,0)*VLOOKUP('Données projet'!$B$13,Paramètres!$A$1:$I$89,5,0)</f>
        <v>274.39766640000016</v>
      </c>
      <c r="CV94" s="13">
        <f t="shared" si="95"/>
        <v>65.781685694457408</v>
      </c>
      <c r="CW94" s="20">
        <f t="shared" si="67"/>
        <v>592.4790382311802</v>
      </c>
      <c r="CX94" s="59">
        <f t="shared" si="68"/>
        <v>878.1598453008171</v>
      </c>
      <c r="CY94" s="59">
        <f ca="1">AVERAGE(OFFSET($CX$3,0,0,'Données projet'!$E$13+1,1))-AVERAGE(OFFSET($H$3,0,0,'Données projet'!$E$13+1,1))</f>
        <v>418.79317359649315</v>
      </c>
      <c r="CZ94" s="59">
        <f t="shared" si="96"/>
        <v>286.46514989661011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31.829723467663769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31.829723467663769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67.912947382628261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67.912947382628261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67.912947382628261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67.912947382628261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67.912947382628261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1.35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0.81806400000000079</v>
      </c>
      <c r="D95" s="11">
        <f t="shared" si="86"/>
        <v>0.38591433118980506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4.9934386781971076</v>
      </c>
      <c r="H95" s="67">
        <f t="shared" si="56"/>
        <v>226.09359559348891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67.949153079589024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8.2910000000000021</v>
      </c>
      <c r="N95" s="13">
        <f>IF('Données projet'!$A$36&gt;35,N94+M95-V94,IF(A95&lt;'Données projet'!$A$36,$K$205^A95,IF(A95='Données projet'!$A$36,'Données projet'!$B$36,N94+M95-V94)))</f>
        <v>330.20800000000025</v>
      </c>
      <c r="O95" s="13">
        <f>N95*VLOOKUP('Données projet'!$B$9,Paramètres!$A$1:$I$89,3,0)*VLOOKUP('Données projet'!$B$9,Paramètres!$A$1:$I$89,5,0)</f>
        <v>334.8309120000003</v>
      </c>
      <c r="P95" s="13">
        <f t="shared" si="87"/>
        <v>78.431029759422557</v>
      </c>
      <c r="Q95" s="20">
        <f t="shared" si="54"/>
        <v>719.76454856432804</v>
      </c>
      <c r="R95" s="59">
        <f t="shared" si="55"/>
        <v>1005.5781098561545</v>
      </c>
      <c r="S95" s="59">
        <f ca="1">AVERAGE(OFFSET($R$3,0,0,'Données projet'!$E$9+1,1))-AVERAGE(OFFSET($H$3,0,0,'Données projet'!$E$9+1,1))</f>
        <v>665.7907881991157</v>
      </c>
      <c r="T95" s="59">
        <f t="shared" si="88"/>
        <v>306.76923535735227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41.269717248221383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41.269717248221383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67.949153079589024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13.159999999999997</v>
      </c>
      <c r="AI95" s="13">
        <f>IF('Données projet'!$A$62&gt;35,AI94+AH95-AQ94,IF(A95&lt;'Données projet'!$A$62,$AF$205^A95,IF(A95='Données projet'!$A$62,'Données projet'!$B$62,AI94+AH95-AQ94)))</f>
        <v>498.79999999999961</v>
      </c>
      <c r="AJ95" s="13">
        <f>AI95*VLOOKUP('Données projet'!$B$10,Paramètres!$A$1:$I$89,3,0)*VLOOKUP('Données projet'!$B$10,Paramètres!$A$1:$I$89,5,0)</f>
        <v>233.4383999999998</v>
      </c>
      <c r="AK95" s="13">
        <f t="shared" si="89"/>
        <v>57.025500710931574</v>
      </c>
      <c r="AL95" s="20">
        <f t="shared" si="58"/>
        <v>505.89129373820555</v>
      </c>
      <c r="AM95" s="59">
        <f t="shared" si="59"/>
        <v>791.70485503003192</v>
      </c>
      <c r="AN95" s="59">
        <f ca="1">AVERAGE(OFFSET($AM$3,0,0,'Données projet'!$E$10+1,1))-AVERAGE(OFFSET($H$3,0,0,'Données projet'!$E$10+1,1))</f>
        <v>370.42479501931444</v>
      </c>
      <c r="AO95" s="59">
        <f t="shared" si="90"/>
        <v>351.95632347830144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88.574707432123745</v>
      </c>
      <c r="AV95" s="21">
        <f>EXP(-LN(2)/25)*AV94+(1-EXP(-LN(2)/25))/(LN(2)/25)*Calculateur!AQ95*Calculateur!AS95*VLOOKUP('Données projet'!$B$10,Paramètres!$A$1:$I$89,3,0)*0.475*44/12</f>
        <v>38.830233026934046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127.4049404590578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67.949153079589024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7.1054273576010019E-14</v>
      </c>
      <c r="BE95" s="13">
        <f>BD95*VLOOKUP('Données projet'!$B$11,Paramètres!$A$1:$I$89,3,0)*VLOOKUP('Données projet'!$B$11,Paramètres!$A$1:$I$89,5,0)</f>
        <v>6.2073013396002357E-14</v>
      </c>
      <c r="BF95" s="13">
        <f t="shared" si="91"/>
        <v>9.8573687844725482E-13</v>
      </c>
      <c r="BG95" s="20">
        <f t="shared" si="61"/>
        <v>1.8249355616270061E-12</v>
      </c>
      <c r="BH95" s="59">
        <f t="shared" si="62"/>
        <v>285.81356129182825</v>
      </c>
      <c r="BI95" s="59">
        <f ca="1">AVERAGE(OFFSET($BH$3,0,0,'Données projet'!$E$11+1,1))-AVERAGE(OFFSET($H$3,0,0,'Données projet'!$E$11+1,1))</f>
        <v>128.92423054779167</v>
      </c>
      <c r="BJ95" s="59">
        <f t="shared" si="92"/>
        <v>127.5443711972687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22.330433039276027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22.330433039276027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67.949153079589024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8.2910000000000021</v>
      </c>
      <c r="BY95" s="12">
        <f>IF('Données projet'!$A$114&gt;35,BY94+BX95-CG94,IF(A95&lt;'Données projet'!$A$114,$BV$205^A95,IF(A95='Données projet'!$A$114,'Données projet'!$B$114,BY94+BX95-CG94)))</f>
        <v>330.20800000000025</v>
      </c>
      <c r="BZ95" s="13">
        <f>BY95*VLOOKUP('Données projet'!$B$12,Paramètres!$A$1:$I$89,3,0)*VLOOKUP('Données projet'!$B$12,Paramètres!$A$1:$I$89,5,0)</f>
        <v>298.77219840000021</v>
      </c>
      <c r="CA95" s="13">
        <f t="shared" si="93"/>
        <v>70.919007696700163</v>
      </c>
      <c r="CB95" s="20">
        <f t="shared" si="64"/>
        <v>643.87885061841985</v>
      </c>
      <c r="CC95" s="59">
        <f t="shared" si="65"/>
        <v>929.69241191024628</v>
      </c>
      <c r="CD95" s="59">
        <f ca="1">AVERAGE(OFFSET($CC$3,0,0,'Données projet'!$E$12+1,1))-AVERAGE(OFFSET($H$3,0,0,'Données projet'!$E$12+1,1))</f>
        <v>601.17090553269054</v>
      </c>
      <c r="CE95" s="59">
        <f t="shared" si="94"/>
        <v>279.37477930888042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36.825286159951382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36.825286159951382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67.949153079589024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7.9879999999999969</v>
      </c>
      <c r="CT95" s="12">
        <f>IF('Données projet'!$A$140&gt;35,CT94+CS95-DB94,IF(A95&lt;'Données projet'!$A$140,$CQ$205^A95,IF(A95='Données projet'!$A$140,'Données projet'!$B$140,CT94+CS95-DB94)))</f>
        <v>296.34200000000016</v>
      </c>
      <c r="CU95" s="17">
        <f>CT95*VLOOKUP('Données projet'!$B$13,Paramètres!$A$1:$I$89,3,0)*VLOOKUP('Données projet'!$B$13,Paramètres!$A$1:$I$89,5,0)</f>
        <v>281.99904720000012</v>
      </c>
      <c r="CV95" s="13">
        <f t="shared" si="95"/>
        <v>67.389289947506242</v>
      </c>
      <c r="CW95" s="20">
        <f t="shared" si="67"/>
        <v>608.51802053190693</v>
      </c>
      <c r="CX95" s="59">
        <f t="shared" si="68"/>
        <v>894.33158182373336</v>
      </c>
      <c r="CY95" s="59">
        <f ca="1">AVERAGE(OFFSET($CX$3,0,0,'Données projet'!$E$13+1,1))-AVERAGE(OFFSET($H$3,0,0,'Données projet'!$E$13+1,1))</f>
        <v>418.79317359649315</v>
      </c>
      <c r="CZ95" s="59">
        <f t="shared" si="96"/>
        <v>286.46514989661011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31.205562004677201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31.205562004677201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67.949153079589024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67.949153079589024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67.949153079589024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67.949153079589024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67.949153079589024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1.35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0.8269560000000008</v>
      </c>
      <c r="D96" s="11">
        <f t="shared" si="86"/>
        <v>0.38961845135177364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4.9944110102797863</v>
      </c>
      <c r="H96" s="67">
        <f t="shared" si="56"/>
        <v>226.11553383610433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67.984730688651325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8.2910000000000021</v>
      </c>
      <c r="N96" s="13">
        <f>IF('Données projet'!$A$36&gt;35,N95+M96-V95,IF(A96&lt;'Données projet'!$A$36,$K$205^A96,IF(A96='Données projet'!$A$36,'Données projet'!$B$36,N95+M96-V95)))</f>
        <v>338.49900000000025</v>
      </c>
      <c r="O96" s="13">
        <f>N96*VLOOKUP('Données projet'!$B$9,Paramètres!$A$1:$I$89,3,0)*VLOOKUP('Données projet'!$B$9,Paramètres!$A$1:$I$89,5,0)</f>
        <v>343.23798600000026</v>
      </c>
      <c r="P96" s="13">
        <f t="shared" si="87"/>
        <v>80.16856533953208</v>
      </c>
      <c r="Q96" s="20">
        <f t="shared" si="54"/>
        <v>737.43307691635209</v>
      </c>
      <c r="R96" s="59">
        <f t="shared" si="55"/>
        <v>1023.377089441407</v>
      </c>
      <c r="S96" s="59">
        <f ca="1">AVERAGE(OFFSET($R$3,0,0,'Données projet'!$E$9+1,1))-AVERAGE(OFFSET($H$3,0,0,'Données projet'!$E$9+1,1))</f>
        <v>665.7907881991157</v>
      </c>
      <c r="T96" s="59">
        <f t="shared" si="88"/>
        <v>306.76923535735227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40.460443265025752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40.460443265025752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67.984730688651325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13.159999999999997</v>
      </c>
      <c r="AI96" s="13">
        <f>IF('Données projet'!$A$62&gt;35,AI95+AH96-AQ95,IF(A96&lt;'Données projet'!$A$62,$AF$205^A96,IF(A96='Données projet'!$A$62,'Données projet'!$B$62,AI95+AH96-AQ95)))</f>
        <v>511.95999999999958</v>
      </c>
      <c r="AJ96" s="13">
        <f>AI96*VLOOKUP('Données projet'!$B$10,Paramètres!$A$1:$I$89,3,0)*VLOOKUP('Données projet'!$B$10,Paramètres!$A$1:$I$89,5,0)</f>
        <v>239.59727999999981</v>
      </c>
      <c r="AK96" s="13">
        <f t="shared" si="89"/>
        <v>58.352874845190904</v>
      </c>
      <c r="AL96" s="20">
        <f t="shared" si="58"/>
        <v>518.92985302204045</v>
      </c>
      <c r="AM96" s="59">
        <f t="shared" si="59"/>
        <v>804.87386554709531</v>
      </c>
      <c r="AN96" s="59">
        <f ca="1">AVERAGE(OFFSET($AM$3,0,0,'Données projet'!$E$10+1,1))-AVERAGE(OFFSET($H$3,0,0,'Données projet'!$E$10+1,1))</f>
        <v>370.42479501931444</v>
      </c>
      <c r="AO96" s="59">
        <f t="shared" si="90"/>
        <v>351.95632347830144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86.837811444616776</v>
      </c>
      <c r="AV96" s="21">
        <f>EXP(-LN(2)/25)*AV95+(1-EXP(-LN(2)/25))/(LN(2)/25)*Calculateur!AQ96*Calculateur!AS96*VLOOKUP('Données projet'!$B$10,Paramètres!$A$1:$I$89,3,0)*0.475*44/12</f>
        <v>37.768418262819324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124.6062297074361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67.984730688651325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7.1054273576010019E-14</v>
      </c>
      <c r="BE96" s="13">
        <f>BD96*VLOOKUP('Données projet'!$B$11,Paramètres!$A$1:$I$89,3,0)*VLOOKUP('Données projet'!$B$11,Paramètres!$A$1:$I$89,5,0)</f>
        <v>6.2073013396002357E-14</v>
      </c>
      <c r="BF96" s="13">
        <f t="shared" si="91"/>
        <v>9.8573687844725482E-13</v>
      </c>
      <c r="BG96" s="20">
        <f t="shared" si="61"/>
        <v>1.8249355616270061E-12</v>
      </c>
      <c r="BH96" s="59">
        <f t="shared" si="62"/>
        <v>285.94401252505668</v>
      </c>
      <c r="BI96" s="59">
        <f ca="1">AVERAGE(OFFSET($BH$3,0,0,'Données projet'!$E$11+1,1))-AVERAGE(OFFSET($H$3,0,0,'Données projet'!$E$11+1,1))</f>
        <v>128.92423054779167</v>
      </c>
      <c r="BJ96" s="59">
        <f t="shared" si="92"/>
        <v>127.5443711972687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21.892546867595094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21.892546867595094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67.984730688651325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8.2910000000000021</v>
      </c>
      <c r="BY96" s="12">
        <f>IF('Données projet'!$A$114&gt;35,BY95+BX96-CG95,IF(A96&lt;'Données projet'!$A$114,$BV$205^A96,IF(A96='Données projet'!$A$114,'Données projet'!$B$114,BY95+BX96-CG95)))</f>
        <v>338.49900000000025</v>
      </c>
      <c r="BZ96" s="13">
        <f>BY96*VLOOKUP('Données projet'!$B$12,Paramètres!$A$1:$I$89,3,0)*VLOOKUP('Données projet'!$B$12,Paramètres!$A$1:$I$89,5,0)</f>
        <v>306.27389520000025</v>
      </c>
      <c r="CA96" s="13">
        <f t="shared" si="93"/>
        <v>72.490124377904692</v>
      </c>
      <c r="CB96" s="20">
        <f t="shared" si="64"/>
        <v>659.68066743151769</v>
      </c>
      <c r="CC96" s="59">
        <f t="shared" si="65"/>
        <v>945.62467995657255</v>
      </c>
      <c r="CD96" s="59">
        <f ca="1">AVERAGE(OFFSET($CC$3,0,0,'Données projet'!$E$12+1,1))-AVERAGE(OFFSET($H$3,0,0,'Données projet'!$E$12+1,1))</f>
        <v>601.17090553269054</v>
      </c>
      <c r="CE96" s="59">
        <f t="shared" si="94"/>
        <v>279.37477930888042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36.10316475956143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36.10316475956143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67.984730688651325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projet'!$A$139:$I$159,2,0)</f>
        <v>304.33</v>
      </c>
      <c r="CR96" s="12">
        <f>VLOOKUP(A96,'Données projet'!$A$139:$I$159,9,0)</f>
        <v>7.9879999999999969</v>
      </c>
      <c r="CS96" s="12">
        <f t="array" ref="CS96">INDEX(CR:CR,MIN(IF(ISNUMBER(CR96:CR292),ROW(CR96:CR292),"")))</f>
        <v>7.9879999999999969</v>
      </c>
      <c r="CT96" s="12">
        <f>IF('Données projet'!$A$140&gt;35,CT95+CS96-DB95,IF(A96&lt;'Données projet'!$A$140,$CQ$205^A96,IF(A96='Données projet'!$A$140,'Données projet'!$B$140,CT95+CS96-DB95)))</f>
        <v>304.33000000000015</v>
      </c>
      <c r="CU96" s="17">
        <f>CT96*VLOOKUP('Données projet'!$B$13,Paramètres!$A$1:$I$89,3,0)*VLOOKUP('Données projet'!$B$13,Paramètres!$A$1:$I$89,5,0)</f>
        <v>289.60042800000014</v>
      </c>
      <c r="CV96" s="13">
        <f t="shared" si="95"/>
        <v>68.991857438769699</v>
      </c>
      <c r="CW96" s="20">
        <f t="shared" si="67"/>
        <v>624.5482304725241</v>
      </c>
      <c r="CX96" s="59">
        <f t="shared" si="68"/>
        <v>910.49224299757896</v>
      </c>
      <c r="CY96" s="59">
        <f ca="1">AVERAGE(OFFSET($CX$3,0,0,'Données projet'!$E$13+1,1))-AVERAGE(OFFSET($H$3,0,0,'Données projet'!$E$13+1,1))</f>
        <v>418.79317359649315</v>
      </c>
      <c r="CZ96" s="59">
        <f t="shared" si="96"/>
        <v>286.46514989661011</v>
      </c>
      <c r="DA96" s="15">
        <f>IF(ISNA(VLOOKUP(A96,'Données projet'!$A$139:$I$159,3,0)),0,VLOOKUP(A96,'Données projet'!$A$139:$I$159,3,0))</f>
        <v>8</v>
      </c>
      <c r="DB96" s="15">
        <f>IF(ISNA(VLOOKUP(A96,'Données projet'!$A$139:$I$159,4,0)),0,VLOOKUP(A96,'Données projet'!$A$139:$I$159,4,0))</f>
        <v>59.26</v>
      </c>
      <c r="DC96" s="16">
        <f>IF(ISNA(VLOOKUP(A96,'Données projet'!$A$139:$I$159,5,0)),0%,VLOOKUP(A96,'Données projet'!$A$139:$I$159,5,0)*VLOOKUP('Données projet'!$B$13,Paramètres!$A$1:$I$89,7,0))</f>
        <v>0.25800000000000001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46.677226384185552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46.677226384185552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67.984730688651325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67.984730688651325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67.984730688651325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67.984730688651325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67.984730688651325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1.35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0.83584800000000081</v>
      </c>
      <c r="D97" s="11">
        <f t="shared" si="86"/>
        <v>0.39331793819483479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4.9953829847027595</v>
      </c>
      <c r="H97" s="67">
        <f t="shared" si="56"/>
        <v>226.13746400902266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68.019691105736001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346.79</v>
      </c>
      <c r="L97" s="12">
        <f>VLOOKUP(A97,'Données projet'!$A$35:$I$55,9,0)</f>
        <v>8.2910000000000021</v>
      </c>
      <c r="M97" s="12">
        <f t="array" ref="M97">INDEX(L:L,MIN(IF(ISNUMBER(L97:L293),ROW(L97:L293),"")))</f>
        <v>8.2910000000000021</v>
      </c>
      <c r="N97" s="13">
        <f>IF('Données projet'!$A$36&gt;35,N96+M97-V96,IF(A97&lt;'Données projet'!$A$36,$K$205^A97,IF(A97='Données projet'!$A$36,'Données projet'!$B$36,N96+M97-V96)))</f>
        <v>346.79000000000025</v>
      </c>
      <c r="O97" s="13">
        <f>N97*VLOOKUP('Données projet'!$B$9,Paramètres!$A$1:$I$89,3,0)*VLOOKUP('Données projet'!$B$9,Paramètres!$A$1:$I$89,5,0)</f>
        <v>351.64506000000029</v>
      </c>
      <c r="P97" s="13">
        <f t="shared" si="87"/>
        <v>81.901153677584574</v>
      </c>
      <c r="Q97" s="20">
        <f t="shared" si="54"/>
        <v>755.09298882179371</v>
      </c>
      <c r="R97" s="59">
        <f t="shared" si="55"/>
        <v>1041.1651895428258</v>
      </c>
      <c r="S97" s="59">
        <f ca="1">AVERAGE(OFFSET($R$3,0,0,'Données projet'!$E$9+1,1))-AVERAGE(OFFSET($H$3,0,0,'Données projet'!$E$9+1,1))</f>
        <v>665.7907881991157</v>
      </c>
      <c r="T97" s="59">
        <f t="shared" si="88"/>
        <v>306.76923535735227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61.85</v>
      </c>
      <c r="W97" s="16">
        <f>IF(ISNA(VLOOKUP(A97,'Données projet'!$A$35:$I$55,5,0)),0%,VLOOKUP(A97,'Données projet'!$A$35:$I$55,5,0)*VLOOKUP('Données projet'!$B$9,Paramètres!$A$1:$I$89,7,0))</f>
        <v>0.25800000000000001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57.554325653175837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57.554325653175837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68.019691105736001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13.159999999999997</v>
      </c>
      <c r="AI97" s="13">
        <f>IF('Données projet'!$A$62&gt;35,AI96+AH97-AQ96,IF(A97&lt;'Données projet'!$A$62,$AF$205^A97,IF(A97='Données projet'!$A$62,'Données projet'!$B$62,AI96+AH97-AQ96)))</f>
        <v>525.11999999999955</v>
      </c>
      <c r="AJ97" s="13">
        <f>AI97*VLOOKUP('Données projet'!$B$10,Paramètres!$A$1:$I$89,3,0)*VLOOKUP('Données projet'!$B$10,Paramètres!$A$1:$I$89,5,0)</f>
        <v>245.7561599999998</v>
      </c>
      <c r="AK97" s="13">
        <f t="shared" si="89"/>
        <v>59.67628284734046</v>
      </c>
      <c r="AL97" s="20">
        <f t="shared" si="58"/>
        <v>531.96150462578419</v>
      </c>
      <c r="AM97" s="59">
        <f t="shared" si="59"/>
        <v>818.03370534681619</v>
      </c>
      <c r="AN97" s="59">
        <f ca="1">AVERAGE(OFFSET($AM$3,0,0,'Données projet'!$E$10+1,1))-AVERAGE(OFFSET($H$3,0,0,'Données projet'!$E$10+1,1))</f>
        <v>370.42479501931444</v>
      </c>
      <c r="AO97" s="59">
        <f t="shared" si="90"/>
        <v>351.95632347830144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85.134974928022885</v>
      </c>
      <c r="AV97" s="21">
        <f>EXP(-LN(2)/25)*AV96+(1-EXP(-LN(2)/25))/(LN(2)/25)*Calculateur!AQ97*Calculateur!AS97*VLOOKUP('Données projet'!$B$10,Paramètres!$A$1:$I$89,3,0)*0.475*44/12</f>
        <v>36.735638879267732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121.87061380729062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68.019691105736001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7.1054273576010019E-14</v>
      </c>
      <c r="BE97" s="13">
        <f>BD97*VLOOKUP('Données projet'!$B$11,Paramètres!$A$1:$I$89,3,0)*VLOOKUP('Données projet'!$B$11,Paramètres!$A$1:$I$89,5,0)</f>
        <v>6.2073013396002357E-14</v>
      </c>
      <c r="BF97" s="13">
        <f t="shared" si="91"/>
        <v>9.8573687844725482E-13</v>
      </c>
      <c r="BG97" s="20">
        <f t="shared" si="61"/>
        <v>1.8249355616270061E-12</v>
      </c>
      <c r="BH97" s="59">
        <f t="shared" si="62"/>
        <v>286.07220072103382</v>
      </c>
      <c r="BI97" s="59">
        <f ca="1">AVERAGE(OFFSET($BH$3,0,0,'Données projet'!$E$11+1,1))-AVERAGE(OFFSET($H$3,0,0,'Données projet'!$E$11+1,1))</f>
        <v>128.92423054779167</v>
      </c>
      <c r="BJ97" s="59">
        <f t="shared" si="92"/>
        <v>127.5443711972687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21.463247376656632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21.463247376656632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68.019691105736001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346.79</v>
      </c>
      <c r="BW97" s="12">
        <f>VLOOKUP(A97,'Données projet'!$A$113:$I$133,9,0)</f>
        <v>8.2910000000000021</v>
      </c>
      <c r="BX97" s="12">
        <f t="array" ref="BX97">INDEX(BW:BW,MIN(IF(ISNUMBER(BW97:BW293),ROW(BW97:BW293),"")))</f>
        <v>8.2910000000000021</v>
      </c>
      <c r="BY97" s="12">
        <f>IF('Données projet'!$A$114&gt;35,BY96+BX97-CG96,IF(A97&lt;'Données projet'!$A$114,$BV$205^A97,IF(A97='Données projet'!$A$114,'Données projet'!$B$114,BY96+BX97-CG96)))</f>
        <v>346.79000000000025</v>
      </c>
      <c r="BZ97" s="13">
        <f>BY97*VLOOKUP('Données projet'!$B$12,Paramètres!$A$1:$I$89,3,0)*VLOOKUP('Données projet'!$B$12,Paramètres!$A$1:$I$89,5,0)</f>
        <v>313.77559200000019</v>
      </c>
      <c r="CA97" s="13">
        <f t="shared" si="93"/>
        <v>74.056767657464533</v>
      </c>
      <c r="CB97" s="20">
        <f t="shared" si="64"/>
        <v>675.47469307008441</v>
      </c>
      <c r="CC97" s="59">
        <f t="shared" si="65"/>
        <v>961.54689379111642</v>
      </c>
      <c r="CD97" s="59">
        <f ca="1">AVERAGE(OFFSET($CC$3,0,0,'Données projet'!$E$12+1,1))-AVERAGE(OFFSET($H$3,0,0,'Données projet'!$E$12+1,1))</f>
        <v>601.17090553269054</v>
      </c>
      <c r="CE97" s="59">
        <f t="shared" si="94"/>
        <v>279.37477930888042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61.85</v>
      </c>
      <c r="CH97" s="16">
        <f>IF(ISNA(VLOOKUP(A97,'Données projet'!$A$113:$I$133,5,0)),0%,VLOOKUP(A97,'Données projet'!$A$113:$I$133,5,0)*VLOOKUP('Données projet'!$B$12,Paramètres!$A$1:$I$89,7,0))</f>
        <v>0.25800000000000001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51.356167505910733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51.356167505910733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68.019691105736001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7.7120000000000006</v>
      </c>
      <c r="CT97" s="12">
        <f>IF('Données projet'!$A$140&gt;35,CT96+CS97-DB96,IF(A97&lt;'Données projet'!$A$140,$CQ$205^A97,IF(A97='Données projet'!$A$140,'Données projet'!$B$140,CT96+CS97-DB96)))</f>
        <v>252.78200000000015</v>
      </c>
      <c r="CU97" s="17">
        <f>CT97*VLOOKUP('Données projet'!$B$13,Paramètres!$A$1:$I$89,3,0)*VLOOKUP('Données projet'!$B$13,Paramètres!$A$1:$I$89,5,0)</f>
        <v>240.54735120000015</v>
      </c>
      <c r="CV97" s="13">
        <f t="shared" si="95"/>
        <v>58.557280141207919</v>
      </c>
      <c r="CW97" s="20">
        <f t="shared" si="67"/>
        <v>520.94056625260407</v>
      </c>
      <c r="CX97" s="59">
        <f t="shared" si="68"/>
        <v>807.01276697363608</v>
      </c>
      <c r="CY97" s="59">
        <f ca="1">AVERAGE(OFFSET($CX$3,0,0,'Données projet'!$E$13+1,1))-AVERAGE(OFFSET($H$3,0,0,'Données projet'!$E$13+1,1))</f>
        <v>418.79317359649315</v>
      </c>
      <c r="CZ97" s="59">
        <f t="shared" si="96"/>
        <v>286.46514989661011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45.761914445088557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45.761914445088557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68.019691105736001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68.019691105736001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68.019691105736001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68.019691105736001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68.019691105736001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1.35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0.84474000000000082</v>
      </c>
      <c r="D98" s="11">
        <f t="shared" si="86"/>
        <v>0.39701284671507225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4.996354605711339</v>
      </c>
      <c r="H98" s="67">
        <f t="shared" si="56"/>
        <v>226.15938620802876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68.054045037744061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8.0470000000000024</v>
      </c>
      <c r="N98" s="13">
        <f>IF('Données projet'!$A$36&gt;35,N97+M98-V97,IF(A98&lt;'Données projet'!$A$36,$K$205^A98,IF(A98='Données projet'!$A$36,'Données projet'!$B$36,N97+M98-V97)))</f>
        <v>292.98700000000025</v>
      </c>
      <c r="O98" s="13">
        <f>N98*VLOOKUP('Données projet'!$B$9,Paramètres!$A$1:$I$89,3,0)*VLOOKUP('Données projet'!$B$9,Paramètres!$A$1:$I$89,5,0)</f>
        <v>297.08881800000029</v>
      </c>
      <c r="P98" s="13">
        <f t="shared" si="87"/>
        <v>70.565821981438845</v>
      </c>
      <c r="Q98" s="20">
        <f t="shared" si="54"/>
        <v>640.33183130100645</v>
      </c>
      <c r="R98" s="59">
        <f t="shared" si="55"/>
        <v>926.52999643940132</v>
      </c>
      <c r="S98" s="59">
        <f ca="1">AVERAGE(OFFSET($R$3,0,0,'Données projet'!$E$9+1,1))-AVERAGE(OFFSET($H$3,0,0,'Données projet'!$E$9+1,1))</f>
        <v>665.7907881991157</v>
      </c>
      <c r="T98" s="59">
        <f t="shared" si="88"/>
        <v>306.76923535735227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56.425720431789408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56.425720431789408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68.054045037744061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538.28</v>
      </c>
      <c r="AG98" s="12">
        <f>VLOOKUP(A98,'Données projet'!$A$61:$I$81,9,0)</f>
        <v>13.159999999999997</v>
      </c>
      <c r="AH98" s="12">
        <f t="array" ref="AH98">INDEX(AG:AG,MIN(IF(ISNUMBER(AG98:AG294),ROW(AG98:AG294),"")))</f>
        <v>13.159999999999997</v>
      </c>
      <c r="AI98" s="13">
        <f>IF('Données projet'!$A$62&gt;35,AI97+AH98-AQ97,IF(A98&lt;'Données projet'!$A$62,$AF$205^A98,IF(A98='Données projet'!$A$62,'Données projet'!$B$62,AI97+AH98-AQ97)))</f>
        <v>538.27999999999952</v>
      </c>
      <c r="AJ98" s="13">
        <f>AI98*VLOOKUP('Données projet'!$B$10,Paramètres!$A$1:$I$89,3,0)*VLOOKUP('Données projet'!$B$10,Paramètres!$A$1:$I$89,5,0)</f>
        <v>251.91503999999978</v>
      </c>
      <c r="AK98" s="13">
        <f t="shared" si="89"/>
        <v>60.995835543729605</v>
      </c>
      <c r="AL98" s="20">
        <f t="shared" si="58"/>
        <v>544.98644157199533</v>
      </c>
      <c r="AM98" s="59">
        <f t="shared" si="59"/>
        <v>831.1846067103902</v>
      </c>
      <c r="AN98" s="59">
        <f ca="1">AVERAGE(OFFSET($AM$3,0,0,'Données projet'!$E$10+1,1))-AVERAGE(OFFSET($H$3,0,0,'Données projet'!$E$10+1,1))</f>
        <v>370.42479501931444</v>
      </c>
      <c r="AO98" s="59">
        <f t="shared" si="90"/>
        <v>351.95632347830144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268.81</v>
      </c>
      <c r="AR98" s="16">
        <f>IF(ISNA(VLOOKUP(A98,'Données projet'!$A$61:$I$81,5,0)),0%,VLOOKUP(A98,'Données projet'!$A$61:$I$81,5,0)*VLOOKUP('Données projet'!$B$10,Paramètres!$A$1:$I$89,7,0))</f>
        <v>0.38500000000000001</v>
      </c>
      <c r="AS98" s="16">
        <f>IF(ISNA(VLOOKUP(A98,'Données projet'!$A$61:$I$81,6,0)),0%,VLOOKUP(A98,'Données projet'!$A$61:$I$81,6,0)*VLOOKUP('Données projet'!$B$10,Paramètres!$A$1:$I$89,7,0))</f>
        <v>0.16500000000000001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147.71659930732619</v>
      </c>
      <c r="AV98" s="21">
        <f>EXP(-LN(2)/25)*AV97+(1-EXP(-LN(2)/25))/(LN(2)/25)*Calculateur!AQ98*Calculateur!AS98*VLOOKUP('Données projet'!$B$10,Paramètres!$A$1:$I$89,3,0)*0.475*44/12</f>
        <v>63.158853060406258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210.87545236773246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68.054045037744061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7.1054273576010019E-14</v>
      </c>
      <c r="BE98" s="13">
        <f>BD98*VLOOKUP('Données projet'!$B$11,Paramètres!$A$1:$I$89,3,0)*VLOOKUP('Données projet'!$B$11,Paramètres!$A$1:$I$89,5,0)</f>
        <v>6.2073013396002357E-14</v>
      </c>
      <c r="BF98" s="13">
        <f t="shared" si="91"/>
        <v>9.8573687844725482E-13</v>
      </c>
      <c r="BG98" s="20">
        <f t="shared" si="61"/>
        <v>1.8249355616270061E-12</v>
      </c>
      <c r="BH98" s="59">
        <f t="shared" si="62"/>
        <v>286.19816513839669</v>
      </c>
      <c r="BI98" s="59">
        <f ca="1">AVERAGE(OFFSET($BH$3,0,0,'Données projet'!$E$11+1,1))-AVERAGE(OFFSET($H$3,0,0,'Données projet'!$E$11+1,1))</f>
        <v>128.92423054779167</v>
      </c>
      <c r="BJ98" s="59">
        <f t="shared" si="92"/>
        <v>127.5443711972687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21.042366186888639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21.042366186888639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68.054045037744061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8.0470000000000024</v>
      </c>
      <c r="BY98" s="12">
        <f>IF('Données projet'!$A$114&gt;35,BY97+BX98-CG97,IF(A98&lt;'Données projet'!$A$114,$BV$205^A98,IF(A98='Données projet'!$A$114,'Données projet'!$B$114,BY97+BX98-CG97)))</f>
        <v>292.98700000000025</v>
      </c>
      <c r="BZ98" s="13">
        <f>BY98*VLOOKUP('Données projet'!$B$12,Paramètres!$A$1:$I$89,3,0)*VLOOKUP('Données projet'!$B$12,Paramètres!$A$1:$I$89,5,0)</f>
        <v>265.09463760000023</v>
      </c>
      <c r="CA98" s="13">
        <f t="shared" si="93"/>
        <v>63.807119294189917</v>
      </c>
      <c r="CB98" s="20">
        <f t="shared" si="64"/>
        <v>572.83722659071452</v>
      </c>
      <c r="CC98" s="59">
        <f t="shared" si="65"/>
        <v>859.03539172910939</v>
      </c>
      <c r="CD98" s="59">
        <f ca="1">AVERAGE(OFFSET($CC$3,0,0,'Données projet'!$E$12+1,1))-AVERAGE(OFFSET($H$3,0,0,'Données projet'!$E$12+1,1))</f>
        <v>601.17090553269054</v>
      </c>
      <c r="CE98" s="59">
        <f t="shared" si="94"/>
        <v>279.37477930888042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50.349104385288996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50.349104385288996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68.054045037744061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7.7120000000000006</v>
      </c>
      <c r="CT98" s="12">
        <f>IF('Données projet'!$A$140&gt;35,CT97+CS98-DB97,IF(A98&lt;'Données projet'!$A$140,$CQ$205^A98,IF(A98='Données projet'!$A$140,'Données projet'!$B$140,CT97+CS98-DB97)))</f>
        <v>260.49400000000014</v>
      </c>
      <c r="CU98" s="17">
        <f>CT98*VLOOKUP('Données projet'!$B$13,Paramètres!$A$1:$I$89,3,0)*VLOOKUP('Données projet'!$B$13,Paramètres!$A$1:$I$89,5,0)</f>
        <v>247.88609040000014</v>
      </c>
      <c r="CV98" s="13">
        <f t="shared" si="95"/>
        <v>60.133055459965377</v>
      </c>
      <c r="CW98" s="20">
        <f t="shared" si="67"/>
        <v>536.46667903944001</v>
      </c>
      <c r="CX98" s="59">
        <f t="shared" si="68"/>
        <v>822.66484417783488</v>
      </c>
      <c r="CY98" s="59">
        <f ca="1">AVERAGE(OFFSET($CX$3,0,0,'Données projet'!$E$13+1,1))-AVERAGE(OFFSET($H$3,0,0,'Données projet'!$E$13+1,1))</f>
        <v>418.79317359649315</v>
      </c>
      <c r="CZ98" s="59">
        <f t="shared" si="96"/>
        <v>286.46514989661011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44.864551214832098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44.864551214832098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68.054045037744061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68.054045037744061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68.054045037744061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68.054045037744061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68.054045037744061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1.35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0.85363200000000083</v>
      </c>
      <c r="D99" s="11">
        <f t="shared" si="86"/>
        <v>0.40070323068405583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4.997325877456313</v>
      </c>
      <c r="H99" s="67">
        <f t="shared" si="56"/>
        <v>226.18130052677475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68.087803005835653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8.0470000000000024</v>
      </c>
      <c r="N99" s="13">
        <f>IF('Données projet'!$A$36&gt;35,N98+M99-V98,IF(A99&lt;'Données projet'!$A$36,$K$205^A99,IF(A99='Données projet'!$A$36,'Données projet'!$B$36,N98+M99-V98)))</f>
        <v>301.03400000000028</v>
      </c>
      <c r="O99" s="13">
        <f>N99*VLOOKUP('Données projet'!$B$9,Paramètres!$A$1:$I$89,3,0)*VLOOKUP('Données projet'!$B$9,Paramètres!$A$1:$I$89,5,0)</f>
        <v>305.24847600000032</v>
      </c>
      <c r="P99" s="13">
        <f t="shared" si="87"/>
        <v>72.275632556335026</v>
      </c>
      <c r="Q99" s="20">
        <f t="shared" ref="Q99:Q130" si="107">(O99+P99)*0.475*44/12</f>
        <v>657.52115573561741</v>
      </c>
      <c r="R99" s="59">
        <f t="shared" si="55"/>
        <v>943.84310009034812</v>
      </c>
      <c r="S99" s="59">
        <f ca="1">AVERAGE(OFFSET($R$3,0,0,'Données projet'!$E$9+1,1))-AVERAGE(OFFSET($H$3,0,0,'Données projet'!$E$9+1,1))</f>
        <v>665.7907881991157</v>
      </c>
      <c r="T99" s="59">
        <f t="shared" si="88"/>
        <v>306.76923535735227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55.319246470413155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55.319246470413155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68.087803005835653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8.7210000000000036</v>
      </c>
      <c r="AI99" s="13">
        <f>IF('Données projet'!$A$62&gt;35,AI98+AH99-AQ98,IF(A99&lt;'Données projet'!$A$62,$AF$205^A99,IF(A99='Données projet'!$A$62,'Données projet'!$B$62,AI98+AH99-AQ98)))</f>
        <v>278.19099999999952</v>
      </c>
      <c r="AJ99" s="13">
        <f>AI99*VLOOKUP('Données projet'!$B$10,Paramètres!$A$1:$I$89,3,0)*VLOOKUP('Données projet'!$B$10,Paramètres!$A$1:$I$89,5,0)</f>
        <v>130.19338799999977</v>
      </c>
      <c r="AK99" s="13">
        <f t="shared" si="89"/>
        <v>34.041041754414536</v>
      </c>
      <c r="AL99" s="20">
        <f t="shared" si="58"/>
        <v>286.04163182227154</v>
      </c>
      <c r="AM99" s="59">
        <f t="shared" si="59"/>
        <v>572.3635761770023</v>
      </c>
      <c r="AN99" s="59">
        <f ca="1">AVERAGE(OFFSET($AM$3,0,0,'Données projet'!$E$10+1,1))-AVERAGE(OFFSET($H$3,0,0,'Données projet'!$E$10+1,1))</f>
        <v>370.42479501931444</v>
      </c>
      <c r="AO99" s="59">
        <f t="shared" si="90"/>
        <v>351.95632347830144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144.81996689313866</v>
      </c>
      <c r="AV99" s="21">
        <f>EXP(-LN(2)/25)*AV98+(1-EXP(-LN(2)/25))/(LN(2)/25)*Calculateur!AQ99*Calculateur!AS99*VLOOKUP('Données projet'!$B$10,Paramètres!$A$1:$I$89,3,0)*0.475*44/12</f>
        <v>61.431770902089717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206.25173779522837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68.087803005835653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7.1054273576010019E-14</v>
      </c>
      <c r="BE99" s="13">
        <f>BD99*VLOOKUP('Données projet'!$B$11,Paramètres!$A$1:$I$89,3,0)*VLOOKUP('Données projet'!$B$11,Paramètres!$A$1:$I$89,5,0)</f>
        <v>6.2073013396002357E-14</v>
      </c>
      <c r="BF99" s="13">
        <f t="shared" si="91"/>
        <v>9.8573687844725482E-13</v>
      </c>
      <c r="BG99" s="20">
        <f t="shared" si="61"/>
        <v>1.8249355616270061E-12</v>
      </c>
      <c r="BH99" s="59">
        <f t="shared" si="62"/>
        <v>286.32194435473258</v>
      </c>
      <c r="BI99" s="59">
        <f ca="1">AVERAGE(OFFSET($BH$3,0,0,'Données projet'!$E$11+1,1))-AVERAGE(OFFSET($H$3,0,0,'Données projet'!$E$11+1,1))</f>
        <v>128.92423054779167</v>
      </c>
      <c r="BJ99" s="59">
        <f t="shared" si="92"/>
        <v>127.5443711972687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20.629738220539817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20.629738220539817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68.087803005835653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8.0470000000000024</v>
      </c>
      <c r="BY99" s="12">
        <f>IF('Données projet'!$A$114&gt;35,BY98+BX99-CG98,IF(A99&lt;'Données projet'!$A$114,$BV$205^A99,IF(A99='Données projet'!$A$114,'Données projet'!$B$114,BY98+BX99-CG98)))</f>
        <v>301.03400000000028</v>
      </c>
      <c r="BZ99" s="13">
        <f>BY99*VLOOKUP('Données projet'!$B$12,Paramètres!$A$1:$I$89,3,0)*VLOOKUP('Données projet'!$B$12,Paramètres!$A$1:$I$89,5,0)</f>
        <v>272.37556320000027</v>
      </c>
      <c r="CA99" s="13">
        <f t="shared" si="93"/>
        <v>65.35316643513535</v>
      </c>
      <c r="CB99" s="20">
        <f t="shared" si="64"/>
        <v>588.21087078119456</v>
      </c>
      <c r="CC99" s="59">
        <f t="shared" si="65"/>
        <v>874.53281513592538</v>
      </c>
      <c r="CD99" s="59">
        <f ca="1">AVERAGE(OFFSET($CC$3,0,0,'Données projet'!$E$12+1,1))-AVERAGE(OFFSET($H$3,0,0,'Données projet'!$E$12+1,1))</f>
        <v>601.17090553269054</v>
      </c>
      <c r="CE99" s="59">
        <f t="shared" si="94"/>
        <v>279.37477930888042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49.361789158214798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49.361789158214798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68.087803005835653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7.7120000000000006</v>
      </c>
      <c r="CT99" s="12">
        <f>IF('Données projet'!$A$140&gt;35,CT98+CS99-DB98,IF(A99&lt;'Données projet'!$A$140,$CQ$205^A99,IF(A99='Données projet'!$A$140,'Données projet'!$B$140,CT98+CS99-DB98)))</f>
        <v>268.20600000000013</v>
      </c>
      <c r="CU99" s="17">
        <f>CT99*VLOOKUP('Données projet'!$B$13,Paramètres!$A$1:$I$89,3,0)*VLOOKUP('Données projet'!$B$13,Paramètres!$A$1:$I$89,5,0)</f>
        <v>255.22482960000013</v>
      </c>
      <c r="CV99" s="13">
        <f t="shared" si="95"/>
        <v>61.703409078245194</v>
      </c>
      <c r="CW99" s="20">
        <f t="shared" si="67"/>
        <v>551.98334903127727</v>
      </c>
      <c r="CX99" s="59">
        <f t="shared" si="68"/>
        <v>838.30529338600809</v>
      </c>
      <c r="CY99" s="59">
        <f ca="1">AVERAGE(OFFSET($CX$3,0,0,'Données projet'!$E$13+1,1))-AVERAGE(OFFSET($H$3,0,0,'Données projet'!$E$13+1,1))</f>
        <v>418.79317359649315</v>
      </c>
      <c r="CZ99" s="59">
        <f t="shared" si="96"/>
        <v>286.46514989661011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43.984784730183442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43.984784730183442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68.087803005835653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68.087803005835653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68.087803005835653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68.087803005835653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68.087803005835653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1.35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0.86252400000000085</v>
      </c>
      <c r="D100" s="11">
        <f t="shared" si="86"/>
        <v>0.40438914268857118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4.9982968039970128</v>
      </c>
      <c r="H100" s="67">
        <f t="shared" si="56"/>
        <v>226.20320705684927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68.120975348652379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8.0470000000000024</v>
      </c>
      <c r="N100" s="13">
        <f>IF('Données projet'!$A$36&gt;35,N99+M100-V99,IF(A100&lt;'Données projet'!$A$36,$K$205^A100,IF(A100='Données projet'!$A$36,'Données projet'!$B$36,N99+M100-V99)))</f>
        <v>309.0810000000003</v>
      </c>
      <c r="O100" s="13">
        <f>N100*VLOOKUP('Données projet'!$B$9,Paramètres!$A$1:$I$89,3,0)*VLOOKUP('Données projet'!$B$9,Paramètres!$A$1:$I$89,5,0)</f>
        <v>313.4081340000003</v>
      </c>
      <c r="P100" s="13">
        <f t="shared" si="87"/>
        <v>73.980130635311994</v>
      </c>
      <c r="Q100" s="20">
        <f t="shared" si="107"/>
        <v>674.70122757316892</v>
      </c>
      <c r="R100" s="59">
        <f t="shared" si="55"/>
        <v>961.14480385156094</v>
      </c>
      <c r="S100" s="59">
        <f ca="1">AVERAGE(OFFSET($R$3,0,0,'Données projet'!$E$9+1,1))-AVERAGE(OFFSET($H$3,0,0,'Données projet'!$E$9+1,1))</f>
        <v>665.7907881991157</v>
      </c>
      <c r="T100" s="59">
        <f t="shared" si="88"/>
        <v>306.76923535735227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54.234469788537012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54.234469788537012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68.120975348652379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8.7210000000000036</v>
      </c>
      <c r="AI100" s="13">
        <f>IF('Données projet'!$A$62&gt;35,AI99+AH100-AQ99,IF(A100&lt;'Données projet'!$A$62,$AF$205^A100,IF(A100='Données projet'!$A$62,'Données projet'!$B$62,AI99+AH100-AQ99)))</f>
        <v>286.91199999999952</v>
      </c>
      <c r="AJ100" s="13">
        <f>AI100*VLOOKUP('Données projet'!$B$10,Paramètres!$A$1:$I$89,3,0)*VLOOKUP('Données projet'!$B$10,Paramètres!$A$1:$I$89,5,0)</f>
        <v>134.27481599999979</v>
      </c>
      <c r="AK100" s="13">
        <f t="shared" si="89"/>
        <v>34.982276112724144</v>
      </c>
      <c r="AL100" s="20">
        <f t="shared" si="58"/>
        <v>294.78943542966084</v>
      </c>
      <c r="AM100" s="59">
        <f t="shared" si="59"/>
        <v>581.23301170805291</v>
      </c>
      <c r="AN100" s="59">
        <f ca="1">AVERAGE(OFFSET($AM$3,0,0,'Données projet'!$E$10+1,1))-AVERAGE(OFFSET($H$3,0,0,'Données projet'!$E$10+1,1))</f>
        <v>370.42479501931444</v>
      </c>
      <c r="AO100" s="59">
        <f t="shared" si="90"/>
        <v>351.95632347830144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141.98013567382199</v>
      </c>
      <c r="AV100" s="21">
        <f>EXP(-LN(2)/25)*AV99+(1-EXP(-LN(2)/25))/(LN(2)/25)*Calculateur!AQ100*Calculateur!AS100*VLOOKUP('Données projet'!$B$10,Paramètres!$A$1:$I$89,3,0)*0.475*44/12</f>
        <v>59.75191589621565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201.73205157003764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68.120975348652379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7.1054273576010019E-14</v>
      </c>
      <c r="BE100" s="13">
        <f>BD100*VLOOKUP('Données projet'!$B$11,Paramètres!$A$1:$I$89,3,0)*VLOOKUP('Données projet'!$B$11,Paramètres!$A$1:$I$89,5,0)</f>
        <v>6.2073013396002357E-14</v>
      </c>
      <c r="BF100" s="13">
        <f t="shared" si="91"/>
        <v>9.8573687844725482E-13</v>
      </c>
      <c r="BG100" s="20">
        <f t="shared" si="61"/>
        <v>1.8249355616270061E-12</v>
      </c>
      <c r="BH100" s="59">
        <f t="shared" si="62"/>
        <v>286.44357627839389</v>
      </c>
      <c r="BI100" s="59">
        <f ca="1">AVERAGE(OFFSET($BH$3,0,0,'Données projet'!$E$11+1,1))-AVERAGE(OFFSET($H$3,0,0,'Données projet'!$E$11+1,1))</f>
        <v>128.92423054779167</v>
      </c>
      <c r="BJ100" s="59">
        <f t="shared" si="92"/>
        <v>127.5443711972687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20.225201636932887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20.225201636932887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68.120975348652379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8.0470000000000024</v>
      </c>
      <c r="BY100" s="12">
        <f>IF('Données projet'!$A$114&gt;35,BY99+BX100-CG99,IF(A100&lt;'Données projet'!$A$114,$BV$205^A100,IF(A100='Données projet'!$A$114,'Données projet'!$B$114,BY99+BX100-CG99)))</f>
        <v>309.0810000000003</v>
      </c>
      <c r="BZ100" s="13">
        <f>BY100*VLOOKUP('Données projet'!$B$12,Paramètres!$A$1:$I$89,3,0)*VLOOKUP('Données projet'!$B$12,Paramètres!$A$1:$I$89,5,0)</f>
        <v>279.65648880000026</v>
      </c>
      <c r="CA100" s="13">
        <f t="shared" si="93"/>
        <v>66.894409904113928</v>
      </c>
      <c r="CB100" s="20">
        <f t="shared" si="64"/>
        <v>603.57614857633223</v>
      </c>
      <c r="CC100" s="59">
        <f t="shared" si="65"/>
        <v>890.01972485472425</v>
      </c>
      <c r="CD100" s="59">
        <f ca="1">AVERAGE(OFFSET($CC$3,0,0,'Données projet'!$E$12+1,1))-AVERAGE(OFFSET($H$3,0,0,'Données projet'!$E$12+1,1))</f>
        <v>601.17090553269054</v>
      </c>
      <c r="CE100" s="59">
        <f t="shared" si="94"/>
        <v>279.37477930888042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48.393834580540698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48.393834580540698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68.120975348652379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7.7120000000000006</v>
      </c>
      <c r="CT100" s="12">
        <f>IF('Données projet'!$A$140&gt;35,CT99+CS100-DB99,IF(A100&lt;'Données projet'!$A$140,$CQ$205^A100,IF(A100='Données projet'!$A$140,'Données projet'!$B$140,CT99+CS100-DB99)))</f>
        <v>275.91800000000012</v>
      </c>
      <c r="CU100" s="17">
        <f>CT100*VLOOKUP('Données projet'!$B$13,Paramètres!$A$1:$I$89,3,0)*VLOOKUP('Données projet'!$B$13,Paramètres!$A$1:$I$89,5,0)</f>
        <v>262.56356880000016</v>
      </c>
      <c r="CV100" s="13">
        <f t="shared" si="95"/>
        <v>63.268514795578845</v>
      </c>
      <c r="CW100" s="20">
        <f t="shared" si="67"/>
        <v>567.49087892896671</v>
      </c>
      <c r="CX100" s="59">
        <f t="shared" si="68"/>
        <v>853.93445520735872</v>
      </c>
      <c r="CY100" s="59">
        <f ca="1">AVERAGE(OFFSET($CX$3,0,0,'Données projet'!$E$13+1,1))-AVERAGE(OFFSET($H$3,0,0,'Données projet'!$E$13+1,1))</f>
        <v>418.79317359649315</v>
      </c>
      <c r="CZ100" s="59">
        <f t="shared" si="96"/>
        <v>286.46514989661011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43.122269929694177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43.122269929694177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68.120975348652379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68.120975348652379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68.120975348652379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68.120975348652379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68.120975348652379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1.35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0.87141600000000086</v>
      </c>
      <c r="D101" s="11">
        <f t="shared" si="86"/>
        <v>0.40807063416866374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4.9992673893042481</v>
      </c>
      <c r="H101" s="67">
        <f t="shared" si="56"/>
        <v>226.22510588784377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68.153572225483472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8.0470000000000024</v>
      </c>
      <c r="N101" s="13">
        <f>IF('Données projet'!$A$36&gt;35,N100+M101-V100,IF(A101&lt;'Données projet'!$A$36,$K$205^A101,IF(A101='Données projet'!$A$36,'Données projet'!$B$36,N100+M101-V100)))</f>
        <v>317.12800000000033</v>
      </c>
      <c r="O101" s="13">
        <f>N101*VLOOKUP('Données projet'!$B$9,Paramètres!$A$1:$I$89,3,0)*VLOOKUP('Données projet'!$B$9,Paramètres!$A$1:$I$89,5,0)</f>
        <v>321.56779200000034</v>
      </c>
      <c r="P101" s="13">
        <f t="shared" si="87"/>
        <v>75.679470431568902</v>
      </c>
      <c r="Q101" s="20">
        <f t="shared" si="107"/>
        <v>691.87231540164976</v>
      </c>
      <c r="R101" s="59">
        <f t="shared" si="55"/>
        <v>978.43541356175581</v>
      </c>
      <c r="S101" s="59">
        <f ca="1">AVERAGE(OFFSET($R$3,0,0,'Données projet'!$E$9+1,1))-AVERAGE(OFFSET($H$3,0,0,'Données projet'!$E$9+1,1))</f>
        <v>665.7907881991157</v>
      </c>
      <c r="T101" s="59">
        <f t="shared" si="88"/>
        <v>306.76923535735227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53.170964915744015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53.170964915744015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68.153572225483472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8.7210000000000036</v>
      </c>
      <c r="AI101" s="13">
        <f>IF('Données projet'!$A$62&gt;35,AI100+AH101-AQ100,IF(A101&lt;'Données projet'!$A$62,$AF$205^A101,IF(A101='Données projet'!$A$62,'Données projet'!$B$62,AI100+AH101-AQ100)))</f>
        <v>295.63299999999953</v>
      </c>
      <c r="AJ101" s="13">
        <f>AI101*VLOOKUP('Données projet'!$B$10,Paramètres!$A$1:$I$89,3,0)*VLOOKUP('Données projet'!$B$10,Paramètres!$A$1:$I$89,5,0)</f>
        <v>138.35624399999978</v>
      </c>
      <c r="AK101" s="13">
        <f t="shared" si="89"/>
        <v>35.920185629681562</v>
      </c>
      <c r="AL101" s="20">
        <f t="shared" si="58"/>
        <v>303.53144827169496</v>
      </c>
      <c r="AM101" s="59">
        <f t="shared" si="59"/>
        <v>590.09454643180106</v>
      </c>
      <c r="AN101" s="59">
        <f ca="1">AVERAGE(OFFSET($AM$3,0,0,'Données projet'!$E$10+1,1))-AVERAGE(OFFSET($H$3,0,0,'Données projet'!$E$10+1,1))</f>
        <v>370.42479501931444</v>
      </c>
      <c r="AO101" s="59">
        <f t="shared" si="90"/>
        <v>351.95632347830144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139.19599181259014</v>
      </c>
      <c r="AV101" s="21">
        <f>EXP(-LN(2)/25)*AV100+(1-EXP(-LN(2)/25))/(LN(2)/25)*Calculateur!AQ101*Calculateur!AS101*VLOOKUP('Données projet'!$B$10,Paramètres!$A$1:$I$89,3,0)*0.475*44/12</f>
        <v>58.117996613816942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197.31398842640709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68.153572225483472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7.1054273576010019E-14</v>
      </c>
      <c r="BE101" s="13">
        <f>BD101*VLOOKUP('Données projet'!$B$11,Paramètres!$A$1:$I$89,3,0)*VLOOKUP('Données projet'!$B$11,Paramètres!$A$1:$I$89,5,0)</f>
        <v>6.2073013396002357E-14</v>
      </c>
      <c r="BF101" s="13">
        <f t="shared" si="91"/>
        <v>9.8573687844725482E-13</v>
      </c>
      <c r="BG101" s="20">
        <f t="shared" si="61"/>
        <v>1.8249355616270061E-12</v>
      </c>
      <c r="BH101" s="59">
        <f t="shared" si="62"/>
        <v>286.56309816010787</v>
      </c>
      <c r="BI101" s="59">
        <f ca="1">AVERAGE(OFFSET($BH$3,0,0,'Données projet'!$E$11+1,1))-AVERAGE(OFFSET($H$3,0,0,'Données projet'!$E$11+1,1))</f>
        <v>128.92423054779167</v>
      </c>
      <c r="BJ101" s="59">
        <f t="shared" si="92"/>
        <v>127.5443711972687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19.828597768987539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19.828597768987539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68.153572225483472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8.0470000000000024</v>
      </c>
      <c r="BY101" s="12">
        <f>IF('Données projet'!$A$114&gt;35,BY100+BX101-CG100,IF(A101&lt;'Données projet'!$A$114,$BV$205^A101,IF(A101='Données projet'!$A$114,'Données projet'!$B$114,BY100+BX101-CG100)))</f>
        <v>317.12800000000033</v>
      </c>
      <c r="BZ101" s="13">
        <f>BY101*VLOOKUP('Données projet'!$B$12,Paramètres!$A$1:$I$89,3,0)*VLOOKUP('Données projet'!$B$12,Paramètres!$A$1:$I$89,5,0)</f>
        <v>286.93741440000031</v>
      </c>
      <c r="CA101" s="13">
        <f t="shared" si="93"/>
        <v>68.430989143985158</v>
      </c>
      <c r="CB101" s="20">
        <f t="shared" si="64"/>
        <v>618.93330283910791</v>
      </c>
      <c r="CC101" s="59">
        <f t="shared" si="65"/>
        <v>905.49640099921396</v>
      </c>
      <c r="CD101" s="59">
        <f ca="1">AVERAGE(OFFSET($CC$3,0,0,'Données projet'!$E$12+1,1))-AVERAGE(OFFSET($H$3,0,0,'Données projet'!$E$12+1,1))</f>
        <v>601.17090553269054</v>
      </c>
      <c r="CE101" s="59">
        <f t="shared" si="94"/>
        <v>279.37477930888042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47.444861001740797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47.444861001740797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68.153572225483472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7.7120000000000006</v>
      </c>
      <c r="CT101" s="12">
        <f>IF('Données projet'!$A$140&gt;35,CT100+CS101-DB100,IF(A101&lt;'Données projet'!$A$140,$CQ$205^A101,IF(A101='Données projet'!$A$140,'Données projet'!$B$140,CT100+CS101-DB100)))</f>
        <v>283.63000000000011</v>
      </c>
      <c r="CU101" s="17">
        <f>CT101*VLOOKUP('Données projet'!$B$13,Paramètres!$A$1:$I$89,3,0)*VLOOKUP('Données projet'!$B$13,Paramètres!$A$1:$I$89,5,0)</f>
        <v>269.90230800000012</v>
      </c>
      <c r="CV101" s="13">
        <f t="shared" si="95"/>
        <v>64.828536143208865</v>
      </c>
      <c r="CW101" s="20">
        <f t="shared" si="67"/>
        <v>582.98955354942223</v>
      </c>
      <c r="CX101" s="59">
        <f t="shared" si="68"/>
        <v>869.55265170952828</v>
      </c>
      <c r="CY101" s="59">
        <f ca="1">AVERAGE(OFFSET($CX$3,0,0,'Données projet'!$E$13+1,1))-AVERAGE(OFFSET($H$3,0,0,'Données projet'!$E$13+1,1))</f>
        <v>418.79317359649315</v>
      </c>
      <c r="CZ101" s="59">
        <f t="shared" si="96"/>
        <v>286.46514989661011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42.276668518360424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42.276668518360424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68.153572225483472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68.153572225483472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68.153572225483472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68.153572225483472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68.153572225483472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1.35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0.88030800000000087</v>
      </c>
      <c r="D102" s="11">
        <f t="shared" si="86"/>
        <v>0.41174775545408626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5.0002376372631225</v>
      </c>
      <c r="H102" s="67">
        <f t="shared" si="56"/>
        <v>226.24699710741587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68.185603619377247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8.0470000000000024</v>
      </c>
      <c r="N102" s="13">
        <f>IF('Données projet'!$A$36&gt;35,N101+M102-V101,IF(A102&lt;'Données projet'!$A$36,$K$205^A102,IF(A102='Données projet'!$A$36,'Données projet'!$B$36,N101+M102-V101)))</f>
        <v>325.17500000000035</v>
      </c>
      <c r="O102" s="13">
        <f>N102*VLOOKUP('Données projet'!$B$9,Paramètres!$A$1:$I$89,3,0)*VLOOKUP('Données projet'!$B$9,Paramètres!$A$1:$I$89,5,0)</f>
        <v>329.72745000000037</v>
      </c>
      <c r="P102" s="13">
        <f t="shared" si="87"/>
        <v>77.373797886161128</v>
      </c>
      <c r="Q102" s="20">
        <f t="shared" si="107"/>
        <v>709.0346734017312</v>
      </c>
      <c r="R102" s="59">
        <f t="shared" si="55"/>
        <v>995.71522000611435</v>
      </c>
      <c r="S102" s="59">
        <f ca="1">AVERAGE(OFFSET($R$3,0,0,'Données projet'!$E$9+1,1))-AVERAGE(OFFSET($H$3,0,0,'Données projet'!$E$9+1,1))</f>
        <v>665.7907881991157</v>
      </c>
      <c r="T102" s="59">
        <f t="shared" si="88"/>
        <v>306.76923535735227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52.12831472483257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52.12831472483257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68.185603619377247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8.7210000000000036</v>
      </c>
      <c r="AI102" s="13">
        <f>IF('Données projet'!$A$62&gt;35,AI101+AH102-AQ101,IF(A102&lt;'Données projet'!$A$62,$AF$205^A102,IF(A102='Données projet'!$A$62,'Données projet'!$B$62,AI101+AH102-AQ101)))</f>
        <v>304.35399999999953</v>
      </c>
      <c r="AJ102" s="13">
        <f>AI102*VLOOKUP('Données projet'!$B$10,Paramètres!$A$1:$I$89,3,0)*VLOOKUP('Données projet'!$B$10,Paramètres!$A$1:$I$89,5,0)</f>
        <v>142.43767199999976</v>
      </c>
      <c r="AK102" s="13">
        <f t="shared" si="89"/>
        <v>36.854879647142347</v>
      </c>
      <c r="AL102" s="20">
        <f t="shared" si="58"/>
        <v>312.26786078543915</v>
      </c>
      <c r="AM102" s="59">
        <f t="shared" si="59"/>
        <v>598.94840738982236</v>
      </c>
      <c r="AN102" s="59">
        <f ca="1">AVERAGE(OFFSET($AM$3,0,0,'Données projet'!$E$10+1,1))-AVERAGE(OFFSET($H$3,0,0,'Données projet'!$E$10+1,1))</f>
        <v>370.42479501931444</v>
      </c>
      <c r="AO102" s="59">
        <f t="shared" si="90"/>
        <v>351.95632347830144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136.46644331431696</v>
      </c>
      <c r="AV102" s="21">
        <f>EXP(-LN(2)/25)*AV101+(1-EXP(-LN(2)/25))/(LN(2)/25)*Calculateur!AQ102*Calculateur!AS102*VLOOKUP('Données projet'!$B$10,Paramètres!$A$1:$I$89,3,0)*0.475*44/12</f>
        <v>56.528756940119507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192.99520025443647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68.185603619377247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7.1054273576010019E-14</v>
      </c>
      <c r="BE102" s="13">
        <f>BD102*VLOOKUP('Données projet'!$B$11,Paramètres!$A$1:$I$89,3,0)*VLOOKUP('Données projet'!$B$11,Paramètres!$A$1:$I$89,5,0)</f>
        <v>6.2073013396002357E-14</v>
      </c>
      <c r="BF102" s="13">
        <f t="shared" si="91"/>
        <v>9.8573687844725482E-13</v>
      </c>
      <c r="BG102" s="20">
        <f t="shared" si="61"/>
        <v>1.8249355616270061E-12</v>
      </c>
      <c r="BH102" s="59">
        <f t="shared" si="62"/>
        <v>286.68054660438503</v>
      </c>
      <c r="BI102" s="59">
        <f ca="1">AVERAGE(OFFSET($BH$3,0,0,'Données projet'!$E$11+1,1))-AVERAGE(OFFSET($H$3,0,0,'Données projet'!$E$11+1,1))</f>
        <v>128.92423054779167</v>
      </c>
      <c r="BJ102" s="59">
        <f t="shared" si="92"/>
        <v>127.5443711972687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19.439771060988125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19.439771060988125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68.185603619377247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8.0470000000000024</v>
      </c>
      <c r="BY102" s="12">
        <f>IF('Données projet'!$A$114&gt;35,BY101+BX102-CG101,IF(A102&lt;'Données projet'!$A$114,$BV$205^A102,IF(A102='Données projet'!$A$114,'Données projet'!$B$114,BY101+BX102-CG101)))</f>
        <v>325.17500000000035</v>
      </c>
      <c r="BZ102" s="13">
        <f>BY102*VLOOKUP('Données projet'!$B$12,Paramètres!$A$1:$I$89,3,0)*VLOOKUP('Données projet'!$B$12,Paramètres!$A$1:$I$89,5,0)</f>
        <v>294.2183400000003</v>
      </c>
      <c r="CA102" s="13">
        <f t="shared" si="93"/>
        <v>69.963036117759913</v>
      </c>
      <c r="CB102" s="20">
        <f t="shared" si="64"/>
        <v>634.28256340509904</v>
      </c>
      <c r="CC102" s="59">
        <f t="shared" si="65"/>
        <v>920.96311000948231</v>
      </c>
      <c r="CD102" s="59">
        <f ca="1">AVERAGE(OFFSET($CC$3,0,0,'Données projet'!$E$12+1,1))-AVERAGE(OFFSET($H$3,0,0,'Données projet'!$E$12+1,1))</f>
        <v>601.17090553269054</v>
      </c>
      <c r="CE102" s="59">
        <f t="shared" si="94"/>
        <v>279.37477930888042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46.514496216004432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46.514496216004432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68.185603619377247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7.7120000000000006</v>
      </c>
      <c r="CT102" s="12">
        <f>IF('Données projet'!$A$140&gt;35,CT101+CS102-DB101,IF(A102&lt;'Données projet'!$A$140,$CQ$205^A102,IF(A102='Données projet'!$A$140,'Données projet'!$B$140,CT101+CS102-DB101)))</f>
        <v>291.3420000000001</v>
      </c>
      <c r="CU102" s="17">
        <f>CT102*VLOOKUP('Données projet'!$B$13,Paramètres!$A$1:$I$89,3,0)*VLOOKUP('Données projet'!$B$13,Paramètres!$A$1:$I$89,5,0)</f>
        <v>277.24104720000008</v>
      </c>
      <c r="CV102" s="13">
        <f t="shared" si="95"/>
        <v>66.383627253240675</v>
      </c>
      <c r="CW102" s="20">
        <f t="shared" si="67"/>
        <v>598.47964133939422</v>
      </c>
      <c r="CX102" s="59">
        <f t="shared" si="68"/>
        <v>885.16018794377737</v>
      </c>
      <c r="CY102" s="59">
        <f ca="1">AVERAGE(OFFSET($CX$3,0,0,'Données projet'!$E$13+1,1))-AVERAGE(OFFSET($H$3,0,0,'Données projet'!$E$13+1,1))</f>
        <v>418.79317359649315</v>
      </c>
      <c r="CZ102" s="59">
        <f t="shared" si="96"/>
        <v>286.46514989661011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41.447648834936992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41.447648834936992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68.185603619377247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68.185603619377247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68.185603619377247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68.185603619377247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68.185603619377247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1.35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0.88920000000000088</v>
      </c>
      <c r="D103" s="11">
        <f t="shared" si="86"/>
        <v>0.41542055579923109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5.0012075516757299</v>
      </c>
      <c r="H103" s="67">
        <f t="shared" si="56"/>
        <v>226.26888080135032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68.217079340198438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8.0470000000000024</v>
      </c>
      <c r="N103" s="13">
        <f>IF('Données projet'!$A$36&gt;35,N102+M103-V102,IF(A103&lt;'Données projet'!$A$36,$K$205^A103,IF(A103='Données projet'!$A$36,'Données projet'!$B$36,N102+M103-V102)))</f>
        <v>333.22200000000038</v>
      </c>
      <c r="O103" s="13">
        <f>N103*VLOOKUP('Données projet'!$B$9,Paramètres!$A$1:$I$89,3,0)*VLOOKUP('Données projet'!$B$9,Paramètres!$A$1:$I$89,5,0)</f>
        <v>337.88710800000041</v>
      </c>
      <c r="P103" s="13">
        <f t="shared" si="87"/>
        <v>79.063251305296689</v>
      </c>
      <c r="Q103" s="20">
        <f t="shared" si="107"/>
        <v>726.18854245672571</v>
      </c>
      <c r="R103" s="59">
        <f t="shared" si="55"/>
        <v>1012.9845000374532</v>
      </c>
      <c r="S103" s="59">
        <f ca="1">AVERAGE(OFFSET($R$3,0,0,'Données projet'!$E$9+1,1))-AVERAGE(OFFSET($H$3,0,0,'Données projet'!$E$9+1,1))</f>
        <v>665.7907881991157</v>
      </c>
      <c r="T103" s="59">
        <f t="shared" si="88"/>
        <v>306.76923535735227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51.106110268211076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51.106110268211076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68.217079340198438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8.7210000000000036</v>
      </c>
      <c r="AI103" s="13">
        <f>IF('Données projet'!$A$62&gt;35,AI102+AH103-AQ102,IF(A103&lt;'Données projet'!$A$62,$AF$205^A103,IF(A103='Données projet'!$A$62,'Données projet'!$B$62,AI102+AH103-AQ102)))</f>
        <v>313.07499999999953</v>
      </c>
      <c r="AJ103" s="13">
        <f>AI103*VLOOKUP('Données projet'!$B$10,Paramètres!$A$1:$I$89,3,0)*VLOOKUP('Données projet'!$B$10,Paramètres!$A$1:$I$89,5,0)</f>
        <v>146.51909999999978</v>
      </c>
      <c r="AK103" s="13">
        <f t="shared" si="89"/>
        <v>37.786460884380837</v>
      </c>
      <c r="AL103" s="20">
        <f t="shared" si="58"/>
        <v>320.99885187362952</v>
      </c>
      <c r="AM103" s="59">
        <f t="shared" si="59"/>
        <v>607.79480945435716</v>
      </c>
      <c r="AN103" s="59">
        <f ca="1">AVERAGE(OFFSET($AM$3,0,0,'Données projet'!$E$10+1,1))-AVERAGE(OFFSET($H$3,0,0,'Données projet'!$E$10+1,1))</f>
        <v>370.42479501931444</v>
      </c>
      <c r="AO103" s="59">
        <f t="shared" si="90"/>
        <v>351.95632347830144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133.79041959723472</v>
      </c>
      <c r="AV103" s="21">
        <f>EXP(-LN(2)/25)*AV102+(1-EXP(-LN(2)/25))/(LN(2)/25)*Calculateur!AQ103*Calculateur!AS103*VLOOKUP('Données projet'!$B$10,Paramètres!$A$1:$I$89,3,0)*0.475*44/12</f>
        <v>54.982975108873809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188.77339470610852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68.217079340198438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7.1054273576010019E-14</v>
      </c>
      <c r="BE103" s="13">
        <f>BD103*VLOOKUP('Données projet'!$B$11,Paramètres!$A$1:$I$89,3,0)*VLOOKUP('Données projet'!$B$11,Paramètres!$A$1:$I$89,5,0)</f>
        <v>6.2073013396002357E-14</v>
      </c>
      <c r="BF103" s="13">
        <f t="shared" si="91"/>
        <v>9.8573687844725482E-13</v>
      </c>
      <c r="BG103" s="20">
        <f t="shared" si="61"/>
        <v>1.8249355616270061E-12</v>
      </c>
      <c r="BH103" s="59">
        <f t="shared" si="62"/>
        <v>286.79595758072941</v>
      </c>
      <c r="BI103" s="59">
        <f ca="1">AVERAGE(OFFSET($BH$3,0,0,'Données projet'!$E$11+1,1))-AVERAGE(OFFSET($H$3,0,0,'Données projet'!$E$11+1,1))</f>
        <v>128.92423054779167</v>
      </c>
      <c r="BJ103" s="59">
        <f t="shared" si="92"/>
        <v>127.5443711972687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19.058569007571705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19.058569007571705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68.217079340198438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8.0470000000000024</v>
      </c>
      <c r="BY103" s="12">
        <f>IF('Données projet'!$A$114&gt;35,BY102+BX103-CG102,IF(A103&lt;'Données projet'!$A$114,$BV$205^A103,IF(A103='Données projet'!$A$114,'Données projet'!$B$114,BY102+BX103-CG102)))</f>
        <v>333.22200000000038</v>
      </c>
      <c r="BZ103" s="13">
        <f>BY103*VLOOKUP('Données projet'!$B$12,Paramètres!$A$1:$I$89,3,0)*VLOOKUP('Données projet'!$B$12,Paramètres!$A$1:$I$89,5,0)</f>
        <v>301.49926560000034</v>
      </c>
      <c r="CA103" s="13">
        <f t="shared" si="93"/>
        <v>71.490675884857296</v>
      </c>
      <c r="CB103" s="20">
        <f t="shared" si="64"/>
        <v>649.62414808612709</v>
      </c>
      <c r="CC103" s="59">
        <f t="shared" si="65"/>
        <v>936.42010566685462</v>
      </c>
      <c r="CD103" s="59">
        <f ca="1">AVERAGE(OFFSET($CC$3,0,0,'Données projet'!$E$12+1,1))-AVERAGE(OFFSET($H$3,0,0,'Données projet'!$E$12+1,1))</f>
        <v>601.17090553269054</v>
      </c>
      <c r="CE103" s="59">
        <f t="shared" si="94"/>
        <v>279.37477930888042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45.602375316249869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45.602375316249869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68.217079340198438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7.7120000000000006</v>
      </c>
      <c r="CT103" s="12">
        <f>IF('Données projet'!$A$140&gt;35,CT102+CS103-DB102,IF(A103&lt;'Données projet'!$A$140,$CQ$205^A103,IF(A103='Données projet'!$A$140,'Données projet'!$B$140,CT102+CS103-DB102)))</f>
        <v>299.05400000000009</v>
      </c>
      <c r="CU103" s="17">
        <f>CT103*VLOOKUP('Données projet'!$B$13,Paramètres!$A$1:$I$89,3,0)*VLOOKUP('Données projet'!$B$13,Paramètres!$A$1:$I$89,5,0)</f>
        <v>284.57978640000005</v>
      </c>
      <c r="CV103" s="13">
        <f t="shared" si="95"/>
        <v>67.9339336331781</v>
      </c>
      <c r="CW103" s="20">
        <f t="shared" si="67"/>
        <v>613.9613957244519</v>
      </c>
      <c r="CX103" s="59">
        <f t="shared" si="68"/>
        <v>900.75735330517955</v>
      </c>
      <c r="CY103" s="59">
        <f ca="1">AVERAGE(OFFSET($CX$3,0,0,'Données projet'!$E$13+1,1))-AVERAGE(OFFSET($H$3,0,0,'Données projet'!$E$13+1,1))</f>
        <v>418.79317359649315</v>
      </c>
      <c r="CZ103" s="59">
        <f t="shared" si="96"/>
        <v>286.46514989661011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40.634885721853415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40.634885721853415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68.217079340198438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68.217079340198438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68.217079340198438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68.217079340198438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68.217079340198438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1.35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0.89809200000000089</v>
      </c>
      <c r="D104" s="11">
        <f t="shared" si="86"/>
        <v>0.41908908341662582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5.0021771362637395</v>
      </c>
      <c r="H104" s="67">
        <f t="shared" si="56"/>
        <v>226.29075705361728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68.248009027632548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8.0470000000000024</v>
      </c>
      <c r="N104" s="13">
        <f>IF('Données projet'!$A$36&gt;35,N103+M104-V103,IF(A104&lt;'Données projet'!$A$36,$K$205^A104,IF(A104='Données projet'!$A$36,'Données projet'!$B$36,N103+M104-V103)))</f>
        <v>341.2690000000004</v>
      </c>
      <c r="O104" s="13">
        <f>N104*VLOOKUP('Données projet'!$B$9,Paramètres!$A$1:$I$89,3,0)*VLOOKUP('Données projet'!$B$9,Paramètres!$A$1:$I$89,5,0)</f>
        <v>346.04676600000045</v>
      </c>
      <c r="P104" s="13">
        <f t="shared" si="87"/>
        <v>80.747961934338676</v>
      </c>
      <c r="Q104" s="20">
        <f t="shared" si="107"/>
        <v>743.33415115230719</v>
      </c>
      <c r="R104" s="59">
        <f t="shared" si="55"/>
        <v>1030.2435175869598</v>
      </c>
      <c r="S104" s="59">
        <f ca="1">AVERAGE(OFFSET($R$3,0,0,'Données projet'!$E$9+1,1))-AVERAGE(OFFSET($H$3,0,0,'Données projet'!$E$9+1,1))</f>
        <v>665.7907881991157</v>
      </c>
      <c r="T104" s="59">
        <f t="shared" si="88"/>
        <v>306.76923535735227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50.103950617500779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50.103950617500779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68.248009027632548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8.7210000000000036</v>
      </c>
      <c r="AI104" s="13">
        <f>IF('Données projet'!$A$62&gt;35,AI103+AH104-AQ103,IF(A104&lt;'Données projet'!$A$62,$AF$205^A104,IF(A104='Données projet'!$A$62,'Données projet'!$B$62,AI103+AH104-AQ103)))</f>
        <v>321.79599999999954</v>
      </c>
      <c r="AJ104" s="13">
        <f>AI104*VLOOKUP('Données projet'!$B$10,Paramètres!$A$1:$I$89,3,0)*VLOOKUP('Données projet'!$B$10,Paramètres!$A$1:$I$89,5,0)</f>
        <v>150.60052799999977</v>
      </c>
      <c r="AK104" s="13">
        <f t="shared" si="89"/>
        <v>38.715026012368448</v>
      </c>
      <c r="AL104" s="20">
        <f t="shared" si="58"/>
        <v>329.72458990487462</v>
      </c>
      <c r="AM104" s="59">
        <f t="shared" si="59"/>
        <v>616.63395633952723</v>
      </c>
      <c r="AN104" s="59">
        <f ca="1">AVERAGE(OFFSET($AM$3,0,0,'Données projet'!$E$10+1,1))-AVERAGE(OFFSET($H$3,0,0,'Données projet'!$E$10+1,1))</f>
        <v>370.42479501931444</v>
      </c>
      <c r="AO104" s="59">
        <f t="shared" si="90"/>
        <v>351.95632347830144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131.16687107303116</v>
      </c>
      <c r="AV104" s="21">
        <f>EXP(-LN(2)/25)*AV103+(1-EXP(-LN(2)/25))/(LN(2)/25)*Calculateur!AQ104*Calculateur!AS104*VLOOKUP('Données projet'!$B$10,Paramètres!$A$1:$I$89,3,0)*0.475*44/12</f>
        <v>53.479462763092663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184.64633383612383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68.248009027632548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7.1054273576010019E-14</v>
      </c>
      <c r="BE104" s="13">
        <f>BD104*VLOOKUP('Données projet'!$B$11,Paramètres!$A$1:$I$89,3,0)*VLOOKUP('Données projet'!$B$11,Paramètres!$A$1:$I$89,5,0)</f>
        <v>6.2073013396002357E-14</v>
      </c>
      <c r="BF104" s="13">
        <f t="shared" si="91"/>
        <v>9.8573687844725482E-13</v>
      </c>
      <c r="BG104" s="20">
        <f t="shared" si="61"/>
        <v>1.8249355616270061E-12</v>
      </c>
      <c r="BH104" s="59">
        <f t="shared" si="62"/>
        <v>286.90936643465449</v>
      </c>
      <c r="BI104" s="59">
        <f ca="1">AVERAGE(OFFSET($BH$3,0,0,'Données projet'!$E$11+1,1))-AVERAGE(OFFSET($H$3,0,0,'Données projet'!$E$11+1,1))</f>
        <v>128.92423054779167</v>
      </c>
      <c r="BJ104" s="59">
        <f t="shared" si="92"/>
        <v>127.5443711972687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18.684842093912486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18.684842093912486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68.248009027632548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8.0470000000000024</v>
      </c>
      <c r="BY104" s="12">
        <f>IF('Données projet'!$A$114&gt;35,BY103+BX104-CG103,IF(A104&lt;'Données projet'!$A$114,$BV$205^A104,IF(A104='Données projet'!$A$114,'Données projet'!$B$114,BY103+BX104-CG103)))</f>
        <v>341.2690000000004</v>
      </c>
      <c r="BZ104" s="13">
        <f>BY104*VLOOKUP('Données projet'!$B$12,Paramètres!$A$1:$I$89,3,0)*VLOOKUP('Données projet'!$B$12,Paramètres!$A$1:$I$89,5,0)</f>
        <v>308.78019120000033</v>
      </c>
      <c r="CA104" s="13">
        <f t="shared" si="93"/>
        <v>73.014027120130123</v>
      </c>
      <c r="CB104" s="20">
        <f t="shared" si="64"/>
        <v>664.95826357422709</v>
      </c>
      <c r="CC104" s="59">
        <f t="shared" si="65"/>
        <v>951.86763000887981</v>
      </c>
      <c r="CD104" s="59">
        <f ca="1">AVERAGE(OFFSET($CC$3,0,0,'Données projet'!$E$12+1,1))-AVERAGE(OFFSET($H$3,0,0,'Données projet'!$E$12+1,1))</f>
        <v>601.17090553269054</v>
      </c>
      <c r="CE104" s="59">
        <f t="shared" si="94"/>
        <v>279.37477930888042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44.708140551000682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44.708140551000682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68.248009027632548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7.7120000000000006</v>
      </c>
      <c r="CT104" s="12">
        <f>IF('Données projet'!$A$140&gt;35,CT103+CS104-DB103,IF(A104&lt;'Données projet'!$A$140,$CQ$205^A104,IF(A104='Données projet'!$A$140,'Données projet'!$B$140,CT103+CS104-DB103)))</f>
        <v>306.76600000000008</v>
      </c>
      <c r="CU104" s="17">
        <f>CT104*VLOOKUP('Données projet'!$B$13,Paramètres!$A$1:$I$89,3,0)*VLOOKUP('Données projet'!$B$13,Paramètres!$A$1:$I$89,5,0)</f>
        <v>291.91852560000007</v>
      </c>
      <c r="CV104" s="13">
        <f t="shared" si="95"/>
        <v>69.479592858315883</v>
      </c>
      <c r="CW104" s="20">
        <f t="shared" si="67"/>
        <v>629.43505631490018</v>
      </c>
      <c r="CX104" s="59">
        <f t="shared" si="68"/>
        <v>916.3444227495529</v>
      </c>
      <c r="CY104" s="59">
        <f ca="1">AVERAGE(OFFSET($CX$3,0,0,'Données projet'!$E$13+1,1))-AVERAGE(OFFSET($H$3,0,0,'Données projet'!$E$13+1,1))</f>
        <v>418.79317359649315</v>
      </c>
      <c r="CZ104" s="59">
        <f t="shared" si="96"/>
        <v>286.46514989661011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39.838060397680863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39.838060397680863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68.248009027632548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68.248009027632548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68.248009027632548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68.248009027632548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68.248009027632548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1.35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0.9069840000000009</v>
      </c>
      <c r="D105" s="11">
        <f t="shared" si="86"/>
        <v>0.42275338550906316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5.0031463946708756</v>
      </c>
      <c r="H105" s="67">
        <f t="shared" si="56"/>
        <v>226.31262594642828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68.278402154138092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8.0470000000000024</v>
      </c>
      <c r="N105" s="13">
        <f>IF('Données projet'!$A$36&gt;35,N104+M105-V104,IF(A105&lt;'Données projet'!$A$36,$K$205^A105,IF(A105='Données projet'!$A$36,'Données projet'!$B$36,N104+M105-V104)))</f>
        <v>349.31600000000043</v>
      </c>
      <c r="O105" s="13">
        <f>N105*VLOOKUP('Données projet'!$B$9,Paramètres!$A$1:$I$89,3,0)*VLOOKUP('Données projet'!$B$9,Paramètres!$A$1:$I$89,5,0)</f>
        <v>354.20642400000042</v>
      </c>
      <c r="P105" s="13">
        <f t="shared" si="87"/>
        <v>82.42805447614306</v>
      </c>
      <c r="Q105" s="20">
        <f t="shared" si="107"/>
        <v>760.4717166792833</v>
      </c>
      <c r="R105" s="59">
        <f t="shared" si="55"/>
        <v>1047.4925245777897</v>
      </c>
      <c r="S105" s="59">
        <f ca="1">AVERAGE(OFFSET($R$3,0,0,'Données projet'!$E$9+1,1))-AVERAGE(OFFSET($H$3,0,0,'Données projet'!$E$9+1,1))</f>
        <v>665.7907881991157</v>
      </c>
      <c r="T105" s="59">
        <f t="shared" si="88"/>
        <v>306.76923535735227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49.121442706283879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49.121442706283879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68.278402154138092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8.7210000000000036</v>
      </c>
      <c r="AI105" s="13">
        <f>IF('Données projet'!$A$62&gt;35,AI104+AH105-AQ104,IF(A105&lt;'Données projet'!$A$62,$AF$205^A105,IF(A105='Données projet'!$A$62,'Données projet'!$B$62,AI104+AH105-AQ104)))</f>
        <v>330.51699999999954</v>
      </c>
      <c r="AJ105" s="13">
        <f>AI105*VLOOKUP('Données projet'!$B$10,Paramètres!$A$1:$I$89,3,0)*VLOOKUP('Données projet'!$B$10,Paramètres!$A$1:$I$89,5,0)</f>
        <v>154.68195599999979</v>
      </c>
      <c r="AK105" s="13">
        <f t="shared" si="89"/>
        <v>39.640666164046536</v>
      </c>
      <c r="AL105" s="20">
        <f t="shared" si="58"/>
        <v>338.44523360238071</v>
      </c>
      <c r="AM105" s="59">
        <f t="shared" si="59"/>
        <v>625.46604150088706</v>
      </c>
      <c r="AN105" s="59">
        <f ca="1">AVERAGE(OFFSET($AM$3,0,0,'Données projet'!$E$10+1,1))-AVERAGE(OFFSET($H$3,0,0,'Données projet'!$E$10+1,1))</f>
        <v>370.42479501931444</v>
      </c>
      <c r="AO105" s="59">
        <f t="shared" si="90"/>
        <v>351.95632347830144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128.59476873518065</v>
      </c>
      <c r="AV105" s="21">
        <f>EXP(-LN(2)/25)*AV104+(1-EXP(-LN(2)/25))/(LN(2)/25)*Calculateur!AQ105*Calculateur!AS105*VLOOKUP('Données projet'!$B$10,Paramètres!$A$1:$I$89,3,0)*0.475*44/12</f>
        <v>52.017064041473176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180.61183277665384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68.278402154138092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7.1054273576010019E-14</v>
      </c>
      <c r="BE105" s="13">
        <f>BD105*VLOOKUP('Données projet'!$B$11,Paramètres!$A$1:$I$89,3,0)*VLOOKUP('Données projet'!$B$11,Paramètres!$A$1:$I$89,5,0)</f>
        <v>6.2073013396002357E-14</v>
      </c>
      <c r="BF105" s="13">
        <f t="shared" si="91"/>
        <v>9.8573687844725482E-13</v>
      </c>
      <c r="BG105" s="20">
        <f t="shared" si="61"/>
        <v>1.8249355616270061E-12</v>
      </c>
      <c r="BH105" s="59">
        <f t="shared" si="62"/>
        <v>287.02080789850817</v>
      </c>
      <c r="BI105" s="59">
        <f ca="1">AVERAGE(OFFSET($BH$3,0,0,'Données projet'!$E$11+1,1))-AVERAGE(OFFSET($H$3,0,0,'Données projet'!$E$11+1,1))</f>
        <v>128.92423054779167</v>
      </c>
      <c r="BJ105" s="59">
        <f t="shared" si="92"/>
        <v>127.5443711972687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18.318443737079217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18.318443737079217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68.278402154138092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8.0470000000000024</v>
      </c>
      <c r="BY105" s="12">
        <f>IF('Données projet'!$A$114&gt;35,BY104+BX105-CG104,IF(A105&lt;'Données projet'!$A$114,$BV$205^A105,IF(A105='Données projet'!$A$114,'Données projet'!$B$114,BY104+BX105-CG104)))</f>
        <v>349.31600000000043</v>
      </c>
      <c r="BZ105" s="13">
        <f>BY105*VLOOKUP('Données projet'!$B$12,Paramètres!$A$1:$I$89,3,0)*VLOOKUP('Données projet'!$B$12,Paramètres!$A$1:$I$89,5,0)</f>
        <v>316.06111680000038</v>
      </c>
      <c r="CA105" s="13">
        <f t="shared" si="93"/>
        <v>74.533202582557081</v>
      </c>
      <c r="CB105" s="20">
        <f t="shared" si="64"/>
        <v>680.28510625795423</v>
      </c>
      <c r="CC105" s="59">
        <f t="shared" si="65"/>
        <v>967.30591415646063</v>
      </c>
      <c r="CD105" s="59">
        <f ca="1">AVERAGE(OFFSET($CC$3,0,0,'Données projet'!$E$12+1,1))-AVERAGE(OFFSET($H$3,0,0,'Données projet'!$E$12+1,1))</f>
        <v>601.17090553269054</v>
      </c>
      <c r="CE105" s="59">
        <f t="shared" si="94"/>
        <v>279.37477930888042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43.83144118406868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43.83144118406868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68.278402154138092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7.7120000000000006</v>
      </c>
      <c r="CT105" s="12">
        <f>IF('Données projet'!$A$140&gt;35,CT104+CS105-DB104,IF(A105&lt;'Données projet'!$A$140,$CQ$205^A105,IF(A105='Données projet'!$A$140,'Données projet'!$B$140,CT104+CS105-DB104)))</f>
        <v>314.47800000000007</v>
      </c>
      <c r="CU105" s="17">
        <f>CT105*VLOOKUP('Données projet'!$B$13,Paramètres!$A$1:$I$89,3,0)*VLOOKUP('Données projet'!$B$13,Paramètres!$A$1:$I$89,5,0)</f>
        <v>299.25726480000003</v>
      </c>
      <c r="CV105" s="13">
        <f t="shared" si="95"/>
        <v>71.020735192546439</v>
      </c>
      <c r="CW105" s="20">
        <f t="shared" si="67"/>
        <v>644.90084998701843</v>
      </c>
      <c r="CX105" s="59">
        <f t="shared" si="68"/>
        <v>931.92165788552484</v>
      </c>
      <c r="CY105" s="59">
        <f ca="1">AVERAGE(OFFSET($CX$3,0,0,'Données projet'!$E$13+1,1))-AVERAGE(OFFSET($H$3,0,0,'Données projet'!$E$13+1,1))</f>
        <v>418.79317359649315</v>
      </c>
      <c r="CZ105" s="59">
        <f t="shared" si="96"/>
        <v>286.46514989661011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39.056860332099873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39.056860332099873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68.278402154138092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68.278402154138092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68.278402154138092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68.278402154138092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68.278402154138092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1.35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0.91587600000000091</v>
      </c>
      <c r="D106" s="11">
        <f t="shared" si="86"/>
        <v>0.42641350830043678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5.0041153304652974</v>
      </c>
      <c r="H106" s="67">
        <f t="shared" si="56"/>
        <v>226.33448756028994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68.308268027847618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8.0470000000000024</v>
      </c>
      <c r="N106" s="13">
        <f>IF('Données projet'!$A$36&gt;35,N105+M106-V105,IF(A106&lt;'Données projet'!$A$36,$K$205^A106,IF(A106='Données projet'!$A$36,'Données projet'!$B$36,N105+M106-V105)))</f>
        <v>357.36300000000045</v>
      </c>
      <c r="O106" s="13">
        <f>N106*VLOOKUP('Données projet'!$B$9,Paramètres!$A$1:$I$89,3,0)*VLOOKUP('Données projet'!$B$9,Paramètres!$A$1:$I$89,5,0)</f>
        <v>362.36608200000046</v>
      </c>
      <c r="P106" s="13">
        <f t="shared" si="87"/>
        <v>84.103647560288479</v>
      </c>
      <c r="Q106" s="20">
        <f t="shared" si="107"/>
        <v>777.60144565083658</v>
      </c>
      <c r="R106" s="59">
        <f t="shared" si="55"/>
        <v>1064.7317617529445</v>
      </c>
      <c r="S106" s="59">
        <f ca="1">AVERAGE(OFFSET($R$3,0,0,'Données projet'!$E$9+1,1))-AVERAGE(OFFSET($H$3,0,0,'Données projet'!$E$9+1,1))</f>
        <v>665.7907881991157</v>
      </c>
      <c r="T106" s="59">
        <f t="shared" si="88"/>
        <v>306.76923535735227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48.158201175935289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48.158201175935289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68.308268027847618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8.7210000000000036</v>
      </c>
      <c r="AI106" s="13">
        <f>IF('Données projet'!$A$62&gt;35,AI105+AH106-AQ105,IF(A106&lt;'Données projet'!$A$62,$AF$205^A106,IF(A106='Données projet'!$A$62,'Données projet'!$B$62,AI105+AH106-AQ105)))</f>
        <v>339.23799999999954</v>
      </c>
      <c r="AJ106" s="13">
        <f>AI106*VLOOKUP('Données projet'!$B$10,Paramètres!$A$1:$I$89,3,0)*VLOOKUP('Données projet'!$B$10,Paramètres!$A$1:$I$89,5,0)</f>
        <v>158.76338399999977</v>
      </c>
      <c r="AK106" s="13">
        <f t="shared" si="89"/>
        <v>40.563467389228563</v>
      </c>
      <c r="AL106" s="20">
        <f t="shared" si="58"/>
        <v>347.1609328362394</v>
      </c>
      <c r="AM106" s="59">
        <f t="shared" si="59"/>
        <v>634.29124893834728</v>
      </c>
      <c r="AN106" s="59">
        <f ca="1">AVERAGE(OFFSET($AM$3,0,0,'Données projet'!$E$10+1,1))-AVERAGE(OFFSET($H$3,0,0,'Données projet'!$E$10+1,1))</f>
        <v>370.42479501931444</v>
      </c>
      <c r="AO106" s="59">
        <f t="shared" si="90"/>
        <v>351.95632347830144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126.07310375534787</v>
      </c>
      <c r="AV106" s="21">
        <f>EXP(-LN(2)/25)*AV105+(1-EXP(-LN(2)/25))/(LN(2)/25)*Calculateur!AQ106*Calculateur!AS106*VLOOKUP('Données projet'!$B$10,Paramètres!$A$1:$I$89,3,0)*0.475*44/12</f>
        <v>50.594654689800578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176.66775844514845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68.308268027847618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7.1054273576010019E-14</v>
      </c>
      <c r="BE106" s="13">
        <f>BD106*VLOOKUP('Données projet'!$B$11,Paramètres!$A$1:$I$89,3,0)*VLOOKUP('Données projet'!$B$11,Paramètres!$A$1:$I$89,5,0)</f>
        <v>6.2073013396002357E-14</v>
      </c>
      <c r="BF106" s="13">
        <f t="shared" si="91"/>
        <v>9.8573687844725482E-13</v>
      </c>
      <c r="BG106" s="20">
        <f t="shared" si="61"/>
        <v>1.8249355616270061E-12</v>
      </c>
      <c r="BH106" s="59">
        <f t="shared" si="62"/>
        <v>287.13031610210976</v>
      </c>
      <c r="BI106" s="59">
        <f ca="1">AVERAGE(OFFSET($BH$3,0,0,'Données projet'!$E$11+1,1))-AVERAGE(OFFSET($H$3,0,0,'Données projet'!$E$11+1,1))</f>
        <v>128.92423054779167</v>
      </c>
      <c r="BJ106" s="59">
        <f t="shared" si="92"/>
        <v>127.5443711972687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17.959230228542516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17.959230228542516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68.308268027847618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8.0470000000000024</v>
      </c>
      <c r="BY106" s="12">
        <f>IF('Données projet'!$A$114&gt;35,BY105+BX106-CG105,IF(A106&lt;'Données projet'!$A$114,$BV$205^A106,IF(A106='Données projet'!$A$114,'Données projet'!$B$114,BY105+BX106-CG105)))</f>
        <v>357.36300000000045</v>
      </c>
      <c r="BZ106" s="13">
        <f>BY106*VLOOKUP('Données projet'!$B$12,Paramètres!$A$1:$I$89,3,0)*VLOOKUP('Données projet'!$B$12,Paramètres!$A$1:$I$89,5,0)</f>
        <v>323.34204240000037</v>
      </c>
      <c r="CA106" s="13">
        <f t="shared" si="93"/>
        <v>76.048309539529996</v>
      </c>
      <c r="CB106" s="20">
        <f t="shared" si="64"/>
        <v>695.60486296134877</v>
      </c>
      <c r="CC106" s="59">
        <f t="shared" si="65"/>
        <v>982.73517906345671</v>
      </c>
      <c r="CD106" s="59">
        <f ca="1">AVERAGE(OFFSET($CC$3,0,0,'Données projet'!$E$12+1,1))-AVERAGE(OFFSET($H$3,0,0,'Données projet'!$E$12+1,1))</f>
        <v>601.17090553269054</v>
      </c>
      <c r="CE106" s="59">
        <f t="shared" si="94"/>
        <v>279.37477930888042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42.971933356988401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42.971933356988401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68.308268027847618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322.19</v>
      </c>
      <c r="CR106" s="12">
        <f>VLOOKUP(A106,'Données projet'!$A$139:$I$159,9,0)</f>
        <v>7.7120000000000006</v>
      </c>
      <c r="CS106" s="12">
        <f t="array" ref="CS106">INDEX(CR:CR,MIN(IF(ISNUMBER(CR106:CR302),ROW(CR106:CR302),"")))</f>
        <v>7.7120000000000006</v>
      </c>
      <c r="CT106" s="12">
        <f>IF('Données projet'!$A$140&gt;35,CT105+CS106-DB105,IF(A106&lt;'Données projet'!$A$140,$CQ$205^A106,IF(A106='Données projet'!$A$140,'Données projet'!$B$140,CT105+CS106-DB105)))</f>
        <v>322.19000000000005</v>
      </c>
      <c r="CU106" s="17">
        <f>CT106*VLOOKUP('Données projet'!$B$13,Paramètres!$A$1:$I$89,3,0)*VLOOKUP('Données projet'!$B$13,Paramètres!$A$1:$I$89,5,0)</f>
        <v>306.59600400000005</v>
      </c>
      <c r="CV106" s="13">
        <f t="shared" si="95"/>
        <v>72.557484146555467</v>
      </c>
      <c r="CW106" s="20">
        <f t="shared" si="67"/>
        <v>660.35899185525079</v>
      </c>
      <c r="CX106" s="59">
        <f t="shared" si="68"/>
        <v>947.48930795735873</v>
      </c>
      <c r="CY106" s="59">
        <f ca="1">AVERAGE(OFFSET($CX$3,0,0,'Données projet'!$E$13+1,1))-AVERAGE(OFFSET($H$3,0,0,'Données projet'!$E$13+1,1))</f>
        <v>418.79317359649315</v>
      </c>
      <c r="CZ106" s="59">
        <f t="shared" si="96"/>
        <v>286.46514989661011</v>
      </c>
      <c r="DA106" s="15">
        <f>IF(ISNA(VLOOKUP(A106,'Données projet'!$A$139:$I$159,3,0)),0,VLOOKUP(A106,'Données projet'!$A$139:$I$159,3,0))</f>
        <v>9</v>
      </c>
      <c r="DB106" s="15">
        <f>IF(ISNA(VLOOKUP(A106,'Données projet'!$A$139:$I$159,4,0)),0,VLOOKUP(A106,'Données projet'!$A$139:$I$159,4,0))</f>
        <v>58.98</v>
      </c>
      <c r="DC106" s="16">
        <f>IF(ISNA(VLOOKUP(A106,'Données projet'!$A$139:$I$159,5,0)),0%,VLOOKUP(A106,'Données projet'!$A$139:$I$159,5,0)*VLOOKUP('Données projet'!$B$13,Paramètres!$A$1:$I$89,7,0))</f>
        <v>0.25800000000000001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54.298571544331651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54.298571544331651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68.308268027847618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68.308268027847618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68.308268027847618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68.308268027847618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68.308268027847618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1.35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0.92476800000000092</v>
      </c>
      <c r="D107" s="11">
        <f t="shared" si="86"/>
        <v>0.43006949706534325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5.0050839471418866</v>
      </c>
      <c r="H107" s="67">
        <f t="shared" si="56"/>
        <v>226.35634197405548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68.337615795418387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365.41</v>
      </c>
      <c r="L107" s="12">
        <f>VLOOKUP(A107,'Données projet'!$A$35:$I$55,9,0)</f>
        <v>8.0470000000000024</v>
      </c>
      <c r="M107" s="12">
        <f t="array" ref="M107">INDEX(L:L,MIN(IF(ISNUMBER(L107:L303),ROW(L107:L303),"")))</f>
        <v>8.0470000000000024</v>
      </c>
      <c r="N107" s="13">
        <f>IF('Données projet'!$A$36&gt;35,N106+M107-V106,IF(A107&lt;'Données projet'!$A$36,$K$205^A107,IF(A107='Données projet'!$A$36,'Données projet'!$B$36,N106+M107-V106)))</f>
        <v>365.41000000000048</v>
      </c>
      <c r="O107" s="13">
        <f>N107*VLOOKUP('Données projet'!$B$9,Paramètres!$A$1:$I$89,3,0)*VLOOKUP('Données projet'!$B$9,Paramètres!$A$1:$I$89,5,0)</f>
        <v>370.5257400000005</v>
      </c>
      <c r="P107" s="13">
        <f t="shared" si="87"/>
        <v>85.774854168850283</v>
      </c>
      <c r="Q107" s="20">
        <f t="shared" si="107"/>
        <v>794.72353484408177</v>
      </c>
      <c r="R107" s="59">
        <f t="shared" si="55"/>
        <v>1081.9614594272825</v>
      </c>
      <c r="S107" s="59">
        <f ca="1">AVERAGE(OFFSET($R$3,0,0,'Données projet'!$E$9+1,1))-AVERAGE(OFFSET($H$3,0,0,'Données projet'!$E$9+1,1))</f>
        <v>665.7907881991157</v>
      </c>
      <c r="T107" s="59">
        <f t="shared" si="88"/>
        <v>306.76923535735227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60.19</v>
      </c>
      <c r="W107" s="16">
        <f>IF(ISNA(VLOOKUP(A107,'Données projet'!$A$35:$I$55,5,0)),0%,VLOOKUP(A107,'Données projet'!$A$35:$I$55,5,0)*VLOOKUP('Données projet'!$B$9,Paramètres!$A$1:$I$89,7,0))</f>
        <v>0.25800000000000001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64.621056060516736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64.621056060516736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68.337615795418387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8.7210000000000036</v>
      </c>
      <c r="AI107" s="13">
        <f>IF('Données projet'!$A$62&gt;35,AI106+AH107-AQ106,IF(A107&lt;'Données projet'!$A$62,$AF$205^A107,IF(A107='Données projet'!$A$62,'Données projet'!$B$62,AI106+AH107-AQ106)))</f>
        <v>347.95899999999955</v>
      </c>
      <c r="AJ107" s="13">
        <f>AI107*VLOOKUP('Données projet'!$B$10,Paramètres!$A$1:$I$89,3,0)*VLOOKUP('Données projet'!$B$10,Paramètres!$A$1:$I$89,5,0)</f>
        <v>162.84481199999979</v>
      </c>
      <c r="AK107" s="13">
        <f t="shared" si="89"/>
        <v>41.483511061408436</v>
      </c>
      <c r="AL107" s="20">
        <f t="shared" si="58"/>
        <v>355.87182933195271</v>
      </c>
      <c r="AM107" s="59">
        <f t="shared" si="59"/>
        <v>643.10975391515353</v>
      </c>
      <c r="AN107" s="59">
        <f ca="1">AVERAGE(OFFSET($AM$3,0,0,'Données projet'!$E$10+1,1))-AVERAGE(OFFSET($H$3,0,0,'Données projet'!$E$10+1,1))</f>
        <v>370.42479501931444</v>
      </c>
      <c r="AO107" s="59">
        <f t="shared" si="90"/>
        <v>351.95632347830144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123.60088708770584</v>
      </c>
      <c r="AV107" s="21">
        <f>EXP(-LN(2)/25)*AV106+(1-EXP(-LN(2)/25))/(LN(2)/25)*Calculateur!AQ107*Calculateur!AS107*VLOOKUP('Données projet'!$B$10,Paramètres!$A$1:$I$89,3,0)*0.475*44/12</f>
        <v>49.211141196650729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172.81202828435659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68.337615795418387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7.1054273576010019E-14</v>
      </c>
      <c r="BE107" s="13">
        <f>BD107*VLOOKUP('Données projet'!$B$11,Paramètres!$A$1:$I$89,3,0)*VLOOKUP('Données projet'!$B$11,Paramètres!$A$1:$I$89,5,0)</f>
        <v>6.2073013396002357E-14</v>
      </c>
      <c r="BF107" s="13">
        <f t="shared" si="91"/>
        <v>9.8573687844725482E-13</v>
      </c>
      <c r="BG107" s="20">
        <f t="shared" si="61"/>
        <v>1.8249355616270061E-12</v>
      </c>
      <c r="BH107" s="59">
        <f t="shared" si="62"/>
        <v>287.23792458320258</v>
      </c>
      <c r="BI107" s="59">
        <f ca="1">AVERAGE(OFFSET($BH$3,0,0,'Données projet'!$E$11+1,1))-AVERAGE(OFFSET($H$3,0,0,'Données projet'!$E$11+1,1))</f>
        <v>128.92423054779167</v>
      </c>
      <c r="BJ107" s="59">
        <f t="shared" si="92"/>
        <v>127.5443711972687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17.607060677809613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17.607060677809613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68.337615795418387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365.41</v>
      </c>
      <c r="BW107" s="12">
        <f>VLOOKUP(A107,'Données projet'!$A$113:$I$133,9,0)</f>
        <v>8.0470000000000024</v>
      </c>
      <c r="BX107" s="12">
        <f t="array" ref="BX107">INDEX(BW:BW,MIN(IF(ISNUMBER(BW107:BW303),ROW(BW107:BW303),"")))</f>
        <v>8.0470000000000024</v>
      </c>
      <c r="BY107" s="12">
        <f>IF('Données projet'!$A$114&gt;35,BY106+BX107-CG106,IF(A107&lt;'Données projet'!$A$114,$BV$205^A107,IF(A107='Données projet'!$A$114,'Données projet'!$B$114,BY106+BX107-CG106)))</f>
        <v>365.41000000000048</v>
      </c>
      <c r="BZ107" s="13">
        <f>BY107*VLOOKUP('Données projet'!$B$12,Paramètres!$A$1:$I$89,3,0)*VLOOKUP('Données projet'!$B$12,Paramètres!$A$1:$I$89,5,0)</f>
        <v>330.62296800000041</v>
      </c>
      <c r="CA107" s="13">
        <f t="shared" si="93"/>
        <v>77.559450151847827</v>
      </c>
      <c r="CB107" s="20">
        <f t="shared" si="64"/>
        <v>710.91771161446911</v>
      </c>
      <c r="CC107" s="59">
        <f t="shared" si="65"/>
        <v>998.15563619766988</v>
      </c>
      <c r="CD107" s="59">
        <f ca="1">AVERAGE(OFFSET($CC$3,0,0,'Données projet'!$E$12+1,1))-AVERAGE(OFFSET($H$3,0,0,'Données projet'!$E$12+1,1))</f>
        <v>601.17090553269054</v>
      </c>
      <c r="CE107" s="59">
        <f t="shared" si="94"/>
        <v>279.37477930888042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60.19</v>
      </c>
      <c r="CH107" s="16">
        <f>IF(ISNA(VLOOKUP(A107,'Données projet'!$A$113:$I$133,5,0)),0%,VLOOKUP(A107,'Données projet'!$A$113:$I$133,5,0)*VLOOKUP('Données projet'!$B$12,Paramètres!$A$1:$I$89,7,0))</f>
        <v>0.25800000000000001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57.661865407845688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57.661865407845688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68.337615795418387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7.456999999999999</v>
      </c>
      <c r="CT107" s="12">
        <f>IF('Données projet'!$A$140&gt;35,CT106+CS107-DB106,IF(A107&lt;'Données projet'!$A$140,$CQ$205^A107,IF(A107='Données projet'!$A$140,'Données projet'!$B$140,CT106+CS107-DB106)))</f>
        <v>270.66700000000003</v>
      </c>
      <c r="CU107" s="17">
        <f>CT107*VLOOKUP('Données projet'!$B$13,Paramètres!$A$1:$I$89,3,0)*VLOOKUP('Données projet'!$B$13,Paramètres!$A$1:$I$89,5,0)</f>
        <v>257.56671720000003</v>
      </c>
      <c r="CV107" s="13">
        <f t="shared" si="95"/>
        <v>62.203416891760931</v>
      </c>
      <c r="CW107" s="20">
        <f t="shared" si="67"/>
        <v>556.93298354315027</v>
      </c>
      <c r="CX107" s="59">
        <f t="shared" si="68"/>
        <v>844.17090812635104</v>
      </c>
      <c r="CY107" s="59">
        <f ca="1">AVERAGE(OFFSET($CX$3,0,0,'Données projet'!$E$13+1,1))-AVERAGE(OFFSET($H$3,0,0,'Données projet'!$E$13+1,1))</f>
        <v>418.79317359649315</v>
      </c>
      <c r="CZ107" s="59">
        <f t="shared" si="96"/>
        <v>286.46514989661011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53.233809675205734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53.233809675205734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68.337615795418387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68.337615795418387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68.337615795418387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68.337615795418387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68.337615795418387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1.35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0.93366000000000093</v>
      </c>
      <c r="D108" s="11">
        <f t="shared" si="86"/>
        <v>0.43372139615751482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5.0060522481244396</v>
      </c>
      <c r="H108" s="67">
        <f t="shared" si="56"/>
        <v>226.37818926497434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68.366454444833579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7.9349999999999969</v>
      </c>
      <c r="N108" s="13">
        <f>IF('Données projet'!$A$36&gt;35,N107+M108-V107,IF(A108&lt;'Données projet'!$A$36,$K$205^A108,IF(A108='Données projet'!$A$36,'Données projet'!$B$36,N107+M108-V107)))</f>
        <v>313.15500000000048</v>
      </c>
      <c r="O108" s="13">
        <f>N108*VLOOKUP('Données projet'!$B$9,Paramètres!$A$1:$I$89,3,0)*VLOOKUP('Données projet'!$B$9,Paramètres!$A$1:$I$89,5,0)</f>
        <v>317.53917000000052</v>
      </c>
      <c r="P108" s="13">
        <f t="shared" si="87"/>
        <v>74.841100302084755</v>
      </c>
      <c r="Q108" s="20">
        <f t="shared" si="107"/>
        <v>683.39563744279849</v>
      </c>
      <c r="R108" s="59">
        <f t="shared" si="55"/>
        <v>970.73930374052156</v>
      </c>
      <c r="S108" s="59">
        <f ca="1">AVERAGE(OFFSET($R$3,0,0,'Données projet'!$E$9+1,1))-AVERAGE(OFFSET($H$3,0,0,'Données projet'!$E$9+1,1))</f>
        <v>665.7907881991157</v>
      </c>
      <c r="T108" s="59">
        <f t="shared" si="88"/>
        <v>306.76923535735227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63.353876566122295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63.353876566122295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68.366454444833579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356.68</v>
      </c>
      <c r="AG108" s="12">
        <f>VLOOKUP(A108,'Données projet'!$A$61:$I$81,9,0)</f>
        <v>8.7210000000000036</v>
      </c>
      <c r="AH108" s="12">
        <f t="array" ref="AH108">INDEX(AG:AG,MIN(IF(ISNUMBER(AG108:AG304),ROW(AG108:AG304),"")))</f>
        <v>8.7210000000000036</v>
      </c>
      <c r="AI108" s="13">
        <f>IF('Données projet'!$A$62&gt;35,AI107+AH108-AQ107,IF(A108&lt;'Données projet'!$A$62,$AF$205^A108,IF(A108='Données projet'!$A$62,'Données projet'!$B$62,AI107+AH108-AQ107)))</f>
        <v>356.67999999999955</v>
      </c>
      <c r="AJ108" s="13">
        <f>AI108*VLOOKUP('Données projet'!$B$10,Paramètres!$A$1:$I$89,3,0)*VLOOKUP('Données projet'!$B$10,Paramètres!$A$1:$I$89,5,0)</f>
        <v>166.92623999999978</v>
      </c>
      <c r="AK108" s="13">
        <f t="shared" si="89"/>
        <v>42.400874242636554</v>
      </c>
      <c r="AL108" s="20">
        <f t="shared" si="58"/>
        <v>364.57805730592491</v>
      </c>
      <c r="AM108" s="59">
        <f t="shared" si="59"/>
        <v>651.92172360364805</v>
      </c>
      <c r="AN108" s="59">
        <f ca="1">AVERAGE(OFFSET($AM$3,0,0,'Données projet'!$E$10+1,1))-AVERAGE(OFFSET($H$3,0,0,'Données projet'!$E$10+1,1))</f>
        <v>370.42479501931444</v>
      </c>
      <c r="AO108" s="59">
        <f t="shared" si="90"/>
        <v>351.95632347830144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356.68</v>
      </c>
      <c r="AR108" s="16">
        <f>IF(ISNA(VLOOKUP(A108,'Données projet'!$A$61:$I$81,5,0)),0%,VLOOKUP(A108,'Données projet'!$A$61:$I$81,5,0)*VLOOKUP('Données projet'!$B$10,Paramètres!$A$1:$I$89,7,0))</f>
        <v>0.38500000000000001</v>
      </c>
      <c r="AS108" s="16">
        <f>IF(ISNA(VLOOKUP(A108,'Données projet'!$A$61:$I$81,6,0)),0%,VLOOKUP(A108,'Données projet'!$A$61:$I$81,6,0)*VLOOKUP('Données projet'!$B$10,Paramètres!$A$1:$I$89,7,0))</f>
        <v>0.16500000000000001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206.43093949671845</v>
      </c>
      <c r="AV108" s="21">
        <f>EXP(-LN(2)/25)*AV107+(1-EXP(-LN(2)/25))/(LN(2)/25)*Calculateur!AQ108*Calculateur!AS108*VLOOKUP('Données projet'!$B$10,Paramètres!$A$1:$I$89,3,0)*0.475*44/12</f>
        <v>84.258937277840289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290.68987677455874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68.366454444833579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7.1054273576010019E-14</v>
      </c>
      <c r="BE108" s="13">
        <f>BD108*VLOOKUP('Données projet'!$B$11,Paramètres!$A$1:$I$89,3,0)*VLOOKUP('Données projet'!$B$11,Paramètres!$A$1:$I$89,5,0)</f>
        <v>6.2073013396002357E-14</v>
      </c>
      <c r="BF108" s="13">
        <f t="shared" si="91"/>
        <v>9.8573687844725482E-13</v>
      </c>
      <c r="BG108" s="20">
        <f t="shared" si="61"/>
        <v>1.8249355616270061E-12</v>
      </c>
      <c r="BH108" s="59">
        <f t="shared" si="62"/>
        <v>287.34366629772495</v>
      </c>
      <c r="BI108" s="59">
        <f ca="1">AVERAGE(OFFSET($BH$3,0,0,'Données projet'!$E$11+1,1))-AVERAGE(OFFSET($H$3,0,0,'Données projet'!$E$11+1,1))</f>
        <v>128.92423054779167</v>
      </c>
      <c r="BJ108" s="59">
        <f t="shared" si="92"/>
        <v>127.5443711972687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17.261796957164368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17.261796957164368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68.366454444833579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7.9349999999999969</v>
      </c>
      <c r="BY108" s="12">
        <f>IF('Données projet'!$A$114&gt;35,BY107+BX108-CG107,IF(A108&lt;'Données projet'!$A$114,$BV$205^A108,IF(A108='Données projet'!$A$114,'Données projet'!$B$114,BY107+BX108-CG107)))</f>
        <v>313.15500000000048</v>
      </c>
      <c r="BZ108" s="13">
        <f>BY108*VLOOKUP('Données projet'!$B$12,Paramètres!$A$1:$I$89,3,0)*VLOOKUP('Données projet'!$B$12,Paramètres!$A$1:$I$89,5,0)</f>
        <v>283.34264400000046</v>
      </c>
      <c r="CA108" s="13">
        <f t="shared" si="93"/>
        <v>67.672917015543916</v>
      </c>
      <c r="CB108" s="20">
        <f t="shared" si="64"/>
        <v>611.3521021020731</v>
      </c>
      <c r="CC108" s="59">
        <f t="shared" si="65"/>
        <v>898.69576839979618</v>
      </c>
      <c r="CD108" s="59">
        <f ca="1">AVERAGE(OFFSET($CC$3,0,0,'Données projet'!$E$12+1,1))-AVERAGE(OFFSET($H$3,0,0,'Données projet'!$E$12+1,1))</f>
        <v>601.17090553269054</v>
      </c>
      <c r="CE108" s="59">
        <f t="shared" si="94"/>
        <v>279.37477930888042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56.531151397462956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56.531151397462956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68.366454444833579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7.456999999999999</v>
      </c>
      <c r="CT108" s="12">
        <f>IF('Données projet'!$A$140&gt;35,CT107+CS108-DB107,IF(A108&lt;'Données projet'!$A$140,$CQ$205^A108,IF(A108='Données projet'!$A$140,'Données projet'!$B$140,CT107+CS108-DB107)))</f>
        <v>278.12400000000002</v>
      </c>
      <c r="CU108" s="17">
        <f>CT108*VLOOKUP('Données projet'!$B$13,Paramètres!$A$1:$I$89,3,0)*VLOOKUP('Données projet'!$B$13,Paramètres!$A$1:$I$89,5,0)</f>
        <v>264.66279840000004</v>
      </c>
      <c r="CV108" s="13">
        <f t="shared" si="95"/>
        <v>63.715267601836182</v>
      </c>
      <c r="CW108" s="20">
        <f t="shared" si="67"/>
        <v>571.92513161986471</v>
      </c>
      <c r="CX108" s="59">
        <f t="shared" si="68"/>
        <v>859.26879791758779</v>
      </c>
      <c r="CY108" s="59">
        <f ca="1">AVERAGE(OFFSET($CX$3,0,0,'Données projet'!$E$13+1,1))-AVERAGE(OFFSET($H$3,0,0,'Données projet'!$E$13+1,1))</f>
        <v>418.79317359649315</v>
      </c>
      <c r="CZ108" s="59">
        <f t="shared" si="96"/>
        <v>286.46514989661011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52.189927136892763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52.189927136892763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68.366454444833579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68.366454444833579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68.366454444833579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68.366454444833579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68.366454444833579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1.35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0.94255200000000094</v>
      </c>
      <c r="D109" s="11">
        <f t="shared" si="86"/>
        <v>0.43736924903713637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5.0070202367677794</v>
      </c>
      <c r="H109" s="67">
        <f t="shared" si="56"/>
        <v>226.40002950873969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68.394792808154961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7.9349999999999969</v>
      </c>
      <c r="N109" s="13">
        <f>IF('Données projet'!$A$36&gt;35,N108+M109-V108,IF(A109&lt;'Données projet'!$A$36,$K$205^A109,IF(A109='Données projet'!$A$36,'Données projet'!$B$36,N108+M109-V108)))</f>
        <v>321.09000000000049</v>
      </c>
      <c r="O109" s="13">
        <f>N109*VLOOKUP('Données projet'!$B$9,Paramètres!$A$1:$I$89,3,0)*VLOOKUP('Données projet'!$B$9,Paramètres!$A$1:$I$89,5,0)</f>
        <v>325.58526000000052</v>
      </c>
      <c r="P109" s="13">
        <f t="shared" si="87"/>
        <v>76.514302718659977</v>
      </c>
      <c r="Q109" s="20">
        <f t="shared" si="107"/>
        <v>700.32340506833361</v>
      </c>
      <c r="R109" s="59">
        <f t="shared" si="55"/>
        <v>987.77097869823513</v>
      </c>
      <c r="S109" s="59">
        <f ca="1">AVERAGE(OFFSET($R$3,0,0,'Données projet'!$E$9+1,1))-AVERAGE(OFFSET($H$3,0,0,'Données projet'!$E$9+1,1))</f>
        <v>665.7907881991157</v>
      </c>
      <c r="T109" s="59">
        <f t="shared" si="88"/>
        <v>306.76923535735227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62.111545688709754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62.111545688709754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68.394792808154961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-4.5474735088646412E-13</v>
      </c>
      <c r="AJ109" s="13">
        <f>AI109*VLOOKUP('Données projet'!$B$10,Paramètres!$A$1:$I$89,3,0)*VLOOKUP('Données projet'!$B$10,Paramètres!$A$1:$I$89,5,0)</f>
        <v>-2.1282176021486519E-13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370.42479501931444</v>
      </c>
      <c r="AO109" s="59">
        <f t="shared" si="90"/>
        <v>351.95632347830144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202.38295468362827</v>
      </c>
      <c r="AV109" s="21">
        <f>EXP(-LN(2)/25)*AV108+(1-EXP(-LN(2)/25))/(LN(2)/25)*Calculateur!AQ109*Calculateur!AS109*VLOOKUP('Données projet'!$B$10,Paramètres!$A$1:$I$89,3,0)*0.475*44/12</f>
        <v>81.954872206992817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284.3378268906211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68.394792808154961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7.1054273576010019E-14</v>
      </c>
      <c r="BE109" s="13">
        <f>BD109*VLOOKUP('Données projet'!$B$11,Paramètres!$A$1:$I$89,3,0)*VLOOKUP('Données projet'!$B$11,Paramètres!$A$1:$I$89,5,0)</f>
        <v>6.2073013396002357E-14</v>
      </c>
      <c r="BF109" s="13">
        <f t="shared" si="91"/>
        <v>9.8573687844725482E-13</v>
      </c>
      <c r="BG109" s="20">
        <f t="shared" si="61"/>
        <v>1.8249355616270061E-12</v>
      </c>
      <c r="BH109" s="59">
        <f t="shared" si="62"/>
        <v>287.44757362990333</v>
      </c>
      <c r="BI109" s="59">
        <f ca="1">AVERAGE(OFFSET($BH$3,0,0,'Données projet'!$E$11+1,1))-AVERAGE(OFFSET($H$3,0,0,'Données projet'!$E$11+1,1))</f>
        <v>128.92423054779167</v>
      </c>
      <c r="BJ109" s="59">
        <f t="shared" si="92"/>
        <v>127.5443711972687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16.923303647490901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16.923303647490901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68.394792808154961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7.9349999999999969</v>
      </c>
      <c r="BY109" s="12">
        <f>IF('Données projet'!$A$114&gt;35,BY108+BX109-CG108,IF(A109&lt;'Données projet'!$A$114,$BV$205^A109,IF(A109='Données projet'!$A$114,'Données projet'!$B$114,BY108+BX109-CG108)))</f>
        <v>321.09000000000049</v>
      </c>
      <c r="BZ109" s="13">
        <f>BY109*VLOOKUP('Données projet'!$B$12,Paramètres!$A$1:$I$89,3,0)*VLOOKUP('Données projet'!$B$12,Paramètres!$A$1:$I$89,5,0)</f>
        <v>290.52223200000043</v>
      </c>
      <c r="CA109" s="13">
        <f t="shared" si="93"/>
        <v>69.185862279978352</v>
      </c>
      <c r="CB109" s="20">
        <f t="shared" si="64"/>
        <v>626.49159753762979</v>
      </c>
      <c r="CC109" s="59">
        <f t="shared" si="65"/>
        <v>913.9391711675313</v>
      </c>
      <c r="CD109" s="59">
        <f ca="1">AVERAGE(OFFSET($CC$3,0,0,'Données projet'!$E$12+1,1))-AVERAGE(OFFSET($H$3,0,0,'Données projet'!$E$12+1,1))</f>
        <v>601.17090553269054</v>
      </c>
      <c r="CE109" s="59">
        <f t="shared" si="94"/>
        <v>279.37477930888042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55.422609999156386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55.422609999156386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68.394792808154961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7.456999999999999</v>
      </c>
      <c r="CT109" s="12">
        <f>IF('Données projet'!$A$140&gt;35,CT108+CS109-DB108,IF(A109&lt;'Données projet'!$A$140,$CQ$205^A109,IF(A109='Données projet'!$A$140,'Données projet'!$B$140,CT108+CS109-DB108)))</f>
        <v>285.58100000000002</v>
      </c>
      <c r="CU109" s="17">
        <f>CT109*VLOOKUP('Données projet'!$B$13,Paramètres!$A$1:$I$89,3,0)*VLOOKUP('Données projet'!$B$13,Paramètres!$A$1:$I$89,5,0)</f>
        <v>271.7588796</v>
      </c>
      <c r="CV109" s="13">
        <f t="shared" si="95"/>
        <v>65.222406748534567</v>
      </c>
      <c r="CW109" s="20">
        <f t="shared" si="67"/>
        <v>586.90907372369782</v>
      </c>
      <c r="CX109" s="59">
        <f t="shared" si="68"/>
        <v>874.35664735359933</v>
      </c>
      <c r="CY109" s="59">
        <f ca="1">AVERAGE(OFFSET($CX$3,0,0,'Données projet'!$E$13+1,1))-AVERAGE(OFFSET($H$3,0,0,'Données projet'!$E$13+1,1))</f>
        <v>418.79317359649315</v>
      </c>
      <c r="CZ109" s="59">
        <f t="shared" si="96"/>
        <v>286.46514989661011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51.166514498450631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51.166514498450631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68.394792808154961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68.394792808154961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68.394792808154961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68.394792808154961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68.394792808154961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1.35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0.95144400000000096</v>
      </c>
      <c r="D110" s="11">
        <f t="shared" si="86"/>
        <v>0.44101309829710328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5.0079879163597765</v>
      </c>
      <c r="H110" s="67">
        <f t="shared" si="56"/>
        <v>226.42186277953414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68.422639564227822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7.9349999999999969</v>
      </c>
      <c r="N110" s="13">
        <f>IF('Données projet'!$A$36&gt;35,N109+M110-V109,IF(A110&lt;'Données projet'!$A$36,$K$205^A110,IF(A110='Données projet'!$A$36,'Données projet'!$B$36,N109+M110-V109)))</f>
        <v>329.02500000000049</v>
      </c>
      <c r="O110" s="13">
        <f>N110*VLOOKUP('Données projet'!$B$9,Paramètres!$A$1:$I$89,3,0)*VLOOKUP('Données projet'!$B$9,Paramètres!$A$1:$I$89,5,0)</f>
        <v>333.63135000000051</v>
      </c>
      <c r="P110" s="13">
        <f t="shared" si="87"/>
        <v>78.182698470317533</v>
      </c>
      <c r="Q110" s="20">
        <f t="shared" si="107"/>
        <v>717.24280108580388</v>
      </c>
      <c r="R110" s="59">
        <f t="shared" si="55"/>
        <v>1004.7924794879725</v>
      </c>
      <c r="S110" s="59">
        <f ca="1">AVERAGE(OFFSET($R$3,0,0,'Données projet'!$E$9+1,1))-AVERAGE(OFFSET($H$3,0,0,'Données projet'!$E$9+1,1))</f>
        <v>665.7907881991157</v>
      </c>
      <c r="T110" s="59">
        <f t="shared" si="88"/>
        <v>306.76923535735227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60.893576162056263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60.893576162056263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68.422639564227822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-4.5474735088646412E-13</v>
      </c>
      <c r="AJ110" s="13">
        <f>AI110*VLOOKUP('Données projet'!$B$10,Paramètres!$A$1:$I$89,3,0)*VLOOKUP('Données projet'!$B$10,Paramètres!$A$1:$I$89,5,0)</f>
        <v>-2.1282176021486519E-13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370.42479501931444</v>
      </c>
      <c r="AO110" s="59">
        <f t="shared" si="90"/>
        <v>351.95632347830144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198.41434838369585</v>
      </c>
      <c r="AV110" s="21">
        <f>EXP(-LN(2)/25)*AV109+(1-EXP(-LN(2)/25))/(LN(2)/25)*Calculateur!AQ110*Calculateur!AS110*VLOOKUP('Données projet'!$B$10,Paramètres!$A$1:$I$89,3,0)*0.475*44/12</f>
        <v>79.71381191667318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278.12816030036902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68.422639564227822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7.1054273576010019E-14</v>
      </c>
      <c r="BE110" s="13">
        <f>BD110*VLOOKUP('Données projet'!$B$11,Paramètres!$A$1:$I$89,3,0)*VLOOKUP('Données projet'!$B$11,Paramètres!$A$1:$I$89,5,0)</f>
        <v>6.2073013396002357E-14</v>
      </c>
      <c r="BF110" s="13">
        <f t="shared" si="91"/>
        <v>9.8573687844725482E-13</v>
      </c>
      <c r="BG110" s="20">
        <f t="shared" si="61"/>
        <v>1.8249355616270061E-12</v>
      </c>
      <c r="BH110" s="59">
        <f t="shared" si="62"/>
        <v>287.54967840217051</v>
      </c>
      <c r="BI110" s="59">
        <f ca="1">AVERAGE(OFFSET($BH$3,0,0,'Données projet'!$E$11+1,1))-AVERAGE(OFFSET($H$3,0,0,'Données projet'!$E$11+1,1))</f>
        <v>128.92423054779167</v>
      </c>
      <c r="BJ110" s="59">
        <f t="shared" si="92"/>
        <v>127.5443711972687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16.591447985159597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16.591447985159597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68.422639564227822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7.9349999999999969</v>
      </c>
      <c r="BY110" s="12">
        <f>IF('Données projet'!$A$114&gt;35,BY109+BX110-CG109,IF(A110&lt;'Données projet'!$A$114,$BV$205^A110,IF(A110='Données projet'!$A$114,'Données projet'!$B$114,BY109+BX110-CG109)))</f>
        <v>329.02500000000049</v>
      </c>
      <c r="BZ110" s="13">
        <f>BY110*VLOOKUP('Données projet'!$B$12,Paramètres!$A$1:$I$89,3,0)*VLOOKUP('Données projet'!$B$12,Paramètres!$A$1:$I$89,5,0)</f>
        <v>297.70182000000045</v>
      </c>
      <c r="CA110" s="13">
        <f t="shared" si="93"/>
        <v>70.69446125561177</v>
      </c>
      <c r="CB110" s="20">
        <f t="shared" si="64"/>
        <v>641.62352318685794</v>
      </c>
      <c r="CC110" s="59">
        <f t="shared" si="65"/>
        <v>929.17320158902658</v>
      </c>
      <c r="CD110" s="59">
        <f ca="1">AVERAGE(OFFSET($CC$3,0,0,'Données projet'!$E$12+1,1))-AVERAGE(OFFSET($H$3,0,0,'Données projet'!$E$12+1,1))</f>
        <v>601.17090553269054</v>
      </c>
      <c r="CE110" s="59">
        <f t="shared" si="94"/>
        <v>279.37477930888042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54.335806421527117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54.335806421527117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68.422639564227822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7.456999999999999</v>
      </c>
      <c r="CT110" s="12">
        <f>IF('Données projet'!$A$140&gt;35,CT109+CS110-DB109,IF(A110&lt;'Données projet'!$A$140,$CQ$205^A110,IF(A110='Données projet'!$A$140,'Données projet'!$B$140,CT109+CS110-DB109)))</f>
        <v>293.03800000000001</v>
      </c>
      <c r="CU110" s="17">
        <f>CT110*VLOOKUP('Données projet'!$B$13,Paramètres!$A$1:$I$89,3,0)*VLOOKUP('Données projet'!$B$13,Paramètres!$A$1:$I$89,5,0)</f>
        <v>278.85496080000001</v>
      </c>
      <c r="CV110" s="13">
        <f t="shared" si="95"/>
        <v>66.724971502056292</v>
      </c>
      <c r="CW110" s="20">
        <f t="shared" si="67"/>
        <v>601.88504875941476</v>
      </c>
      <c r="CX110" s="59">
        <f t="shared" si="68"/>
        <v>889.4347271615834</v>
      </c>
      <c r="CY110" s="59">
        <f ca="1">AVERAGE(OFFSET($CX$3,0,0,'Données projet'!$E$13+1,1))-AVERAGE(OFFSET($H$3,0,0,'Données projet'!$E$13+1,1))</f>
        <v>418.79317359649315</v>
      </c>
      <c r="CZ110" s="59">
        <f t="shared" si="96"/>
        <v>286.46514989661011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50.163170357628275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50.163170357628275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68.422639564227822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68.422639564227822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68.422639564227822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68.422639564227822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68.422639564227822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1.35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0.96033600000000097</v>
      </c>
      <c r="D111" s="11">
        <f t="shared" si="86"/>
        <v>0.44465298568826905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5.0089552901233052</v>
      </c>
      <c r="H111" s="67">
        <f t="shared" si="56"/>
        <v>226.44368915007374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68.450003241338834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7.9349999999999969</v>
      </c>
      <c r="N111" s="13">
        <f>IF('Données projet'!$A$36&gt;35,N110+M111-V110,IF(A111&lt;'Données projet'!$A$36,$K$205^A111,IF(A111='Données projet'!$A$36,'Données projet'!$B$36,N110+M111-V110)))</f>
        <v>336.96000000000049</v>
      </c>
      <c r="O111" s="13">
        <f>N111*VLOOKUP('Données projet'!$B$9,Paramètres!$A$1:$I$89,3,0)*VLOOKUP('Données projet'!$B$9,Paramètres!$A$1:$I$89,5,0)</f>
        <v>341.6774400000005</v>
      </c>
      <c r="P111" s="13">
        <f t="shared" si="87"/>
        <v>79.846416815053246</v>
      </c>
      <c r="Q111" s="20">
        <f t="shared" si="107"/>
        <v>734.15405061955198</v>
      </c>
      <c r="R111" s="59">
        <f t="shared" si="55"/>
        <v>1021.8040625044609</v>
      </c>
      <c r="S111" s="59">
        <f ca="1">AVERAGE(OFFSET($R$3,0,0,'Données projet'!$E$9+1,1))-AVERAGE(OFFSET($H$3,0,0,'Données projet'!$E$9+1,1))</f>
        <v>665.7907881991157</v>
      </c>
      <c r="T111" s="59">
        <f t="shared" si="88"/>
        <v>306.76923535735227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59.699490274932387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59.699490274932387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68.450003241338834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-4.5474735088646412E-13</v>
      </c>
      <c r="AJ111" s="13">
        <f>AI111*VLOOKUP('Données projet'!$B$10,Paramètres!$A$1:$I$89,3,0)*VLOOKUP('Données projet'!$B$10,Paramètres!$A$1:$I$89,5,0)</f>
        <v>-2.1282176021486519E-13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370.42479501931444</v>
      </c>
      <c r="AO111" s="59">
        <f t="shared" si="90"/>
        <v>351.95632347830144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194.52356403269428</v>
      </c>
      <c r="AV111" s="21">
        <f>EXP(-LN(2)/25)*AV110+(1-EXP(-LN(2)/25))/(LN(2)/25)*Calculateur!AQ111*Calculateur!AS111*VLOOKUP('Données projet'!$B$10,Paramètres!$A$1:$I$89,3,0)*0.475*44/12</f>
        <v>77.534033537844564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272.05759757053886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68.450003241338834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7.1054273576010019E-14</v>
      </c>
      <c r="BE111" s="13">
        <f>BD111*VLOOKUP('Données projet'!$B$11,Paramètres!$A$1:$I$89,3,0)*VLOOKUP('Données projet'!$B$11,Paramètres!$A$1:$I$89,5,0)</f>
        <v>6.2073013396002357E-14</v>
      </c>
      <c r="BF111" s="13">
        <f t="shared" si="91"/>
        <v>9.8573687844725482E-13</v>
      </c>
      <c r="BG111" s="20">
        <f t="shared" si="61"/>
        <v>1.8249355616270061E-12</v>
      </c>
      <c r="BH111" s="59">
        <f t="shared" si="62"/>
        <v>287.65001188491084</v>
      </c>
      <c r="BI111" s="59">
        <f ca="1">AVERAGE(OFFSET($BH$3,0,0,'Données projet'!$E$11+1,1))-AVERAGE(OFFSET($H$3,0,0,'Données projet'!$E$11+1,1))</f>
        <v>128.92423054779167</v>
      </c>
      <c r="BJ111" s="59">
        <f t="shared" si="92"/>
        <v>127.5443711972687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16.266099809954643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16.266099809954643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68.450003241338834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7.9349999999999969</v>
      </c>
      <c r="BY111" s="12">
        <f>IF('Données projet'!$A$114&gt;35,BY110+BX111-CG110,IF(A111&lt;'Données projet'!$A$114,$BV$205^A111,IF(A111='Données projet'!$A$114,'Données projet'!$B$114,BY110+BX111-CG110)))</f>
        <v>336.96000000000049</v>
      </c>
      <c r="BZ111" s="13">
        <f>BY111*VLOOKUP('Données projet'!$B$12,Paramètres!$A$1:$I$89,3,0)*VLOOKUP('Données projet'!$B$12,Paramètres!$A$1:$I$89,5,0)</f>
        <v>304.88140800000042</v>
      </c>
      <c r="CA111" s="13">
        <f t="shared" si="93"/>
        <v>72.198830820277394</v>
      </c>
      <c r="CB111" s="20">
        <f t="shared" si="64"/>
        <v>656.74808261198393</v>
      </c>
      <c r="CC111" s="59">
        <f t="shared" si="65"/>
        <v>944.39809449689301</v>
      </c>
      <c r="CD111" s="59">
        <f ca="1">AVERAGE(OFFSET($CC$3,0,0,'Données projet'!$E$12+1,1))-AVERAGE(OFFSET($H$3,0,0,'Données projet'!$E$12+1,1))</f>
        <v>601.17090553269054</v>
      </c>
      <c r="CE111" s="59">
        <f t="shared" si="94"/>
        <v>279.37477930888042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53.270314399170431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53.270314399170431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68.450003241338834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7.456999999999999</v>
      </c>
      <c r="CT111" s="12">
        <f>IF('Données projet'!$A$140&gt;35,CT110+CS111-DB110,IF(A111&lt;'Données projet'!$A$140,$CQ$205^A111,IF(A111='Données projet'!$A$140,'Données projet'!$B$140,CT110+CS111-DB110)))</f>
        <v>300.495</v>
      </c>
      <c r="CU111" s="17">
        <f>CT111*VLOOKUP('Données projet'!$B$13,Paramètres!$A$1:$I$89,3,0)*VLOOKUP('Données projet'!$B$13,Paramètres!$A$1:$I$89,5,0)</f>
        <v>285.95104200000003</v>
      </c>
      <c r="CV111" s="13">
        <f t="shared" si="95"/>
        <v>68.223091653625744</v>
      </c>
      <c r="CW111" s="20">
        <f t="shared" si="67"/>
        <v>616.85328278006489</v>
      </c>
      <c r="CX111" s="59">
        <f t="shared" si="68"/>
        <v>904.50329466497396</v>
      </c>
      <c r="CY111" s="59">
        <f ca="1">AVERAGE(OFFSET($CX$3,0,0,'Données projet'!$E$13+1,1))-AVERAGE(OFFSET($H$3,0,0,'Données projet'!$E$13+1,1))</f>
        <v>418.79317359649315</v>
      </c>
      <c r="CZ111" s="59">
        <f t="shared" si="96"/>
        <v>286.46514989661011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49.179501183427945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49.179501183427945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68.450003241338834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68.450003241338834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68.450003241338834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68.450003241338834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68.450003241338834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1.35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0.96922800000000098</v>
      </c>
      <c r="D112" s="11">
        <f t="shared" si="86"/>
        <v>0.44828895214373105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5.0099223612181127</v>
      </c>
      <c r="H112" s="67">
        <f t="shared" si="56"/>
        <v>226.46550869165034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68.476892219827988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7.9349999999999969</v>
      </c>
      <c r="N112" s="13">
        <f>IF('Données projet'!$A$36&gt;35,N111+M112-V111,IF(A112&lt;'Données projet'!$A$36,$K$205^A112,IF(A112='Données projet'!$A$36,'Données projet'!$B$36,N111+M112-V111)))</f>
        <v>344.89500000000049</v>
      </c>
      <c r="O112" s="13">
        <f>N112*VLOOKUP('Données projet'!$B$9,Paramètres!$A$1:$I$89,3,0)*VLOOKUP('Données projet'!$B$9,Paramètres!$A$1:$I$89,5,0)</f>
        <v>349.72353000000055</v>
      </c>
      <c r="P112" s="13">
        <f t="shared" si="87"/>
        <v>81.505580575848711</v>
      </c>
      <c r="Q112" s="20">
        <f t="shared" si="107"/>
        <v>751.05736758627074</v>
      </c>
      <c r="R112" s="59">
        <f t="shared" si="55"/>
        <v>1038.8059723923068</v>
      </c>
      <c r="S112" s="59">
        <f ca="1">AVERAGE(OFFSET($R$3,0,0,'Données projet'!$E$9+1,1))-AVERAGE(OFFSET($H$3,0,0,'Données projet'!$E$9+1,1))</f>
        <v>665.7907881991157</v>
      </c>
      <c r="T112" s="59">
        <f t="shared" si="88"/>
        <v>306.76923535735227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58.52881968373454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58.52881968373454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68.476892219827988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-4.5474735088646412E-13</v>
      </c>
      <c r="AJ112" s="13">
        <f>AI112*VLOOKUP('Données projet'!$B$10,Paramètres!$A$1:$I$89,3,0)*VLOOKUP('Données projet'!$B$10,Paramètres!$A$1:$I$89,5,0)</f>
        <v>-2.1282176021486519E-13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370.42479501931444</v>
      </c>
      <c r="AO112" s="59">
        <f t="shared" si="90"/>
        <v>351.95632347830144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190.70907558967173</v>
      </c>
      <c r="AV112" s="21">
        <f>EXP(-LN(2)/25)*AV111+(1-EXP(-LN(2)/25))/(LN(2)/25)*Calculateur!AQ112*Calculateur!AS112*VLOOKUP('Données projet'!$B$10,Paramètres!$A$1:$I$89,3,0)*0.475*44/12</f>
        <v>75.413861313414586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266.12293690308633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68.476892219827988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7.1054273576010019E-14</v>
      </c>
      <c r="BE112" s="13">
        <f>BD112*VLOOKUP('Données projet'!$B$11,Paramètres!$A$1:$I$89,3,0)*VLOOKUP('Données projet'!$B$11,Paramètres!$A$1:$I$89,5,0)</f>
        <v>6.2073013396002357E-14</v>
      </c>
      <c r="BF112" s="13">
        <f t="shared" si="91"/>
        <v>9.8573687844725482E-13</v>
      </c>
      <c r="BG112" s="20">
        <f t="shared" si="61"/>
        <v>1.8249355616270061E-12</v>
      </c>
      <c r="BH112" s="59">
        <f t="shared" si="62"/>
        <v>287.7486048060378</v>
      </c>
      <c r="BI112" s="59">
        <f ca="1">AVERAGE(OFFSET($BH$3,0,0,'Données projet'!$E$11+1,1))-AVERAGE(OFFSET($H$3,0,0,'Données projet'!$E$11+1,1))</f>
        <v>128.92423054779167</v>
      </c>
      <c r="BJ112" s="59">
        <f t="shared" si="92"/>
        <v>127.5443711972687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15.947131514022665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15.947131514022665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68.476892219827988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7.9349999999999969</v>
      </c>
      <c r="BY112" s="12">
        <f>IF('Données projet'!$A$114&gt;35,BY111+BX112-CG111,IF(A112&lt;'Données projet'!$A$114,$BV$205^A112,IF(A112='Données projet'!$A$114,'Données projet'!$B$114,BY111+BX112-CG111)))</f>
        <v>344.89500000000049</v>
      </c>
      <c r="BZ112" s="13">
        <f>BY112*VLOOKUP('Données projet'!$B$12,Paramètres!$A$1:$I$89,3,0)*VLOOKUP('Données projet'!$B$12,Paramètres!$A$1:$I$89,5,0)</f>
        <v>312.06099600000044</v>
      </c>
      <c r="CA112" s="13">
        <f t="shared" si="93"/>
        <v>73.699082033131035</v>
      </c>
      <c r="CB112" s="20">
        <f t="shared" si="64"/>
        <v>671.86546924103743</v>
      </c>
      <c r="CC112" s="59">
        <f t="shared" si="65"/>
        <v>959.61407404707347</v>
      </c>
      <c r="CD112" s="59">
        <f ca="1">AVERAGE(OFFSET($CC$3,0,0,'Données projet'!$E$12+1,1))-AVERAGE(OFFSET($H$3,0,0,'Données projet'!$E$12+1,1))</f>
        <v>601.17090553269054</v>
      </c>
      <c r="CE112" s="59">
        <f t="shared" si="94"/>
        <v>279.37477930888042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52.225716025486193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52.225716025486193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68.476892219827988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7.456999999999999</v>
      </c>
      <c r="CT112" s="12">
        <f>IF('Données projet'!$A$140&gt;35,CT111+CS112-DB111,IF(A112&lt;'Données projet'!$A$140,$CQ$205^A112,IF(A112='Données projet'!$A$140,'Données projet'!$B$140,CT111+CS112-DB111)))</f>
        <v>307.952</v>
      </c>
      <c r="CU112" s="17">
        <f>CT112*VLOOKUP('Données projet'!$B$13,Paramètres!$A$1:$I$89,3,0)*VLOOKUP('Données projet'!$B$13,Paramètres!$A$1:$I$89,5,0)</f>
        <v>293.04712319999999</v>
      </c>
      <c r="CV112" s="13">
        <f t="shared" si="95"/>
        <v>69.716890185562576</v>
      </c>
      <c r="CW112" s="20">
        <f t="shared" si="67"/>
        <v>631.8139899798548</v>
      </c>
      <c r="CX112" s="59">
        <f t="shared" si="68"/>
        <v>919.56259478589072</v>
      </c>
      <c r="CY112" s="59">
        <f ca="1">AVERAGE(OFFSET($CX$3,0,0,'Données projet'!$E$13+1,1))-AVERAGE(OFFSET($H$3,0,0,'Données projet'!$E$13+1,1))</f>
        <v>418.79317359649315</v>
      </c>
      <c r="CZ112" s="59">
        <f t="shared" si="96"/>
        <v>286.46514989661011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48.21512116175473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48.21512116175473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68.476892219827988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68.476892219827988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68.476892219827988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68.476892219827988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68.476892219827988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1.35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0.97812000000000099</v>
      </c>
      <c r="D113" s="11">
        <f t="shared" si="86"/>
        <v>0.45192103780219994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5.0108891327426264</v>
      </c>
      <c r="H113" s="67">
        <f t="shared" si="56"/>
        <v>226.48732147417218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68.503314734655106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7.9349999999999969</v>
      </c>
      <c r="N113" s="13">
        <f>IF('Données projet'!$A$36&gt;35,N112+M113-V112,IF(A113&lt;'Données projet'!$A$36,$K$205^A113,IF(A113='Données projet'!$A$36,'Données projet'!$B$36,N112+M113-V112)))</f>
        <v>352.8300000000005</v>
      </c>
      <c r="O113" s="13">
        <f>N113*VLOOKUP('Données projet'!$B$9,Paramètres!$A$1:$I$89,3,0)*VLOOKUP('Données projet'!$B$9,Paramètres!$A$1:$I$89,5,0)</f>
        <v>357.76962000000054</v>
      </c>
      <c r="P113" s="13">
        <f t="shared" si="87"/>
        <v>83.160306601601619</v>
      </c>
      <c r="Q113" s="20">
        <f t="shared" si="107"/>
        <v>767.95295549779041</v>
      </c>
      <c r="R113" s="59">
        <f t="shared" si="55"/>
        <v>1055.7984428581924</v>
      </c>
      <c r="S113" s="59">
        <f ca="1">AVERAGE(OFFSET($R$3,0,0,'Données projet'!$E$9+1,1))-AVERAGE(OFFSET($H$3,0,0,'Données projet'!$E$9+1,1))</f>
        <v>665.7907881991157</v>
      </c>
      <c r="T113" s="59">
        <f t="shared" si="88"/>
        <v>306.76923535735227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57.381105228791526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57.381105228791526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68.503314734655106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-4.5474735088646412E-13</v>
      </c>
      <c r="AJ113" s="13">
        <f>AI113*VLOOKUP('Données projet'!$B$10,Paramètres!$A$1:$I$89,3,0)*VLOOKUP('Données projet'!$B$10,Paramètres!$A$1:$I$89,5,0)</f>
        <v>-2.1282176021486519E-13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370.42479501931444</v>
      </c>
      <c r="AO113" s="59">
        <f t="shared" si="90"/>
        <v>351.95632347830144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186.96938693840863</v>
      </c>
      <c r="AV113" s="21">
        <f>EXP(-LN(2)/25)*AV112+(1-EXP(-LN(2)/25))/(LN(2)/25)*Calculateur!AQ113*Calculateur!AS113*VLOOKUP('Données projet'!$B$10,Paramètres!$A$1:$I$89,3,0)*0.475*44/12</f>
        <v>73.351665309956658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260.32105224836528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68.503314734655106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7.1054273576010019E-14</v>
      </c>
      <c r="BE113" s="13">
        <f>BD113*VLOOKUP('Données projet'!$B$11,Paramètres!$A$1:$I$89,3,0)*VLOOKUP('Données projet'!$B$11,Paramètres!$A$1:$I$89,5,0)</f>
        <v>6.2073013396002357E-14</v>
      </c>
      <c r="BF113" s="13">
        <f t="shared" si="91"/>
        <v>9.8573687844725482E-13</v>
      </c>
      <c r="BG113" s="20">
        <f t="shared" si="61"/>
        <v>1.8249355616270061E-12</v>
      </c>
      <c r="BH113" s="59">
        <f t="shared" si="62"/>
        <v>287.84548736040387</v>
      </c>
      <c r="BI113" s="59">
        <f ca="1">AVERAGE(OFFSET($BH$3,0,0,'Données projet'!$E$11+1,1))-AVERAGE(OFFSET($H$3,0,0,'Données projet'!$E$11+1,1))</f>
        <v>128.92423054779167</v>
      </c>
      <c r="BJ113" s="59">
        <f t="shared" si="92"/>
        <v>127.5443711972687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15.634417991822463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15.634417991822463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68.503314734655106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7.9349999999999969</v>
      </c>
      <c r="BY113" s="12">
        <f>IF('Données projet'!$A$114&gt;35,BY112+BX113-CG112,IF(A113&lt;'Données projet'!$A$114,$BV$205^A113,IF(A113='Données projet'!$A$114,'Données projet'!$B$114,BY112+BX113-CG112)))</f>
        <v>352.8300000000005</v>
      </c>
      <c r="BZ113" s="13">
        <f>BY113*VLOOKUP('Données projet'!$B$12,Paramètres!$A$1:$I$89,3,0)*VLOOKUP('Données projet'!$B$12,Paramètres!$A$1:$I$89,5,0)</f>
        <v>319.24058400000041</v>
      </c>
      <c r="CA113" s="13">
        <f t="shared" si="93"/>
        <v>75.195320551435159</v>
      </c>
      <c r="CB113" s="20">
        <f t="shared" si="64"/>
        <v>686.97586709375025</v>
      </c>
      <c r="CC113" s="59">
        <f t="shared" si="65"/>
        <v>974.82135445415224</v>
      </c>
      <c r="CD113" s="59">
        <f ca="1">AVERAGE(OFFSET($CC$3,0,0,'Données projet'!$E$12+1,1))-AVERAGE(OFFSET($H$3,0,0,'Données projet'!$E$12+1,1))</f>
        <v>601.17090553269054</v>
      </c>
      <c r="CE113" s="59">
        <f t="shared" si="94"/>
        <v>279.37477930888042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51.201601588767808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51.201601588767808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68.503314734655106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7.456999999999999</v>
      </c>
      <c r="CT113" s="12">
        <f>IF('Données projet'!$A$140&gt;35,CT112+CS113-DB112,IF(A113&lt;'Données projet'!$A$140,$CQ$205^A113,IF(A113='Données projet'!$A$140,'Données projet'!$B$140,CT112+CS113-DB112)))</f>
        <v>315.40899999999999</v>
      </c>
      <c r="CU113" s="17">
        <f>CT113*VLOOKUP('Données projet'!$B$13,Paramètres!$A$1:$I$89,3,0)*VLOOKUP('Données projet'!$B$13,Paramètres!$A$1:$I$89,5,0)</f>
        <v>300.1432044</v>
      </c>
      <c r="CV113" s="13">
        <f t="shared" si="95"/>
        <v>71.206483784581081</v>
      </c>
      <c r="CW113" s="20">
        <f t="shared" si="67"/>
        <v>646.76737358814535</v>
      </c>
      <c r="CX113" s="59">
        <f t="shared" si="68"/>
        <v>934.61286094854745</v>
      </c>
      <c r="CY113" s="59">
        <f ca="1">AVERAGE(OFFSET($CX$3,0,0,'Données projet'!$E$13+1,1))-AVERAGE(OFFSET($H$3,0,0,'Données projet'!$E$13+1,1))</f>
        <v>418.79317359649315</v>
      </c>
      <c r="CZ113" s="59">
        <f t="shared" si="96"/>
        <v>286.46514989661011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47.269652044092801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47.269652044092801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68.503314734655106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68.503314734655106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68.503314734655106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68.503314734655106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68.503314734655106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1.35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0.987012000000001</v>
      </c>
      <c r="D114" s="11">
        <f t="shared" si="86"/>
        <v>0.45554928203049438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5.0118556077356873</v>
      </c>
      <c r="H114" s="67">
        <f t="shared" si="56"/>
        <v>226.50912756620312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68.529278877921868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7.9349999999999969</v>
      </c>
      <c r="N114" s="13">
        <f>IF('Données projet'!$A$36&gt;35,N113+M114-V113,IF(A114&lt;'Données projet'!$A$36,$K$205^A114,IF(A114='Données projet'!$A$36,'Données projet'!$B$36,N113+M114-V113)))</f>
        <v>360.7650000000005</v>
      </c>
      <c r="O114" s="13">
        <f>N114*VLOOKUP('Données projet'!$B$9,Paramètres!$A$1:$I$89,3,0)*VLOOKUP('Données projet'!$B$9,Paramètres!$A$1:$I$89,5,0)</f>
        <v>365.81571000000054</v>
      </c>
      <c r="P114" s="13">
        <f t="shared" si="87"/>
        <v>84.810706185422944</v>
      </c>
      <c r="Q114" s="20">
        <f t="shared" si="107"/>
        <v>784.84100818961235</v>
      </c>
      <c r="R114" s="59">
        <f t="shared" si="55"/>
        <v>1072.7816974086593</v>
      </c>
      <c r="S114" s="59">
        <f ca="1">AVERAGE(OFFSET($R$3,0,0,'Données projet'!$E$9+1,1))-AVERAGE(OFFSET($H$3,0,0,'Données projet'!$E$9+1,1))</f>
        <v>665.7907881991157</v>
      </c>
      <c r="T114" s="59">
        <f t="shared" si="88"/>
        <v>306.76923535735227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56.255896754273245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56.255896754273245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68.529278877921868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-4.5474735088646412E-13</v>
      </c>
      <c r="AJ114" s="13">
        <f>AI114*VLOOKUP('Données projet'!$B$10,Paramètres!$A$1:$I$89,3,0)*VLOOKUP('Données projet'!$B$10,Paramètres!$A$1:$I$89,5,0)</f>
        <v>-2.1282176021486519E-13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370.42479501931444</v>
      </c>
      <c r="AO114" s="59">
        <f t="shared" si="90"/>
        <v>351.95632347830144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183.30303130061196</v>
      </c>
      <c r="AV114" s="21">
        <f>EXP(-LN(2)/25)*AV113+(1-EXP(-LN(2)/25))/(LN(2)/25)*Calculateur!AQ114*Calculateur!AS114*VLOOKUP('Données projet'!$B$10,Paramètres!$A$1:$I$89,3,0)*0.475*44/12</f>
        <v>71.345860164659456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254.64889146527142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68.529278877921868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7.1054273576010019E-14</v>
      </c>
      <c r="BE114" s="13">
        <f>BD114*VLOOKUP('Données projet'!$B$11,Paramètres!$A$1:$I$89,3,0)*VLOOKUP('Données projet'!$B$11,Paramètres!$A$1:$I$89,5,0)</f>
        <v>6.2073013396002357E-14</v>
      </c>
      <c r="BF114" s="13">
        <f t="shared" si="91"/>
        <v>9.8573687844725482E-13</v>
      </c>
      <c r="BG114" s="20">
        <f t="shared" si="61"/>
        <v>1.8249355616270061E-12</v>
      </c>
      <c r="BH114" s="59">
        <f t="shared" si="62"/>
        <v>287.94068921904869</v>
      </c>
      <c r="BI114" s="59">
        <f ca="1">AVERAGE(OFFSET($BH$3,0,0,'Données projet'!$E$11+1,1))-AVERAGE(OFFSET($H$3,0,0,'Données projet'!$E$11+1,1))</f>
        <v>128.92423054779167</v>
      </c>
      <c r="BJ114" s="59">
        <f t="shared" si="92"/>
        <v>127.5443711972687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15.327836591056192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15.327836591056192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68.529278877921868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7.9349999999999969</v>
      </c>
      <c r="BY114" s="12">
        <f>IF('Données projet'!$A$114&gt;35,BY113+BX114-CG113,IF(A114&lt;'Données projet'!$A$114,$BV$205^A114,IF(A114='Données projet'!$A$114,'Données projet'!$B$114,BY113+BX114-CG113)))</f>
        <v>360.7650000000005</v>
      </c>
      <c r="BZ114" s="13">
        <f>BY114*VLOOKUP('Données projet'!$B$12,Paramètres!$A$1:$I$89,3,0)*VLOOKUP('Données projet'!$B$12,Paramètres!$A$1:$I$89,5,0)</f>
        <v>326.42017200000043</v>
      </c>
      <c r="CA114" s="13">
        <f t="shared" si="93"/>
        <v>76.687647008791089</v>
      </c>
      <c r="CB114" s="20">
        <f t="shared" si="64"/>
        <v>702.07945144031191</v>
      </c>
      <c r="CC114" s="59">
        <f t="shared" si="65"/>
        <v>990.02014065935873</v>
      </c>
      <c r="CD114" s="59">
        <f ca="1">AVERAGE(OFFSET($CC$3,0,0,'Données projet'!$E$12+1,1))-AVERAGE(OFFSET($H$3,0,0,'Données projet'!$E$12+1,1))</f>
        <v>601.17090553269054</v>
      </c>
      <c r="CE114" s="59">
        <f t="shared" si="94"/>
        <v>279.37477930888042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50.197569411505341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50.197569411505341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68.529278877921868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7.456999999999999</v>
      </c>
      <c r="CT114" s="12">
        <f>IF('Données projet'!$A$140&gt;35,CT113+CS114-DB113,IF(A114&lt;'Données projet'!$A$140,$CQ$205^A114,IF(A114='Données projet'!$A$140,'Données projet'!$B$140,CT113+CS114-DB113)))</f>
        <v>322.86599999999999</v>
      </c>
      <c r="CU114" s="17">
        <f>CT114*VLOOKUP('Données projet'!$B$13,Paramètres!$A$1:$I$89,3,0)*VLOOKUP('Données projet'!$B$13,Paramètres!$A$1:$I$89,5,0)</f>
        <v>307.23928559999996</v>
      </c>
      <c r="CV114" s="13">
        <f t="shared" si="95"/>
        <v>72.691983305179377</v>
      </c>
      <c r="CW114" s="20">
        <f t="shared" si="67"/>
        <v>661.71362667652068</v>
      </c>
      <c r="CX114" s="59">
        <f t="shared" si="68"/>
        <v>949.65431589556761</v>
      </c>
      <c r="CY114" s="59">
        <f ca="1">AVERAGE(OFFSET($CX$3,0,0,'Données projet'!$E$13+1,1))-AVERAGE(OFFSET($H$3,0,0,'Données projet'!$E$13+1,1))</f>
        <v>418.79317359649315</v>
      </c>
      <c r="CZ114" s="59">
        <f t="shared" si="96"/>
        <v>286.46514989661011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46.342722999149004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46.342722999149004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68.529278877921868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68.529278877921868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68.529278877921868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68.529278877921868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68.529278877921868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1.35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0.99590400000000101</v>
      </c>
      <c r="D115" s="11">
        <f t="shared" si="86"/>
        <v>0.45917372344520224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5.0128217891782265</v>
      </c>
      <c r="H115" s="67">
        <f t="shared" si="56"/>
        <v>226.53092703500039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68.554792601350073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7.9349999999999969</v>
      </c>
      <c r="N115" s="13">
        <f>IF('Données projet'!$A$36&gt;35,N114+M115-V114,IF(A115&lt;'Données projet'!$A$36,$K$205^A115,IF(A115='Données projet'!$A$36,'Données projet'!$B$36,N114+M115-V114)))</f>
        <v>368.7000000000005</v>
      </c>
      <c r="O115" s="13">
        <f>N115*VLOOKUP('Données projet'!$B$9,Paramètres!$A$1:$I$89,3,0)*VLOOKUP('Données projet'!$B$9,Paramètres!$A$1:$I$89,5,0)</f>
        <v>373.86180000000053</v>
      </c>
      <c r="P115" s="13">
        <f t="shared" si="87"/>
        <v>86.456885445094045</v>
      </c>
      <c r="Q115" s="20">
        <f t="shared" si="107"/>
        <v>801.7217104835396</v>
      </c>
      <c r="R115" s="59">
        <f t="shared" si="55"/>
        <v>1089.7559500218231</v>
      </c>
      <c r="S115" s="59">
        <f ca="1">AVERAGE(OFFSET($R$3,0,0,'Données projet'!$E$9+1,1))-AVERAGE(OFFSET($H$3,0,0,'Données projet'!$E$9+1,1))</f>
        <v>665.7907881991157</v>
      </c>
      <c r="T115" s="59">
        <f t="shared" si="88"/>
        <v>306.76923535735227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55.152752931630864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55.152752931630864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68.554792601350073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-4.5474735088646412E-13</v>
      </c>
      <c r="AJ115" s="13">
        <f>AI115*VLOOKUP('Données projet'!$B$10,Paramètres!$A$1:$I$89,3,0)*VLOOKUP('Données projet'!$B$10,Paramètres!$A$1:$I$89,5,0)</f>
        <v>-2.1282176021486519E-13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370.42479501931444</v>
      </c>
      <c r="AO115" s="59">
        <f t="shared" si="90"/>
        <v>351.95632347830144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179.70857066061635</v>
      </c>
      <c r="AV115" s="21">
        <f>EXP(-LN(2)/25)*AV114+(1-EXP(-LN(2)/25))/(LN(2)/25)*Calculateur!AQ115*Calculateur!AS115*VLOOKUP('Données projet'!$B$10,Paramètres!$A$1:$I$89,3,0)*0.475*44/12</f>
        <v>69.394903866541114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249.10347452715746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68.554792601350073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7.1054273576010019E-14</v>
      </c>
      <c r="BE115" s="13">
        <f>BD115*VLOOKUP('Données projet'!$B$11,Paramètres!$A$1:$I$89,3,0)*VLOOKUP('Données projet'!$B$11,Paramètres!$A$1:$I$89,5,0)</f>
        <v>6.2073013396002357E-14</v>
      </c>
      <c r="BF115" s="13">
        <f t="shared" si="91"/>
        <v>9.8573687844725482E-13</v>
      </c>
      <c r="BG115" s="20">
        <f t="shared" si="61"/>
        <v>1.8249355616270061E-12</v>
      </c>
      <c r="BH115" s="59">
        <f t="shared" si="62"/>
        <v>288.03423953828542</v>
      </c>
      <c r="BI115" s="59">
        <f ca="1">AVERAGE(OFFSET($BH$3,0,0,'Données projet'!$E$11+1,1))-AVERAGE(OFFSET($H$3,0,0,'Données projet'!$E$11+1,1))</f>
        <v>128.92423054779167</v>
      </c>
      <c r="BJ115" s="59">
        <f t="shared" si="92"/>
        <v>127.5443711972687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15.027267064562757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15.027267064562757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68.554792601350073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7.9349999999999969</v>
      </c>
      <c r="BY115" s="12">
        <f>IF('Données projet'!$A$114&gt;35,BY114+BX115-CG114,IF(A115&lt;'Données projet'!$A$114,$BV$205^A115,IF(A115='Données projet'!$A$114,'Données projet'!$B$114,BY114+BX115-CG114)))</f>
        <v>368.7000000000005</v>
      </c>
      <c r="BZ115" s="13">
        <f>BY115*VLOOKUP('Données projet'!$B$12,Paramètres!$A$1:$I$89,3,0)*VLOOKUP('Données projet'!$B$12,Paramètres!$A$1:$I$89,5,0)</f>
        <v>333.59976000000046</v>
      </c>
      <c r="CA115" s="13">
        <f t="shared" si="93"/>
        <v>78.17615735915706</v>
      </c>
      <c r="CB115" s="20">
        <f t="shared" si="64"/>
        <v>717.17638940053257</v>
      </c>
      <c r="CC115" s="59">
        <f t="shared" si="65"/>
        <v>1005.2106289388162</v>
      </c>
      <c r="CD115" s="59">
        <f ca="1">AVERAGE(OFFSET($CC$3,0,0,'Données projet'!$E$12+1,1))-AVERAGE(OFFSET($H$3,0,0,'Données projet'!$E$12+1,1))</f>
        <v>601.17090553269054</v>
      </c>
      <c r="CE115" s="59">
        <f t="shared" si="94"/>
        <v>279.37477930888042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49.213225692839835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49.213225692839835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68.554792601350073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7.456999999999999</v>
      </c>
      <c r="CT115" s="12">
        <f>IF('Données projet'!$A$140&gt;35,CT114+CS115-DB114,IF(A115&lt;'Données projet'!$A$140,$CQ$205^A115,IF(A115='Données projet'!$A$140,'Données projet'!$B$140,CT114+CS115-DB114)))</f>
        <v>330.32299999999998</v>
      </c>
      <c r="CU115" s="17">
        <f>CT115*VLOOKUP('Données projet'!$B$13,Paramètres!$A$1:$I$89,3,0)*VLOOKUP('Données projet'!$B$13,Paramètres!$A$1:$I$89,5,0)</f>
        <v>314.33536680000003</v>
      </c>
      <c r="CV115" s="13">
        <f t="shared" si="95"/>
        <v>74.173494189012516</v>
      </c>
      <c r="CW115" s="20">
        <f t="shared" si="67"/>
        <v>676.6529328891969</v>
      </c>
      <c r="CX115" s="59">
        <f t="shared" si="68"/>
        <v>964.6871724274805</v>
      </c>
      <c r="CY115" s="59">
        <f ca="1">AVERAGE(OFFSET($CX$3,0,0,'Données projet'!$E$13+1,1))-AVERAGE(OFFSET($H$3,0,0,'Données projet'!$E$13+1,1))</f>
        <v>418.79317359649315</v>
      </c>
      <c r="CZ115" s="59">
        <f t="shared" si="96"/>
        <v>286.46514989661011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45.433970467405658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45.433970467405658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68.554792601350073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68.554792601350073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68.554792601350073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68.554792601350073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68.554792601350073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1.35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1.0047960000000009</v>
      </c>
      <c r="D116" s="11">
        <f t="shared" si="86"/>
        <v>0.4627943999335461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5.01378767999487</v>
      </c>
      <c r="H116" s="67">
        <f t="shared" si="56"/>
        <v>226.55271994655092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68.57986371871695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7.9349999999999969</v>
      </c>
      <c r="N116" s="13">
        <f>IF('Données projet'!$A$36&gt;35,N115+M116-V115,IF(A116&lt;'Données projet'!$A$36,$K$205^A116,IF(A116='Données projet'!$A$36,'Données projet'!$B$36,N115+M116-V115)))</f>
        <v>376.6350000000005</v>
      </c>
      <c r="O116" s="13">
        <f>N116*VLOOKUP('Données projet'!$B$9,Paramètres!$A$1:$I$89,3,0)*VLOOKUP('Données projet'!$B$9,Paramètres!$A$1:$I$89,5,0)</f>
        <v>381.90789000000052</v>
      </c>
      <c r="P116" s="13">
        <f t="shared" si="87"/>
        <v>88.098945669848248</v>
      </c>
      <c r="Q116" s="20">
        <f t="shared" si="107"/>
        <v>818.59523879165329</v>
      </c>
      <c r="R116" s="59">
        <f t="shared" si="55"/>
        <v>1106.7214057602821</v>
      </c>
      <c r="S116" s="59">
        <f ca="1">AVERAGE(OFFSET($R$3,0,0,'Données projet'!$E$9+1,1))-AVERAGE(OFFSET($H$3,0,0,'Données projet'!$E$9+1,1))</f>
        <v>665.7907881991157</v>
      </c>
      <c r="T116" s="59">
        <f t="shared" si="88"/>
        <v>306.76923535735227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54.071241086499214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54.071241086499214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68.57986371871695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-4.5474735088646412E-13</v>
      </c>
      <c r="AJ116" s="13">
        <f>AI116*VLOOKUP('Données projet'!$B$10,Paramètres!$A$1:$I$89,3,0)*VLOOKUP('Données projet'!$B$10,Paramètres!$A$1:$I$89,5,0)</f>
        <v>-2.1282176021486519E-13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370.42479501931444</v>
      </c>
      <c r="AO116" s="59">
        <f t="shared" si="90"/>
        <v>351.95632347830144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176.18459520136653</v>
      </c>
      <c r="AV116" s="21">
        <f>EXP(-LN(2)/25)*AV115+(1-EXP(-LN(2)/25))/(LN(2)/25)*Calculateur!AQ116*Calculateur!AS116*VLOOKUP('Données projet'!$B$10,Paramètres!$A$1:$I$89,3,0)*0.475*44/12</f>
        <v>67.497296570991153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243.68189177235769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68.57986371871695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7.1054273576010019E-14</v>
      </c>
      <c r="BE116" s="13">
        <f>BD116*VLOOKUP('Données projet'!$B$11,Paramètres!$A$1:$I$89,3,0)*VLOOKUP('Données projet'!$B$11,Paramètres!$A$1:$I$89,5,0)</f>
        <v>6.2073013396002357E-14</v>
      </c>
      <c r="BF116" s="13">
        <f t="shared" si="91"/>
        <v>9.8573687844725482E-13</v>
      </c>
      <c r="BG116" s="20">
        <f t="shared" si="61"/>
        <v>1.8249355616270061E-12</v>
      </c>
      <c r="BH116" s="59">
        <f t="shared" si="62"/>
        <v>288.12616696863063</v>
      </c>
      <c r="BI116" s="59">
        <f ca="1">AVERAGE(OFFSET($BH$3,0,0,'Données projet'!$E$11+1,1))-AVERAGE(OFFSET($H$3,0,0,'Données projet'!$E$11+1,1))</f>
        <v>128.92423054779167</v>
      </c>
      <c r="BJ116" s="59">
        <f t="shared" si="92"/>
        <v>127.5443711972687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14.73259152315455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14.73259152315455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68.57986371871695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7.9349999999999969</v>
      </c>
      <c r="BY116" s="12">
        <f>IF('Données projet'!$A$114&gt;35,BY115+BX116-CG115,IF(A116&lt;'Données projet'!$A$114,$BV$205^A116,IF(A116='Données projet'!$A$114,'Données projet'!$B$114,BY115+BX116-CG115)))</f>
        <v>376.6350000000005</v>
      </c>
      <c r="BZ116" s="13">
        <f>BY116*VLOOKUP('Données projet'!$B$12,Paramètres!$A$1:$I$89,3,0)*VLOOKUP('Données projet'!$B$12,Paramètres!$A$1:$I$89,5,0)</f>
        <v>340.77934800000043</v>
      </c>
      <c r="CA116" s="13">
        <f t="shared" si="93"/>
        <v>79.660943190415296</v>
      </c>
      <c r="CB116" s="20">
        <f t="shared" si="64"/>
        <v>732.26684048997402</v>
      </c>
      <c r="CC116" s="59">
        <f t="shared" si="65"/>
        <v>1020.3930074586028</v>
      </c>
      <c r="CD116" s="59">
        <f ca="1">AVERAGE(OFFSET($CC$3,0,0,'Données projet'!$E$12+1,1))-AVERAGE(OFFSET($H$3,0,0,'Données projet'!$E$12+1,1))</f>
        <v>601.17090553269054</v>
      </c>
      <c r="CE116" s="59">
        <f t="shared" si="94"/>
        <v>279.37477930888042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48.248184354106975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48.248184354106975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68.57986371871695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337.78</v>
      </c>
      <c r="CR116" s="12">
        <f>VLOOKUP(A116,'Données projet'!$A$139:$I$159,9,0)</f>
        <v>7.456999999999999</v>
      </c>
      <c r="CS116" s="12">
        <f t="array" ref="CS116">INDEX(CR:CR,MIN(IF(ISNUMBER(CR116:CR312),ROW(CR116:CR312),"")))</f>
        <v>7.456999999999999</v>
      </c>
      <c r="CT116" s="12">
        <f>IF('Données projet'!$A$140&gt;35,CT115+CS116-DB115,IF(A116&lt;'Données projet'!$A$140,$CQ$205^A116,IF(A116='Données projet'!$A$140,'Données projet'!$B$140,CT115+CS116-DB115)))</f>
        <v>337.78</v>
      </c>
      <c r="CU116" s="17">
        <f>CT116*VLOOKUP('Données projet'!$B$13,Paramètres!$A$1:$I$89,3,0)*VLOOKUP('Données projet'!$B$13,Paramètres!$A$1:$I$89,5,0)</f>
        <v>321.43144799999999</v>
      </c>
      <c r="CV116" s="13">
        <f t="shared" si="95"/>
        <v>75.651116845328247</v>
      </c>
      <c r="CW116" s="20">
        <f t="shared" si="67"/>
        <v>691.58546710561325</v>
      </c>
      <c r="CX116" s="59">
        <f t="shared" si="68"/>
        <v>979.71163407424206</v>
      </c>
      <c r="CY116" s="59">
        <f ca="1">AVERAGE(OFFSET($CX$3,0,0,'Données projet'!$E$13+1,1))-AVERAGE(OFFSET($H$3,0,0,'Données projet'!$E$13+1,1))</f>
        <v>418.79317359649315</v>
      </c>
      <c r="CZ116" s="59">
        <f t="shared" si="96"/>
        <v>286.46514989661011</v>
      </c>
      <c r="DA116" s="15">
        <f>IF(ISNA(VLOOKUP(A116,'Données projet'!$A$139:$I$159,3,0)),0,VLOOKUP(A116,'Données projet'!$A$139:$I$159,3,0))</f>
        <v>10</v>
      </c>
      <c r="DB116" s="15">
        <f>IF(ISNA(VLOOKUP(A116,'Données projet'!$A$139:$I$159,4,0)),0,VLOOKUP(A116,'Données projet'!$A$139:$I$159,4,0))</f>
        <v>59.52</v>
      </c>
      <c r="DC116" s="16">
        <f>IF(ISNA(VLOOKUP(A116,'Données projet'!$A$139:$I$159,5,0)),0%,VLOOKUP(A116,'Données projet'!$A$139:$I$159,5,0)*VLOOKUP('Données projet'!$B$13,Paramètres!$A$1:$I$89,7,0))</f>
        <v>0.25800000000000001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60.697190288763153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60.697190288763153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68.57986371871695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68.57986371871695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68.57986371871695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68.57986371871695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68.57986371871695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1.35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1.0136880000000008</v>
      </c>
      <c r="D117" s="11">
        <f t="shared" si="86"/>
        <v>0.46641134867348916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5.0147532830554979</v>
      </c>
      <c r="H117" s="67">
        <f t="shared" si="56"/>
        <v>226.57450636560634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68.60449990824813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384.57</v>
      </c>
      <c r="L117" s="12">
        <f>VLOOKUP(A117,'Données projet'!$A$35:$I$55,9,0)</f>
        <v>7.9349999999999969</v>
      </c>
      <c r="M117" s="12">
        <f t="array" ref="M117">INDEX(L:L,MIN(IF(ISNUMBER(L117:L313),ROW(L117:L313),"")))</f>
        <v>7.9349999999999969</v>
      </c>
      <c r="N117" s="13">
        <f>IF('Données projet'!$A$36&gt;35,N116+M117-V116,IF(A117&lt;'Données projet'!$A$36,$K$205^A117,IF(A117='Données projet'!$A$36,'Données projet'!$B$36,N116+M117-V116)))</f>
        <v>384.5700000000005</v>
      </c>
      <c r="O117" s="13">
        <f>N117*VLOOKUP('Données projet'!$B$9,Paramètres!$A$1:$I$89,3,0)*VLOOKUP('Données projet'!$B$9,Paramètres!$A$1:$I$89,5,0)</f>
        <v>389.95398000000051</v>
      </c>
      <c r="P117" s="13">
        <f t="shared" si="87"/>
        <v>89.736983637102725</v>
      </c>
      <c r="Q117" s="20">
        <f t="shared" si="107"/>
        <v>835.46176166795476</v>
      </c>
      <c r="R117" s="59">
        <f t="shared" si="55"/>
        <v>1123.6782613315313</v>
      </c>
      <c r="S117" s="59">
        <f ca="1">AVERAGE(OFFSET($R$3,0,0,'Données projet'!$E$9+1,1))-AVERAGE(OFFSET($H$3,0,0,'Données projet'!$E$9+1,1))</f>
        <v>665.7907881991157</v>
      </c>
      <c r="T117" s="59">
        <f t="shared" si="88"/>
        <v>306.76923535735227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56.07</v>
      </c>
      <c r="W117" s="16">
        <f>IF(ISNA(VLOOKUP(A117,'Données projet'!$A$35:$I$55,5,0)),0%,VLOOKUP(A117,'Données projet'!$A$35:$I$55,5,0)*VLOOKUP('Données projet'!$B$9,Paramètres!$A$1:$I$89,7,0))</f>
        <v>0.25800000000000001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69.226623079279591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69.226623079279591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68.60449990824813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-4.5474735088646412E-13</v>
      </c>
      <c r="AJ117" s="13">
        <f>AI117*VLOOKUP('Données projet'!$B$10,Paramètres!$A$1:$I$89,3,0)*VLOOKUP('Données projet'!$B$10,Paramètres!$A$1:$I$89,5,0)</f>
        <v>-2.1282176021486519E-13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370.42479501931444</v>
      </c>
      <c r="AO117" s="59">
        <f t="shared" si="90"/>
        <v>351.95632347830144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172.72972275145983</v>
      </c>
      <c r="AV117" s="21">
        <f>EXP(-LN(2)/25)*AV116+(1-EXP(-LN(2)/25))/(LN(2)/25)*Calculateur!AQ117*Calculateur!AS117*VLOOKUP('Données projet'!$B$10,Paramètres!$A$1:$I$89,3,0)*0.475*44/12</f>
        <v>65.651579446728846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238.38130219818868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68.60449990824813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7.1054273576010019E-14</v>
      </c>
      <c r="BE117" s="13">
        <f>BD117*VLOOKUP('Données projet'!$B$11,Paramètres!$A$1:$I$89,3,0)*VLOOKUP('Données projet'!$B$11,Paramètres!$A$1:$I$89,5,0)</f>
        <v>6.2073013396002357E-14</v>
      </c>
      <c r="BF117" s="13">
        <f t="shared" si="91"/>
        <v>9.8573687844725482E-13</v>
      </c>
      <c r="BG117" s="20">
        <f t="shared" si="61"/>
        <v>1.8249355616270061E-12</v>
      </c>
      <c r="BH117" s="59">
        <f t="shared" si="62"/>
        <v>288.2164996635783</v>
      </c>
      <c r="BI117" s="59">
        <f ca="1">AVERAGE(OFFSET($BH$3,0,0,'Données projet'!$E$11+1,1))-AVERAGE(OFFSET($H$3,0,0,'Données projet'!$E$11+1,1))</f>
        <v>128.92423054779167</v>
      </c>
      <c r="BJ117" s="59">
        <f t="shared" si="92"/>
        <v>127.5443711972687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14.443694389379026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14.443694389379026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68.60449990824813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384.57</v>
      </c>
      <c r="BW117" s="12">
        <f>VLOOKUP(A117,'Données projet'!$A$113:$I$133,9,0)</f>
        <v>7.9349999999999969</v>
      </c>
      <c r="BX117" s="12">
        <f t="array" ref="BX117">INDEX(BW:BW,MIN(IF(ISNUMBER(BW117:BW313),ROW(BW117:BW313),"")))</f>
        <v>7.9349999999999969</v>
      </c>
      <c r="BY117" s="12">
        <f>IF('Données projet'!$A$114&gt;35,BY116+BX117-CG116,IF(A117&lt;'Données projet'!$A$114,$BV$205^A117,IF(A117='Données projet'!$A$114,'Données projet'!$B$114,BY116+BX117-CG116)))</f>
        <v>384.5700000000005</v>
      </c>
      <c r="BZ117" s="13">
        <f>BY117*VLOOKUP('Données projet'!$B$12,Paramètres!$A$1:$I$89,3,0)*VLOOKUP('Données projet'!$B$12,Paramètres!$A$1:$I$89,5,0)</f>
        <v>347.95893600000045</v>
      </c>
      <c r="CA117" s="13">
        <f t="shared" si="93"/>
        <v>81.142092010767954</v>
      </c>
      <c r="CB117" s="20">
        <f t="shared" si="64"/>
        <v>747.35095711875499</v>
      </c>
      <c r="CC117" s="59">
        <f t="shared" si="65"/>
        <v>1035.5674567823314</v>
      </c>
      <c r="CD117" s="59">
        <f ca="1">AVERAGE(OFFSET($CC$3,0,0,'Données projet'!$E$12+1,1))-AVERAGE(OFFSET($H$3,0,0,'Données projet'!$E$12+1,1))</f>
        <v>601.17090553269054</v>
      </c>
      <c r="CE117" s="59">
        <f t="shared" si="94"/>
        <v>279.37477930888042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56.07</v>
      </c>
      <c r="CH117" s="16">
        <f>IF(ISNA(VLOOKUP(A117,'Données projet'!$A$113:$I$133,5,0)),0%,VLOOKUP(A117,'Données projet'!$A$113:$I$133,5,0)*VLOOKUP('Données projet'!$B$12,Paramètres!$A$1:$I$89,7,0))</f>
        <v>0.25800000000000001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61.771448286126386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61.771448286126386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68.60449990824813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7.3920000000000012</v>
      </c>
      <c r="CT117" s="12">
        <f>IF('Données projet'!$A$140&gt;35,CT116+CS117-DB116,IF(A117&lt;'Données projet'!$A$140,$CQ$205^A117,IF(A117='Données projet'!$A$140,'Données projet'!$B$140,CT116+CS117-DB116)))</f>
        <v>285.65199999999999</v>
      </c>
      <c r="CU117" s="17">
        <f>CT117*VLOOKUP('Données projet'!$B$13,Paramètres!$A$1:$I$89,3,0)*VLOOKUP('Données projet'!$B$13,Paramètres!$A$1:$I$89,5,0)</f>
        <v>271.82644319999997</v>
      </c>
      <c r="CV117" s="13">
        <f t="shared" si="95"/>
        <v>65.236734409060588</v>
      </c>
      <c r="CW117" s="20">
        <f t="shared" si="67"/>
        <v>587.05170100244709</v>
      </c>
      <c r="CX117" s="59">
        <f t="shared" si="68"/>
        <v>875.26820066602363</v>
      </c>
      <c r="CY117" s="59">
        <f ca="1">AVERAGE(OFFSET($CX$3,0,0,'Données projet'!$E$13+1,1))-AVERAGE(OFFSET($H$3,0,0,'Données projet'!$E$13+1,1))</f>
        <v>418.79317359649315</v>
      </c>
      <c r="CZ117" s="59">
        <f t="shared" si="96"/>
        <v>286.46514989661011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59.506955408831004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59.506955408831004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68.60449990824813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68.60449990824813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68.60449990824813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68.60449990824813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68.60449990824813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1.35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1.0225800000000007</v>
      </c>
      <c r="D118" s="11">
        <f t="shared" si="86"/>
        <v>0.47002460615311487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5.0157186011767321</v>
      </c>
      <c r="H118" s="67">
        <f t="shared" si="56"/>
        <v>226.59628635571667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68.628708714969207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7.9920000000000018</v>
      </c>
      <c r="N118" s="13">
        <f>IF('Données projet'!$A$36&gt;35,N117+M118-V117,IF(A118&lt;'Données projet'!$A$36,$K$205^A118,IF(A118='Données projet'!$A$36,'Données projet'!$B$36,N117+M118-V117)))</f>
        <v>336.49200000000053</v>
      </c>
      <c r="O118" s="13">
        <f>N118*VLOOKUP('Données projet'!$B$9,Paramètres!$A$1:$I$89,3,0)*VLOOKUP('Données projet'!$B$9,Paramètres!$A$1:$I$89,5,0)</f>
        <v>341.2028880000006</v>
      </c>
      <c r="P118" s="13">
        <f t="shared" si="87"/>
        <v>79.748419593074587</v>
      </c>
      <c r="Q118" s="20">
        <f t="shared" si="107"/>
        <v>733.15686072460585</v>
      </c>
      <c r="R118" s="59">
        <f t="shared" si="55"/>
        <v>1021.4621260128263</v>
      </c>
      <c r="S118" s="59">
        <f ca="1">AVERAGE(OFFSET($R$3,0,0,'Données projet'!$E$9+1,1))-AVERAGE(OFFSET($H$3,0,0,'Données projet'!$E$9+1,1))</f>
        <v>665.7907881991157</v>
      </c>
      <c r="T118" s="59">
        <f t="shared" si="88"/>
        <v>306.76923535735227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67.869131224765709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67.869131224765709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68.628708714969207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-4.5474735088646412E-13</v>
      </c>
      <c r="AJ118" s="13">
        <f>AI118*VLOOKUP('Données projet'!$B$10,Paramètres!$A$1:$I$89,3,0)*VLOOKUP('Données projet'!$B$10,Paramètres!$A$1:$I$89,5,0)</f>
        <v>-2.1282176021486519E-13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370.42479501931444</v>
      </c>
      <c r="AO118" s="59">
        <f t="shared" si="90"/>
        <v>351.95632347830144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169.34259824303166</v>
      </c>
      <c r="AV118" s="21">
        <f>EXP(-LN(2)/25)*AV117+(1-EXP(-LN(2)/25))/(LN(2)/25)*Calculateur!AQ118*Calculateur!AS118*VLOOKUP('Données projet'!$B$10,Paramètres!$A$1:$I$89,3,0)*0.475*44/12</f>
        <v>63.856333554291531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233.19893179732318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68.628708714969207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7.1054273576010019E-14</v>
      </c>
      <c r="BE118" s="13">
        <f>BD118*VLOOKUP('Données projet'!$B$11,Paramètres!$A$1:$I$89,3,0)*VLOOKUP('Données projet'!$B$11,Paramètres!$A$1:$I$89,5,0)</f>
        <v>6.2073013396002357E-14</v>
      </c>
      <c r="BF118" s="13">
        <f t="shared" si="91"/>
        <v>9.8573687844725482E-13</v>
      </c>
      <c r="BG118" s="20">
        <f t="shared" si="61"/>
        <v>1.8249355616270061E-12</v>
      </c>
      <c r="BH118" s="59">
        <f t="shared" si="62"/>
        <v>288.30526528822224</v>
      </c>
      <c r="BI118" s="59">
        <f ca="1">AVERAGE(OFFSET($BH$3,0,0,'Données projet'!$E$11+1,1))-AVERAGE(OFFSET($H$3,0,0,'Données projet'!$E$11+1,1))</f>
        <v>128.92423054779167</v>
      </c>
      <c r="BJ118" s="59">
        <f t="shared" si="92"/>
        <v>127.5443711972687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14.160462352186986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14.160462352186986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68.628708714969207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7.9920000000000018</v>
      </c>
      <c r="BY118" s="12">
        <f>IF('Données projet'!$A$114&gt;35,BY117+BX118-CG117,IF(A118&lt;'Données projet'!$A$114,$BV$205^A118,IF(A118='Données projet'!$A$114,'Données projet'!$B$114,BY117+BX118-CG117)))</f>
        <v>336.49200000000053</v>
      </c>
      <c r="BZ118" s="13">
        <f>BY118*VLOOKUP('Données projet'!$B$12,Paramètres!$A$1:$I$89,3,0)*VLOOKUP('Données projet'!$B$12,Paramètres!$A$1:$I$89,5,0)</f>
        <v>304.45796160000049</v>
      </c>
      <c r="CA118" s="13">
        <f t="shared" si="93"/>
        <v>72.11021964481435</v>
      </c>
      <c r="CB118" s="20">
        <f t="shared" si="64"/>
        <v>655.85624900138566</v>
      </c>
      <c r="CC118" s="59">
        <f t="shared" si="65"/>
        <v>944.16151428960609</v>
      </c>
      <c r="CD118" s="59">
        <f ca="1">AVERAGE(OFFSET($CC$3,0,0,'Données projet'!$E$12+1,1))-AVERAGE(OFFSET($H$3,0,0,'Données projet'!$E$12+1,1))</f>
        <v>601.17090553269054</v>
      </c>
      <c r="CE118" s="59">
        <f t="shared" si="94"/>
        <v>279.37477930888042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60.560147862098624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60.560147862098624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68.628708714969207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7.3920000000000012</v>
      </c>
      <c r="CT118" s="12">
        <f>IF('Données projet'!$A$140&gt;35,CT117+CS118-DB117,IF(A118&lt;'Données projet'!$A$140,$CQ$205^A118,IF(A118='Données projet'!$A$140,'Données projet'!$B$140,CT117+CS118-DB117)))</f>
        <v>293.04399999999998</v>
      </c>
      <c r="CU118" s="17">
        <f>CT118*VLOOKUP('Données projet'!$B$13,Paramètres!$A$1:$I$89,3,0)*VLOOKUP('Données projet'!$B$13,Paramètres!$A$1:$I$89,5,0)</f>
        <v>278.8606704</v>
      </c>
      <c r="CV118" s="13">
        <f t="shared" si="95"/>
        <v>66.726178678898108</v>
      </c>
      <c r="CW118" s="20">
        <f t="shared" si="67"/>
        <v>601.8970954790808</v>
      </c>
      <c r="CX118" s="59">
        <f t="shared" si="68"/>
        <v>890.20236076730123</v>
      </c>
      <c r="CY118" s="59">
        <f ca="1">AVERAGE(OFFSET($CX$3,0,0,'Données projet'!$E$13+1,1))-AVERAGE(OFFSET($H$3,0,0,'Données projet'!$E$13+1,1))</f>
        <v>418.79317359649315</v>
      </c>
      <c r="CZ118" s="59">
        <f t="shared" si="96"/>
        <v>286.46514989661011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58.34006030892273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58.34006030892273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68.628708714969207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68.628708714969207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68.628708714969207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68.628708714969207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68.628708714969207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1.35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1.0314720000000006</v>
      </c>
      <c r="D119" s="11">
        <f t="shared" si="86"/>
        <v>0.47363420818931351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5.0166836371233856</v>
      </c>
      <c r="H119" s="67">
        <f t="shared" si="56"/>
        <v>226.61805997926305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68.652497553016474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7.9920000000000018</v>
      </c>
      <c r="N119" s="13">
        <f>IF('Données projet'!$A$36&gt;35,N118+M119-V118,IF(A119&lt;'Données projet'!$A$36,$K$205^A119,IF(A119='Données projet'!$A$36,'Données projet'!$B$36,N118+M119-V118)))</f>
        <v>344.48400000000055</v>
      </c>
      <c r="O119" s="13">
        <f>N119*VLOOKUP('Données projet'!$B$9,Paramètres!$A$1:$I$89,3,0)*VLOOKUP('Données projet'!$B$9,Paramètres!$A$1:$I$89,5,0)</f>
        <v>349.30677600000058</v>
      </c>
      <c r="P119" s="13">
        <f t="shared" si="87"/>
        <v>81.419752750490431</v>
      </c>
      <c r="Q119" s="20">
        <f t="shared" si="107"/>
        <v>750.18203757377194</v>
      </c>
      <c r="R119" s="59">
        <f t="shared" si="55"/>
        <v>1038.574528601499</v>
      </c>
      <c r="S119" s="59">
        <f ca="1">AVERAGE(OFFSET($R$3,0,0,'Données projet'!$E$9+1,1))-AVERAGE(OFFSET($H$3,0,0,'Données projet'!$E$9+1,1))</f>
        <v>665.7907881991157</v>
      </c>
      <c r="T119" s="59">
        <f t="shared" si="88"/>
        <v>306.76923535735227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66.538258957530573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66.538258957530573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68.652497553016474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-4.5474735088646412E-13</v>
      </c>
      <c r="AJ119" s="13">
        <f>AI119*VLOOKUP('Données projet'!$B$10,Paramètres!$A$1:$I$89,3,0)*VLOOKUP('Données projet'!$B$10,Paramètres!$A$1:$I$89,5,0)</f>
        <v>-2.1282176021486519E-13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370.42479501931444</v>
      </c>
      <c r="AO119" s="59">
        <f t="shared" si="90"/>
        <v>351.95632347830144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166.0218931802718</v>
      </c>
      <c r="AV119" s="21">
        <f>EXP(-LN(2)/25)*AV118+(1-EXP(-LN(2)/25))/(LN(2)/25)*Calculateur!AQ119*Calculateur!AS119*VLOOKUP('Données projet'!$B$10,Paramètres!$A$1:$I$89,3,0)*0.475*44/12</f>
        <v>62.110178755190795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228.13207193546259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68.652497553016474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7.1054273576010019E-14</v>
      </c>
      <c r="BE119" s="13">
        <f>BD119*VLOOKUP('Données projet'!$B$11,Paramètres!$A$1:$I$89,3,0)*VLOOKUP('Données projet'!$B$11,Paramètres!$A$1:$I$89,5,0)</f>
        <v>6.2073013396002357E-14</v>
      </c>
      <c r="BF119" s="13">
        <f t="shared" si="91"/>
        <v>9.8573687844725482E-13</v>
      </c>
      <c r="BG119" s="20">
        <f t="shared" si="61"/>
        <v>1.8249355616270061E-12</v>
      </c>
      <c r="BH119" s="59">
        <f t="shared" si="62"/>
        <v>288.39249102772891</v>
      </c>
      <c r="BI119" s="59">
        <f ca="1">AVERAGE(OFFSET($BH$3,0,0,'Données projet'!$E$11+1,1))-AVERAGE(OFFSET($H$3,0,0,'Données projet'!$E$11+1,1))</f>
        <v>128.92423054779167</v>
      </c>
      <c r="BJ119" s="59">
        <f t="shared" si="92"/>
        <v>127.5443711972687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13.882784322489798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13.882784322489798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68.652497553016474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7.9920000000000018</v>
      </c>
      <c r="BY119" s="12">
        <f>IF('Données projet'!$A$114&gt;35,BY118+BX119-CG118,IF(A119&lt;'Données projet'!$A$114,$BV$205^A119,IF(A119='Données projet'!$A$114,'Données projet'!$B$114,BY118+BX119-CG118)))</f>
        <v>344.48400000000055</v>
      </c>
      <c r="BZ119" s="13">
        <f>BY119*VLOOKUP('Données projet'!$B$12,Paramètres!$A$1:$I$89,3,0)*VLOOKUP('Données projet'!$B$12,Paramètres!$A$1:$I$89,5,0)</f>
        <v>311.68912320000049</v>
      </c>
      <c r="CA119" s="13">
        <f t="shared" si="93"/>
        <v>73.621474685301479</v>
      </c>
      <c r="CB119" s="20">
        <f t="shared" si="64"/>
        <v>671.08262465023415</v>
      </c>
      <c r="CC119" s="59">
        <f t="shared" si="65"/>
        <v>959.47511567796118</v>
      </c>
      <c r="CD119" s="59">
        <f ca="1">AVERAGE(OFFSET($CC$3,0,0,'Données projet'!$E$12+1,1))-AVERAGE(OFFSET($H$3,0,0,'Données projet'!$E$12+1,1))</f>
        <v>601.17090553269054</v>
      </c>
      <c r="CE119" s="59">
        <f t="shared" si="94"/>
        <v>279.37477930888042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59.372600300565736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59.372600300565736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68.652497553016474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7.3920000000000012</v>
      </c>
      <c r="CT119" s="12">
        <f>IF('Données projet'!$A$140&gt;35,CT118+CS119-DB118,IF(A119&lt;'Données projet'!$A$140,$CQ$205^A119,IF(A119='Données projet'!$A$140,'Données projet'!$B$140,CT118+CS119-DB118)))</f>
        <v>300.43599999999998</v>
      </c>
      <c r="CU119" s="17">
        <f>CT119*VLOOKUP('Données projet'!$B$13,Paramètres!$A$1:$I$89,3,0)*VLOOKUP('Données projet'!$B$13,Paramètres!$A$1:$I$89,5,0)</f>
        <v>285.89489759999998</v>
      </c>
      <c r="CV119" s="13">
        <f t="shared" si="95"/>
        <v>68.211255602615054</v>
      </c>
      <c r="CW119" s="20">
        <f t="shared" si="67"/>
        <v>616.73488349455454</v>
      </c>
      <c r="CX119" s="59">
        <f t="shared" si="68"/>
        <v>905.12737452228157</v>
      </c>
      <c r="CY119" s="59">
        <f ca="1">AVERAGE(OFFSET($CX$3,0,0,'Données projet'!$E$13+1,1))-AVERAGE(OFFSET($H$3,0,0,'Données projet'!$E$13+1,1))</f>
        <v>418.79317359649315</v>
      </c>
      <c r="CZ119" s="59">
        <f t="shared" si="96"/>
        <v>286.46514989661011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57.196047310187922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57.196047310187922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68.652497553016474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68.652497553016474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68.652497553016474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68.652497553016474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68.652497553016474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1.35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1.0403640000000005</v>
      </c>
      <c r="D120" s="11">
        <f t="shared" si="86"/>
        <v>0.47724018994580619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5.0176483936098517</v>
      </c>
      <c r="H120" s="67">
        <f t="shared" si="56"/>
        <v>226.63982729748895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68.675873707907471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7.9920000000000018</v>
      </c>
      <c r="N120" s="13">
        <f>IF('Données projet'!$A$36&gt;35,N119+M120-V119,IF(A120&lt;'Données projet'!$A$36,$K$205^A120,IF(A120='Données projet'!$A$36,'Données projet'!$B$36,N119+M120-V119)))</f>
        <v>352.47600000000057</v>
      </c>
      <c r="O120" s="13">
        <f>N120*VLOOKUP('Données projet'!$B$9,Paramètres!$A$1:$I$89,3,0)*VLOOKUP('Données projet'!$B$9,Paramètres!$A$1:$I$89,5,0)</f>
        <v>357.41066400000057</v>
      </c>
      <c r="P120" s="13">
        <f t="shared" si="87"/>
        <v>83.086578183672941</v>
      </c>
      <c r="Q120" s="20">
        <f t="shared" si="107"/>
        <v>767.199363469898</v>
      </c>
      <c r="R120" s="59">
        <f t="shared" si="55"/>
        <v>1055.6775670655588</v>
      </c>
      <c r="S120" s="59">
        <f ca="1">AVERAGE(OFFSET($R$3,0,0,'Données projet'!$E$9+1,1))-AVERAGE(OFFSET($H$3,0,0,'Données projet'!$E$9+1,1))</f>
        <v>665.7907881991157</v>
      </c>
      <c r="T120" s="59">
        <f t="shared" si="88"/>
        <v>306.76923535735227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65.233484283703987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65.233484283703987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68.675873707907471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-4.5474735088646412E-13</v>
      </c>
      <c r="AJ120" s="13">
        <f>AI120*VLOOKUP('Données projet'!$B$10,Paramètres!$A$1:$I$89,3,0)*VLOOKUP('Données projet'!$B$10,Paramètres!$A$1:$I$89,5,0)</f>
        <v>-2.1282176021486519E-13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370.42479501931444</v>
      </c>
      <c r="AO120" s="59">
        <f t="shared" si="90"/>
        <v>351.95632347830144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162.7663051183626</v>
      </c>
      <c r="AV120" s="21">
        <f>EXP(-LN(2)/25)*AV119+(1-EXP(-LN(2)/25))/(LN(2)/25)*Calculateur!AQ120*Calculateur!AS120*VLOOKUP('Données projet'!$B$10,Paramètres!$A$1:$I$89,3,0)*0.475*44/12</f>
        <v>60.41177265089776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223.17807776926037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68.675873707907471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7.1054273576010019E-14</v>
      </c>
      <c r="BE120" s="13">
        <f>BD120*VLOOKUP('Données projet'!$B$11,Paramètres!$A$1:$I$89,3,0)*VLOOKUP('Données projet'!$B$11,Paramètres!$A$1:$I$89,5,0)</f>
        <v>6.2073013396002357E-14</v>
      </c>
      <c r="BF120" s="13">
        <f t="shared" si="91"/>
        <v>9.8573687844725482E-13</v>
      </c>
      <c r="BG120" s="20">
        <f t="shared" si="61"/>
        <v>1.8249355616270061E-12</v>
      </c>
      <c r="BH120" s="59">
        <f t="shared" si="62"/>
        <v>288.47820359566254</v>
      </c>
      <c r="BI120" s="59">
        <f ca="1">AVERAGE(OFFSET($BH$3,0,0,'Données projet'!$E$11+1,1))-AVERAGE(OFFSET($H$3,0,0,'Données projet'!$E$11+1,1))</f>
        <v>128.92423054779167</v>
      </c>
      <c r="BJ120" s="59">
        <f t="shared" si="92"/>
        <v>127.5443711972687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13.610551389588098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13.610551389588098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68.675873707907471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7.9920000000000018</v>
      </c>
      <c r="BY120" s="12">
        <f>IF('Données projet'!$A$114&gt;35,BY119+BX120-CG119,IF(A120&lt;'Données projet'!$A$114,$BV$205^A120,IF(A120='Données projet'!$A$114,'Données projet'!$B$114,BY119+BX120-CG119)))</f>
        <v>352.47600000000057</v>
      </c>
      <c r="BZ120" s="13">
        <f>BY120*VLOOKUP('Données projet'!$B$12,Paramètres!$A$1:$I$89,3,0)*VLOOKUP('Données projet'!$B$12,Paramètres!$A$1:$I$89,5,0)</f>
        <v>318.9202848000005</v>
      </c>
      <c r="CA120" s="13">
        <f t="shared" si="93"/>
        <v>75.128653745521831</v>
      </c>
      <c r="CB120" s="20">
        <f t="shared" si="64"/>
        <v>686.30190130011806</v>
      </c>
      <c r="CC120" s="59">
        <f t="shared" si="65"/>
        <v>974.78010489577878</v>
      </c>
      <c r="CD120" s="59">
        <f ca="1">AVERAGE(OFFSET($CC$3,0,0,'Données projet'!$E$12+1,1))-AVERAGE(OFFSET($H$3,0,0,'Données projet'!$E$12+1,1))</f>
        <v>601.17090553269054</v>
      </c>
      <c r="CE120" s="59">
        <f t="shared" si="94"/>
        <v>279.37477930888042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58.208339822382015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58.208339822382015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68.675873707907471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7.3920000000000012</v>
      </c>
      <c r="CT120" s="12">
        <f>IF('Données projet'!$A$140&gt;35,CT119+CS120-DB119,IF(A120&lt;'Données projet'!$A$140,$CQ$205^A120,IF(A120='Données projet'!$A$140,'Données projet'!$B$140,CT119+CS120-DB119)))</f>
        <v>307.82799999999997</v>
      </c>
      <c r="CU120" s="17">
        <f>CT120*VLOOKUP('Données projet'!$B$13,Paramètres!$A$1:$I$89,3,0)*VLOOKUP('Données projet'!$B$13,Paramètres!$A$1:$I$89,5,0)</f>
        <v>292.92912479999995</v>
      </c>
      <c r="CV120" s="13">
        <f t="shared" si="95"/>
        <v>69.692084996073504</v>
      </c>
      <c r="CW120" s="20">
        <f t="shared" si="67"/>
        <v>631.56527372816129</v>
      </c>
      <c r="CX120" s="59">
        <f t="shared" si="68"/>
        <v>920.043477323822</v>
      </c>
      <c r="CY120" s="59">
        <f ca="1">AVERAGE(OFFSET($CX$3,0,0,'Données projet'!$E$13+1,1))-AVERAGE(OFFSET($H$3,0,0,'Données projet'!$E$13+1,1))</f>
        <v>418.79317359649315</v>
      </c>
      <c r="CZ120" s="59">
        <f t="shared" si="96"/>
        <v>286.46514989661011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56.074467708579277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56.074467708579277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68.675873707907471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68.675873707907471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68.675873707907471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68.675873707907471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68.675873707907471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1.35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1.0492560000000004</v>
      </c>
      <c r="D121" s="11">
        <f t="shared" si="86"/>
        <v>0.48084258595053514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5.0186128733014446</v>
      </c>
      <c r="H121" s="67">
        <f t="shared" si="56"/>
        <v>226.66158837053052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68.698844338772375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7.9920000000000018</v>
      </c>
      <c r="N121" s="13">
        <f>IF('Données projet'!$A$36&gt;35,N120+M121-V120,IF(A121&lt;'Données projet'!$A$36,$K$205^A121,IF(A121='Données projet'!$A$36,'Données projet'!$B$36,N120+M121-V120)))</f>
        <v>360.46800000000059</v>
      </c>
      <c r="O121" s="13">
        <f>N121*VLOOKUP('Données projet'!$B$9,Paramètres!$A$1:$I$89,3,0)*VLOOKUP('Données projet'!$B$9,Paramètres!$A$1:$I$89,5,0)</f>
        <v>365.51455200000061</v>
      </c>
      <c r="P121" s="13">
        <f t="shared" si="87"/>
        <v>84.749009866498071</v>
      </c>
      <c r="Q121" s="20">
        <f t="shared" si="107"/>
        <v>784.20903691748515</v>
      </c>
      <c r="R121" s="59">
        <f t="shared" si="55"/>
        <v>1072.7714661596506</v>
      </c>
      <c r="S121" s="59">
        <f ca="1">AVERAGE(OFFSET($R$3,0,0,'Données projet'!$E$9+1,1))-AVERAGE(OFFSET($H$3,0,0,'Données projet'!$E$9+1,1))</f>
        <v>665.7907881991157</v>
      </c>
      <c r="T121" s="59">
        <f t="shared" si="88"/>
        <v>306.76923535735227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63.954295445397179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63.954295445397179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68.698844338772375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-4.5474735088646412E-13</v>
      </c>
      <c r="AJ121" s="13">
        <f>AI121*VLOOKUP('Données projet'!$B$10,Paramètres!$A$1:$I$89,3,0)*VLOOKUP('Données projet'!$B$10,Paramètres!$A$1:$I$89,5,0)</f>
        <v>-2.1282176021486519E-13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370.42479501931444</v>
      </c>
      <c r="AO121" s="59">
        <f t="shared" si="90"/>
        <v>351.95632347830144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159.57455715263478</v>
      </c>
      <c r="AV121" s="21">
        <f>EXP(-LN(2)/25)*AV120+(1-EXP(-LN(2)/25))/(LN(2)/25)*Calculateur!AQ121*Calculateur!AS121*VLOOKUP('Données projet'!$B$10,Paramètres!$A$1:$I$89,3,0)*0.475*44/12</f>
        <v>58.759809550841908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218.33436670347669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68.698844338772375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7.1054273576010019E-14</v>
      </c>
      <c r="BE121" s="13">
        <f>BD121*VLOOKUP('Données projet'!$B$11,Paramètres!$A$1:$I$89,3,0)*VLOOKUP('Données projet'!$B$11,Paramètres!$A$1:$I$89,5,0)</f>
        <v>6.2073013396002357E-14</v>
      </c>
      <c r="BF121" s="13">
        <f t="shared" si="91"/>
        <v>9.8573687844725482E-13</v>
      </c>
      <c r="BG121" s="20">
        <f t="shared" si="61"/>
        <v>1.8249355616270061E-12</v>
      </c>
      <c r="BH121" s="59">
        <f t="shared" si="62"/>
        <v>288.56242924216718</v>
      </c>
      <c r="BI121" s="59">
        <f ca="1">AVERAGE(OFFSET($BH$3,0,0,'Données projet'!$E$11+1,1))-AVERAGE(OFFSET($H$3,0,0,'Données projet'!$E$11+1,1))</f>
        <v>128.92423054779167</v>
      </c>
      <c r="BJ121" s="59">
        <f t="shared" si="92"/>
        <v>127.5443711972687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13.343656778454907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13.343656778454907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68.698844338772375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7.9920000000000018</v>
      </c>
      <c r="BY121" s="12">
        <f>IF('Données projet'!$A$114&gt;35,BY120+BX121-CG120,IF(A121&lt;'Données projet'!$A$114,$BV$205^A121,IF(A121='Données projet'!$A$114,'Données projet'!$B$114,BY120+BX121-CG120)))</f>
        <v>360.46800000000059</v>
      </c>
      <c r="BZ121" s="13">
        <f>BY121*VLOOKUP('Données projet'!$B$12,Paramètres!$A$1:$I$89,3,0)*VLOOKUP('Données projet'!$B$12,Paramètres!$A$1:$I$89,5,0)</f>
        <v>326.15144640000051</v>
      </c>
      <c r="CA121" s="13">
        <f t="shared" si="93"/>
        <v>76.631859883081802</v>
      </c>
      <c r="CB121" s="20">
        <f t="shared" si="64"/>
        <v>701.51425844303503</v>
      </c>
      <c r="CC121" s="59">
        <f t="shared" si="65"/>
        <v>990.07668768520034</v>
      </c>
      <c r="CD121" s="59">
        <f ca="1">AVERAGE(OFFSET($CC$3,0,0,'Données projet'!$E$12+1,1))-AVERAGE(OFFSET($H$3,0,0,'Données projet'!$E$12+1,1))</f>
        <v>601.17090553269054</v>
      </c>
      <c r="CE121" s="59">
        <f t="shared" si="94"/>
        <v>279.37477930888042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57.066909782046707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57.066909782046707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68.698844338772375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7.3920000000000012</v>
      </c>
      <c r="CT121" s="12">
        <f>IF('Données projet'!$A$140&gt;35,CT120+CS121-DB120,IF(A121&lt;'Données projet'!$A$140,$CQ$205^A121,IF(A121='Données projet'!$A$140,'Données projet'!$B$140,CT120+CS121-DB120)))</f>
        <v>315.21999999999997</v>
      </c>
      <c r="CU121" s="17">
        <f>CT121*VLOOKUP('Données projet'!$B$13,Paramètres!$A$1:$I$89,3,0)*VLOOKUP('Données projet'!$B$13,Paramètres!$A$1:$I$89,5,0)</f>
        <v>299.96335199999999</v>
      </c>
      <c r="CV121" s="13">
        <f t="shared" si="95"/>
        <v>71.168780592597912</v>
      </c>
      <c r="CW121" s="20">
        <f t="shared" si="67"/>
        <v>646.38846426544126</v>
      </c>
      <c r="CX121" s="59">
        <f t="shared" si="68"/>
        <v>934.95089350760668</v>
      </c>
      <c r="CY121" s="59">
        <f ca="1">AVERAGE(OFFSET($CX$3,0,0,'Données projet'!$E$13+1,1))-AVERAGE(OFFSET($H$3,0,0,'Données projet'!$E$13+1,1))</f>
        <v>418.79317359649315</v>
      </c>
      <c r="CZ121" s="59">
        <f t="shared" si="96"/>
        <v>286.46514989661011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54.974881598862169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54.974881598862169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68.698844338772375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68.698844338772375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68.698844338772375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68.698844338772375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68.698844338772375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1.35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1.0581480000000003</v>
      </c>
      <c r="D122" s="11">
        <f t="shared" si="86"/>
        <v>0.48444143011244611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5.0195770788156979</v>
      </c>
      <c r="H122" s="67">
        <f t="shared" si="56"/>
        <v>226.68334325744584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68.721416480546395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7.9920000000000018</v>
      </c>
      <c r="N122" s="13">
        <f>IF('Données projet'!$A$36&gt;35,N121+M122-V121,IF(A122&lt;'Données projet'!$A$36,$K$205^A122,IF(A122='Données projet'!$A$36,'Données projet'!$B$36,N121+M122-V121)))</f>
        <v>368.4600000000006</v>
      </c>
      <c r="O122" s="13">
        <f>N122*VLOOKUP('Données projet'!$B$9,Paramètres!$A$1:$I$89,3,0)*VLOOKUP('Données projet'!$B$9,Paramètres!$A$1:$I$89,5,0)</f>
        <v>373.61844000000065</v>
      </c>
      <c r="P122" s="13">
        <f t="shared" si="87"/>
        <v>86.407156430415824</v>
      </c>
      <c r="Q122" s="20">
        <f t="shared" si="107"/>
        <v>801.21124711630875</v>
      </c>
      <c r="R122" s="59">
        <f t="shared" si="55"/>
        <v>1089.8564408783122</v>
      </c>
      <c r="S122" s="59">
        <f ca="1">AVERAGE(OFFSET($R$3,0,0,'Données projet'!$E$9+1,1))-AVERAGE(OFFSET($H$3,0,0,'Données projet'!$E$9+1,1))</f>
        <v>665.7907881991157</v>
      </c>
      <c r="T122" s="59">
        <f t="shared" si="88"/>
        <v>306.76923535735227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62.700190719981414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62.700190719981414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68.721416480546395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-4.5474735088646412E-13</v>
      </c>
      <c r="AJ122" s="13">
        <f>AI122*VLOOKUP('Données projet'!$B$10,Paramètres!$A$1:$I$89,3,0)*VLOOKUP('Données projet'!$B$10,Paramètres!$A$1:$I$89,5,0)</f>
        <v>-2.1282176021486519E-13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370.42479501931444</v>
      </c>
      <c r="AO122" s="59">
        <f t="shared" si="90"/>
        <v>351.95632347830144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156.44539741774085</v>
      </c>
      <c r="AV122" s="21">
        <f>EXP(-LN(2)/25)*AV121+(1-EXP(-LN(2)/25))/(LN(2)/25)*Calculateur!AQ122*Calculateur!AS122*VLOOKUP('Données projet'!$B$10,Paramètres!$A$1:$I$89,3,0)*0.475*44/12</f>
        <v>57.153019468630049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213.5984168863709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68.721416480546395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7.1054273576010019E-14</v>
      </c>
      <c r="BE122" s="13">
        <f>BD122*VLOOKUP('Données projet'!$B$11,Paramètres!$A$1:$I$89,3,0)*VLOOKUP('Données projet'!$B$11,Paramètres!$A$1:$I$89,5,0)</f>
        <v>6.2073013396002357E-14</v>
      </c>
      <c r="BF122" s="13">
        <f t="shared" si="91"/>
        <v>9.8573687844725482E-13</v>
      </c>
      <c r="BG122" s="20">
        <f t="shared" si="61"/>
        <v>1.8249355616270061E-12</v>
      </c>
      <c r="BH122" s="59">
        <f t="shared" si="62"/>
        <v>288.64519376200525</v>
      </c>
      <c r="BI122" s="59">
        <f ca="1">AVERAGE(OFFSET($BH$3,0,0,'Données projet'!$E$11+1,1))-AVERAGE(OFFSET($H$3,0,0,'Données projet'!$E$11+1,1))</f>
        <v>128.92423054779167</v>
      </c>
      <c r="BJ122" s="59">
        <f t="shared" si="92"/>
        <v>127.5443711972687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13.081995807856398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13.081995807856398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68.721416480546395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7.9920000000000018</v>
      </c>
      <c r="BY122" s="12">
        <f>IF('Données projet'!$A$114&gt;35,BY121+BX122-CG121,IF(A122&lt;'Données projet'!$A$114,$BV$205^A122,IF(A122='Données projet'!$A$114,'Données projet'!$B$114,BY121+BX122-CG121)))</f>
        <v>368.4600000000006</v>
      </c>
      <c r="BZ122" s="13">
        <f>BY122*VLOOKUP('Données projet'!$B$12,Paramètres!$A$1:$I$89,3,0)*VLOOKUP('Données projet'!$B$12,Paramètres!$A$1:$I$89,5,0)</f>
        <v>333.38260800000052</v>
      </c>
      <c r="CA122" s="13">
        <f t="shared" si="93"/>
        <v>78.13119132485231</v>
      </c>
      <c r="CB122" s="20">
        <f t="shared" si="64"/>
        <v>716.71986715745197</v>
      </c>
      <c r="CC122" s="59">
        <f t="shared" si="65"/>
        <v>1005.3650609194553</v>
      </c>
      <c r="CD122" s="59">
        <f ca="1">AVERAGE(OFFSET($CC$3,0,0,'Données projet'!$E$12+1,1))-AVERAGE(OFFSET($H$3,0,0,'Données projet'!$E$12+1,1))</f>
        <v>601.17090553269054</v>
      </c>
      <c r="CE122" s="59">
        <f t="shared" si="94"/>
        <v>279.37477930888042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55.947862488598794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55.947862488598794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68.721416480546395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7.3920000000000012</v>
      </c>
      <c r="CT122" s="12">
        <f>IF('Données projet'!$A$140&gt;35,CT121+CS122-DB121,IF(A122&lt;'Données projet'!$A$140,$CQ$205^A122,IF(A122='Données projet'!$A$140,'Données projet'!$B$140,CT121+CS122-DB121)))</f>
        <v>322.61199999999997</v>
      </c>
      <c r="CU122" s="17">
        <f>CT122*VLOOKUP('Données projet'!$B$13,Paramètres!$A$1:$I$89,3,0)*VLOOKUP('Données projet'!$B$13,Paramètres!$A$1:$I$89,5,0)</f>
        <v>306.99757919999996</v>
      </c>
      <c r="CV122" s="13">
        <f t="shared" si="95"/>
        <v>72.641450487047308</v>
      </c>
      <c r="CW122" s="20">
        <f t="shared" si="67"/>
        <v>661.20464337160729</v>
      </c>
      <c r="CX122" s="59">
        <f t="shared" si="68"/>
        <v>949.84983713361066</v>
      </c>
      <c r="CY122" s="59">
        <f ca="1">AVERAGE(OFFSET($CX$3,0,0,'Données projet'!$E$13+1,1))-AVERAGE(OFFSET($H$3,0,0,'Données projet'!$E$13+1,1))</f>
        <v>418.79317359649315</v>
      </c>
      <c r="CZ122" s="59">
        <f t="shared" si="96"/>
        <v>286.46514989661011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53.896857702075309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53.896857702075309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68.721416480546395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68.721416480546395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68.721416480546395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68.721416480546395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68.721416480546395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1.35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1.0670400000000002</v>
      </c>
      <c r="D123" s="11">
        <f t="shared" si="86"/>
        <v>0.48803675573769284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5.0205410127236112</v>
      </c>
      <c r="H123" s="67">
        <f t="shared" si="56"/>
        <v>226.70509201624316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68.743597046124407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7.9920000000000018</v>
      </c>
      <c r="N123" s="13">
        <f>IF('Données projet'!$A$36&gt;35,N122+M123-V122,IF(A123&lt;'Données projet'!$A$36,$K$205^A123,IF(A123='Données projet'!$A$36,'Données projet'!$B$36,N122+M123-V122)))</f>
        <v>376.45200000000062</v>
      </c>
      <c r="O123" s="13">
        <f>N123*VLOOKUP('Données projet'!$B$9,Paramètres!$A$1:$I$89,3,0)*VLOOKUP('Données projet'!$B$9,Paramètres!$A$1:$I$89,5,0)</f>
        <v>381.72232800000063</v>
      </c>
      <c r="P123" s="13">
        <f t="shared" si="87"/>
        <v>88.061121525232409</v>
      </c>
      <c r="Q123" s="20">
        <f t="shared" si="107"/>
        <v>818.20617458978086</v>
      </c>
      <c r="R123" s="59">
        <f t="shared" si="55"/>
        <v>1106.932697092237</v>
      </c>
      <c r="S123" s="59">
        <f ca="1">AVERAGE(OFFSET($R$3,0,0,'Données projet'!$E$9+1,1))-AVERAGE(OFFSET($H$3,0,0,'Données projet'!$E$9+1,1))</f>
        <v>665.7907881991157</v>
      </c>
      <c r="T123" s="59">
        <f t="shared" si="88"/>
        <v>306.76923535735227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61.470678223302698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61.470678223302698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68.743597046124407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-4.5474735088646412E-13</v>
      </c>
      <c r="AJ123" s="13">
        <f>AI123*VLOOKUP('Données projet'!$B$10,Paramètres!$A$1:$I$89,3,0)*VLOOKUP('Données projet'!$B$10,Paramètres!$A$1:$I$89,5,0)</f>
        <v>-2.1282176021486519E-13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370.42479501931444</v>
      </c>
      <c r="AO123" s="59">
        <f t="shared" si="90"/>
        <v>351.95632347830144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153.37759859664922</v>
      </c>
      <c r="AV123" s="21">
        <f>EXP(-LN(2)/25)*AV122+(1-EXP(-LN(2)/25))/(LN(2)/25)*Calculateur!AQ123*Calculateur!AS123*VLOOKUP('Données projet'!$B$10,Paramètres!$A$1:$I$89,3,0)*0.475*44/12</f>
        <v>55.590167145713693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208.96776574236293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68.743597046124407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7.1054273576010019E-14</v>
      </c>
      <c r="BE123" s="13">
        <f>BD123*VLOOKUP('Données projet'!$B$11,Paramètres!$A$1:$I$89,3,0)*VLOOKUP('Données projet'!$B$11,Paramètres!$A$1:$I$89,5,0)</f>
        <v>6.2073013396002357E-14</v>
      </c>
      <c r="BF123" s="13">
        <f t="shared" si="91"/>
        <v>9.8573687844725482E-13</v>
      </c>
      <c r="BG123" s="20">
        <f t="shared" si="61"/>
        <v>1.8249355616270061E-12</v>
      </c>
      <c r="BH123" s="59">
        <f t="shared" si="62"/>
        <v>288.72652250245795</v>
      </c>
      <c r="BI123" s="59">
        <f ca="1">AVERAGE(OFFSET($BH$3,0,0,'Données projet'!$E$11+1,1))-AVERAGE(OFFSET($H$3,0,0,'Données projet'!$E$11+1,1))</f>
        <v>128.92423054779167</v>
      </c>
      <c r="BJ123" s="59">
        <f t="shared" si="92"/>
        <v>127.5443711972687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12.825465849293893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12.825465849293893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68.743597046124407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7.9920000000000018</v>
      </c>
      <c r="BY123" s="12">
        <f>IF('Données projet'!$A$114&gt;35,BY122+BX123-CG122,IF(A123&lt;'Données projet'!$A$114,$BV$205^A123,IF(A123='Données projet'!$A$114,'Données projet'!$B$114,BY122+BX123-CG122)))</f>
        <v>376.45200000000062</v>
      </c>
      <c r="BZ123" s="13">
        <f>BY123*VLOOKUP('Données projet'!$B$12,Paramètres!$A$1:$I$89,3,0)*VLOOKUP('Données projet'!$B$12,Paramètres!$A$1:$I$89,5,0)</f>
        <v>340.61376960000058</v>
      </c>
      <c r="CA123" s="13">
        <f t="shared" si="93"/>
        <v>79.626741793195919</v>
      </c>
      <c r="CB123" s="20">
        <f t="shared" si="64"/>
        <v>731.9188906764839</v>
      </c>
      <c r="CC123" s="59">
        <f t="shared" si="65"/>
        <v>1020.6454131789401</v>
      </c>
      <c r="CD123" s="59">
        <f ca="1">AVERAGE(OFFSET($CC$3,0,0,'Données projet'!$E$12+1,1))-AVERAGE(OFFSET($H$3,0,0,'Données projet'!$E$12+1,1))</f>
        <v>601.17090553269054</v>
      </c>
      <c r="CE123" s="59">
        <f t="shared" si="94"/>
        <v>279.37477930888042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54.850759030023944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54.850759030023944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68.743597046124407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7.3920000000000012</v>
      </c>
      <c r="CT123" s="12">
        <f>IF('Données projet'!$A$140&gt;35,CT122+CS123-DB122,IF(A123&lt;'Données projet'!$A$140,$CQ$205^A123,IF(A123='Données projet'!$A$140,'Données projet'!$B$140,CT122+CS123-DB122)))</f>
        <v>330.00399999999996</v>
      </c>
      <c r="CU123" s="17">
        <f>CT123*VLOOKUP('Données projet'!$B$13,Paramètres!$A$1:$I$89,3,0)*VLOOKUP('Données projet'!$B$13,Paramètres!$A$1:$I$89,5,0)</f>
        <v>314.03180639999994</v>
      </c>
      <c r="CV123" s="13">
        <f t="shared" si="95"/>
        <v>74.110197538040921</v>
      </c>
      <c r="CW123" s="20">
        <f t="shared" si="67"/>
        <v>676.01399019208782</v>
      </c>
      <c r="CX123" s="59">
        <f t="shared" si="68"/>
        <v>964.7405126945439</v>
      </c>
      <c r="CY123" s="59">
        <f ca="1">AVERAGE(OFFSET($CX$3,0,0,'Données projet'!$E$13+1,1))-AVERAGE(OFFSET($H$3,0,0,'Données projet'!$E$13+1,1))</f>
        <v>418.79317359649315</v>
      </c>
      <c r="CZ123" s="59">
        <f t="shared" si="96"/>
        <v>286.46514989661011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52.839973196374785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52.839973196374785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68.743597046124407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68.743597046124407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68.743597046124407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68.743597046124407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68.743597046124407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1.35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1.0759320000000001</v>
      </c>
      <c r="D124" s="11">
        <f t="shared" si="86"/>
        <v>0.49162859554528399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5.0215046775508645</v>
      </c>
      <c r="H124" s="67">
        <f t="shared" si="56"/>
        <v>226.72683470390803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68.765392828477957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7.9920000000000018</v>
      </c>
      <c r="N124" s="13">
        <f>IF('Données projet'!$A$36&gt;35,N123+M124-V123,IF(A124&lt;'Données projet'!$A$36,$K$205^A124,IF(A124='Données projet'!$A$36,'Données projet'!$B$36,N123+M124-V123)))</f>
        <v>384.44400000000064</v>
      </c>
      <c r="O124" s="13">
        <f>N124*VLOOKUP('Données projet'!$B$9,Paramètres!$A$1:$I$89,3,0)*VLOOKUP('Données projet'!$B$9,Paramètres!$A$1:$I$89,5,0)</f>
        <v>389.82621600000067</v>
      </c>
      <c r="P124" s="13">
        <f t="shared" si="87"/>
        <v>89.711004148391098</v>
      </c>
      <c r="Q124" s="20">
        <f t="shared" si="107"/>
        <v>835.19399175844899</v>
      </c>
      <c r="R124" s="59">
        <f t="shared" si="55"/>
        <v>1124.0004321295348</v>
      </c>
      <c r="S124" s="59">
        <f ca="1">AVERAGE(OFFSET($R$3,0,0,'Données projet'!$E$9+1,1))-AVERAGE(OFFSET($H$3,0,0,'Données projet'!$E$9+1,1))</f>
        <v>665.7907881991157</v>
      </c>
      <c r="T124" s="59">
        <f t="shared" si="88"/>
        <v>306.76923535735227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60.265275716755283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60.265275716755283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68.765392828477957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-4.5474735088646412E-13</v>
      </c>
      <c r="AJ124" s="13">
        <f>AI124*VLOOKUP('Données projet'!$B$10,Paramètres!$A$1:$I$89,3,0)*VLOOKUP('Données projet'!$B$10,Paramètres!$A$1:$I$89,5,0)</f>
        <v>-2.1282176021486519E-13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370.42479501931444</v>
      </c>
      <c r="AO124" s="59">
        <f t="shared" si="90"/>
        <v>351.95632347830144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150.36995743926667</v>
      </c>
      <c r="AV124" s="21">
        <f>EXP(-LN(2)/25)*AV123+(1-EXP(-LN(2)/25))/(LN(2)/25)*Calculateur!AQ124*Calculateur!AS124*VLOOKUP('Données projet'!$B$10,Paramètres!$A$1:$I$89,3,0)*0.475*44/12</f>
        <v>54.070051101754316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204.44000854102097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68.765392828477957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7.1054273576010019E-14</v>
      </c>
      <c r="BE124" s="13">
        <f>BD124*VLOOKUP('Données projet'!$B$11,Paramètres!$A$1:$I$89,3,0)*VLOOKUP('Données projet'!$B$11,Paramètres!$A$1:$I$89,5,0)</f>
        <v>6.2073013396002357E-14</v>
      </c>
      <c r="BF124" s="13">
        <f t="shared" si="91"/>
        <v>9.8573687844725482E-13</v>
      </c>
      <c r="BG124" s="20">
        <f t="shared" si="61"/>
        <v>1.8249355616270061E-12</v>
      </c>
      <c r="BH124" s="59">
        <f t="shared" si="62"/>
        <v>288.80644037108766</v>
      </c>
      <c r="BI124" s="59">
        <f ca="1">AVERAGE(OFFSET($BH$3,0,0,'Données projet'!$E$11+1,1))-AVERAGE(OFFSET($H$3,0,0,'Données projet'!$E$11+1,1))</f>
        <v>128.92423054779167</v>
      </c>
      <c r="BJ124" s="59">
        <f t="shared" si="92"/>
        <v>127.5443711972687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12.573966286750975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12.573966286750975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68.765392828477957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7.9920000000000018</v>
      </c>
      <c r="BY124" s="12">
        <f>IF('Données projet'!$A$114&gt;35,BY123+BX124-CG123,IF(A124&lt;'Données projet'!$A$114,$BV$205^A124,IF(A124='Données projet'!$A$114,'Données projet'!$B$114,BY123+BX124-CG123)))</f>
        <v>384.44400000000064</v>
      </c>
      <c r="BZ124" s="13">
        <f>BY124*VLOOKUP('Données projet'!$B$12,Paramètres!$A$1:$I$89,3,0)*VLOOKUP('Données projet'!$B$12,Paramètres!$A$1:$I$89,5,0)</f>
        <v>347.84493120000059</v>
      </c>
      <c r="CA124" s="13">
        <f t="shared" si="93"/>
        <v>81.11860080370937</v>
      </c>
      <c r="CB124" s="20">
        <f t="shared" si="64"/>
        <v>747.11148490646144</v>
      </c>
      <c r="CC124" s="59">
        <f t="shared" si="65"/>
        <v>1035.9179252775473</v>
      </c>
      <c r="CD124" s="59">
        <f ca="1">AVERAGE(OFFSET($CC$3,0,0,'Données projet'!$E$12+1,1))-AVERAGE(OFFSET($H$3,0,0,'Données projet'!$E$12+1,1))</f>
        <v>601.17090553269054</v>
      </c>
      <c r="CE124" s="59">
        <f t="shared" si="94"/>
        <v>279.37477930888042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53.775169101104709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53.775169101104709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68.765392828477957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7.3920000000000012</v>
      </c>
      <c r="CT124" s="12">
        <f>IF('Données projet'!$A$140&gt;35,CT123+CS124-DB123,IF(A124&lt;'Données projet'!$A$140,$CQ$205^A124,IF(A124='Données projet'!$A$140,'Données projet'!$B$140,CT123+CS124-DB123)))</f>
        <v>337.39599999999996</v>
      </c>
      <c r="CU124" s="17">
        <f>CT124*VLOOKUP('Données projet'!$B$13,Paramètres!$A$1:$I$89,3,0)*VLOOKUP('Données projet'!$B$13,Paramètres!$A$1:$I$89,5,0)</f>
        <v>321.06603359999997</v>
      </c>
      <c r="CV124" s="13">
        <f t="shared" si="95"/>
        <v>75.575119733127877</v>
      </c>
      <c r="CW124" s="20">
        <f t="shared" si="67"/>
        <v>690.81667538853105</v>
      </c>
      <c r="CX124" s="59">
        <f t="shared" si="68"/>
        <v>979.62311575961689</v>
      </c>
      <c r="CY124" s="59">
        <f ca="1">AVERAGE(OFFSET($CX$3,0,0,'Données projet'!$E$13+1,1))-AVERAGE(OFFSET($H$3,0,0,'Données projet'!$E$13+1,1))</f>
        <v>418.79317359649315</v>
      </c>
      <c r="CZ124" s="59">
        <f t="shared" si="96"/>
        <v>286.46514989661011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51.803813551195155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51.803813551195155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68.765392828477957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68.765392828477957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68.765392828477957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68.765392828477957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68.765392828477957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1.35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1.084824</v>
      </c>
      <c r="D125" s="11">
        <f t="shared" si="86"/>
        <v>0.49521698168219902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5.0224680757789768</v>
      </c>
      <c r="H125" s="67">
        <f t="shared" si="56"/>
        <v>226.74857137642982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68.786810502735719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7.9920000000000018</v>
      </c>
      <c r="N125" s="13">
        <f>IF('Données projet'!$A$36&gt;35,N124+M125-V124,IF(A125&lt;'Données projet'!$A$36,$K$205^A125,IF(A125='Données projet'!$A$36,'Données projet'!$B$36,N124+M125-V124)))</f>
        <v>392.43600000000066</v>
      </c>
      <c r="O125" s="13">
        <f>N125*VLOOKUP('Données projet'!$B$9,Paramètres!$A$1:$I$89,3,0)*VLOOKUP('Données projet'!$B$9,Paramètres!$A$1:$I$89,5,0)</f>
        <v>397.93010400000071</v>
      </c>
      <c r="P125" s="13">
        <f t="shared" si="87"/>
        <v>91.356898946098624</v>
      </c>
      <c r="Q125" s="20">
        <f t="shared" si="107"/>
        <v>852.17486346445639</v>
      </c>
      <c r="R125" s="59">
        <f t="shared" si="55"/>
        <v>1141.0598353078208</v>
      </c>
      <c r="S125" s="59">
        <f ca="1">AVERAGE(OFFSET($R$3,0,0,'Données projet'!$E$9+1,1))-AVERAGE(OFFSET($H$3,0,0,'Données projet'!$E$9+1,1))</f>
        <v>665.7907881991157</v>
      </c>
      <c r="T125" s="59">
        <f t="shared" si="88"/>
        <v>306.76923535735227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59.083510418138331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59.083510418138331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68.786810502735719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-4.5474735088646412E-13</v>
      </c>
      <c r="AJ125" s="13">
        <f>AI125*VLOOKUP('Données projet'!$B$10,Paramètres!$A$1:$I$89,3,0)*VLOOKUP('Données projet'!$B$10,Paramètres!$A$1:$I$89,5,0)</f>
        <v>-2.1282176021486519E-13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370.42479501931444</v>
      </c>
      <c r="AO125" s="59">
        <f t="shared" si="90"/>
        <v>351.95632347830144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147.42129429050041</v>
      </c>
      <c r="AV125" s="21">
        <f>EXP(-LN(2)/25)*AV124+(1-EXP(-LN(2)/25))/(LN(2)/25)*Calculateur!AQ125*Calculateur!AS125*VLOOKUP('Données projet'!$B$10,Paramètres!$A$1:$I$89,3,0)*0.475*44/12</f>
        <v>52.591502710956433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200.01279700145685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68.786810502735719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7.1054273576010019E-14</v>
      </c>
      <c r="BE125" s="13">
        <f>BD125*VLOOKUP('Données projet'!$B$11,Paramètres!$A$1:$I$89,3,0)*VLOOKUP('Données projet'!$B$11,Paramètres!$A$1:$I$89,5,0)</f>
        <v>6.2073013396002357E-14</v>
      </c>
      <c r="BF125" s="13">
        <f t="shared" si="91"/>
        <v>9.8573687844725482E-13</v>
      </c>
      <c r="BG125" s="20">
        <f t="shared" si="61"/>
        <v>1.8249355616270061E-12</v>
      </c>
      <c r="BH125" s="59">
        <f t="shared" si="62"/>
        <v>288.88497184336615</v>
      </c>
      <c r="BI125" s="59">
        <f ca="1">AVERAGE(OFFSET($BH$3,0,0,'Données projet'!$E$11+1,1))-AVERAGE(OFFSET($H$3,0,0,'Données projet'!$E$11+1,1))</f>
        <v>128.92423054779167</v>
      </c>
      <c r="BJ125" s="59">
        <f t="shared" si="92"/>
        <v>127.5443711972687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12.327398477229938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12.327398477229938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68.786810502735719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7.9920000000000018</v>
      </c>
      <c r="BY125" s="12">
        <f>IF('Données projet'!$A$114&gt;35,BY124+BX125-CG124,IF(A125&lt;'Données projet'!$A$114,$BV$205^A125,IF(A125='Données projet'!$A$114,'Données projet'!$B$114,BY124+BX125-CG124)))</f>
        <v>392.43600000000066</v>
      </c>
      <c r="BZ125" s="13">
        <f>BY125*VLOOKUP('Données projet'!$B$12,Paramètres!$A$1:$I$89,3,0)*VLOOKUP('Données projet'!$B$12,Paramètres!$A$1:$I$89,5,0)</f>
        <v>355.07609280000059</v>
      </c>
      <c r="CA125" s="13">
        <f t="shared" si="93"/>
        <v>82.606853937508674</v>
      </c>
      <c r="CB125" s="20">
        <f t="shared" si="64"/>
        <v>762.29779890116197</v>
      </c>
      <c r="CC125" s="59">
        <f t="shared" si="65"/>
        <v>1051.1827707445264</v>
      </c>
      <c r="CD125" s="59">
        <f ca="1">AVERAGE(OFFSET($CC$3,0,0,'Données projet'!$E$12+1,1))-AVERAGE(OFFSET($H$3,0,0,'Données projet'!$E$12+1,1))</f>
        <v>601.17090553269054</v>
      </c>
      <c r="CE125" s="59">
        <f t="shared" si="94"/>
        <v>279.37477930888042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52.720670834646505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52.720670834646505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68.786810502735719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7.3920000000000012</v>
      </c>
      <c r="CT125" s="12">
        <f>IF('Données projet'!$A$140&gt;35,CT124+CS125-DB124,IF(A125&lt;'Données projet'!$A$140,$CQ$205^A125,IF(A125='Données projet'!$A$140,'Données projet'!$B$140,CT124+CS125-DB124)))</f>
        <v>344.78799999999995</v>
      </c>
      <c r="CU125" s="17">
        <f>CT125*VLOOKUP('Données projet'!$B$13,Paramètres!$A$1:$I$89,3,0)*VLOOKUP('Données projet'!$B$13,Paramètres!$A$1:$I$89,5,0)</f>
        <v>328.10026079999994</v>
      </c>
      <c r="CV125" s="13">
        <f t="shared" si="95"/>
        <v>77.036310521053082</v>
      </c>
      <c r="CW125" s="20">
        <f t="shared" si="67"/>
        <v>705.61286171750055</v>
      </c>
      <c r="CX125" s="59">
        <f t="shared" si="68"/>
        <v>994.49783356086482</v>
      </c>
      <c r="CY125" s="59">
        <f ca="1">AVERAGE(OFFSET($CX$3,0,0,'Données projet'!$E$13+1,1))-AVERAGE(OFFSET($H$3,0,0,'Données projet'!$E$13+1,1))</f>
        <v>418.79317359649315</v>
      </c>
      <c r="CZ125" s="59">
        <f t="shared" si="96"/>
        <v>286.46514989661011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50.787972364662522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50.787972364662522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68.786810502735719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68.786810502735719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68.786810502735719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68.786810502735719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68.786810502735719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1.35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1.0937159999999999</v>
      </c>
      <c r="D126" s="11">
        <f t="shared" si="86"/>
        <v>0.4988019457379938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5.023431209846442</v>
      </c>
      <c r="H126" s="67">
        <f t="shared" si="56"/>
        <v>226.77030208882701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68.807856628227881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7.9920000000000018</v>
      </c>
      <c r="N126" s="13">
        <f>IF('Données projet'!$A$36&gt;35,N125+M126-V125,IF(A126&lt;'Données projet'!$A$36,$K$205^A126,IF(A126='Données projet'!$A$36,'Données projet'!$B$36,N125+M126-V125)))</f>
        <v>400.42800000000068</v>
      </c>
      <c r="O126" s="13">
        <f>N126*VLOOKUP('Données projet'!$B$9,Paramètres!$A$1:$I$89,3,0)*VLOOKUP('Données projet'!$B$9,Paramètres!$A$1:$I$89,5,0)</f>
        <v>406.03399200000069</v>
      </c>
      <c r="P126" s="13">
        <f t="shared" si="87"/>
        <v>92.998896489228883</v>
      </c>
      <c r="Q126" s="20">
        <f t="shared" si="107"/>
        <v>869.14894745207482</v>
      </c>
      <c r="R126" s="59">
        <f t="shared" si="55"/>
        <v>1158.1110884222437</v>
      </c>
      <c r="S126" s="59">
        <f ca="1">AVERAGE(OFFSET($R$3,0,0,'Données projet'!$E$9+1,1))-AVERAGE(OFFSET($H$3,0,0,'Données projet'!$E$9+1,1))</f>
        <v>665.7907881991157</v>
      </c>
      <c r="T126" s="59">
        <f t="shared" si="88"/>
        <v>306.76923535735227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57.924918816221599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57.924918816221599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68.807856628227881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-4.5474735088646412E-13</v>
      </c>
      <c r="AJ126" s="13">
        <f>AI126*VLOOKUP('Données projet'!$B$10,Paramètres!$A$1:$I$89,3,0)*VLOOKUP('Données projet'!$B$10,Paramètres!$A$1:$I$89,5,0)</f>
        <v>-2.1282176021486519E-13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370.42479501931444</v>
      </c>
      <c r="AO126" s="59">
        <f t="shared" si="90"/>
        <v>351.95632347830144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144.53045262757453</v>
      </c>
      <c r="AV126" s="21">
        <f>EXP(-LN(2)/25)*AV125+(1-EXP(-LN(2)/25))/(LN(2)/25)*Calculateur!AQ126*Calculateur!AS126*VLOOKUP('Données projet'!$B$10,Paramètres!$A$1:$I$89,3,0)*0.475*44/12</f>
        <v>51.153385303658403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195.68383793123294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68.807856628227881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7.1054273576010019E-14</v>
      </c>
      <c r="BE126" s="13">
        <f>BD126*VLOOKUP('Données projet'!$B$11,Paramètres!$A$1:$I$89,3,0)*VLOOKUP('Données projet'!$B$11,Paramètres!$A$1:$I$89,5,0)</f>
        <v>6.2073013396002357E-14</v>
      </c>
      <c r="BF126" s="13">
        <f t="shared" si="91"/>
        <v>9.8573687844725482E-13</v>
      </c>
      <c r="BG126" s="20">
        <f t="shared" si="61"/>
        <v>1.8249355616270061E-12</v>
      </c>
      <c r="BH126" s="59">
        <f t="shared" si="62"/>
        <v>288.96214097017071</v>
      </c>
      <c r="BI126" s="59">
        <f ca="1">AVERAGE(OFFSET($BH$3,0,0,'Données projet'!$E$11+1,1))-AVERAGE(OFFSET($H$3,0,0,'Données projet'!$E$11+1,1))</f>
        <v>128.92423054779167</v>
      </c>
      <c r="BJ126" s="59">
        <f t="shared" si="92"/>
        <v>127.5443711972687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12.085665712062093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12.085665712062093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68.807856628227881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7.9920000000000018</v>
      </c>
      <c r="BY126" s="12">
        <f>IF('Données projet'!$A$114&gt;35,BY125+BX126-CG125,IF(A126&lt;'Données projet'!$A$114,$BV$205^A126,IF(A126='Données projet'!$A$114,'Données projet'!$B$114,BY125+BX126-CG125)))</f>
        <v>400.42800000000068</v>
      </c>
      <c r="BZ126" s="13">
        <f>BY126*VLOOKUP('Données projet'!$B$12,Paramètres!$A$1:$I$89,3,0)*VLOOKUP('Données projet'!$B$12,Paramètres!$A$1:$I$89,5,0)</f>
        <v>362.3072544000006</v>
      </c>
      <c r="CA126" s="13">
        <f t="shared" si="93"/>
        <v>84.09158309070763</v>
      </c>
      <c r="CB126" s="20">
        <f t="shared" si="64"/>
        <v>777.4779752963168</v>
      </c>
      <c r="CC126" s="59">
        <f t="shared" si="65"/>
        <v>1066.4401162664858</v>
      </c>
      <c r="CD126" s="59">
        <f ca="1">AVERAGE(OFFSET($CC$3,0,0,'Données projet'!$E$12+1,1))-AVERAGE(OFFSET($H$3,0,0,'Données projet'!$E$12+1,1))</f>
        <v>601.17090553269054</v>
      </c>
      <c r="CE126" s="59">
        <f t="shared" si="94"/>
        <v>279.37477930888042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51.686850636013112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51.686850636013112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68.807856628227881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352.18</v>
      </c>
      <c r="CR126" s="12">
        <f>VLOOKUP(A126,'Données projet'!$A$139:$I$159,9,0)</f>
        <v>7.3920000000000012</v>
      </c>
      <c r="CS126" s="12">
        <f t="array" ref="CS126">INDEX(CR:CR,MIN(IF(ISNUMBER(CR126:CR322),ROW(CR126:CR322),"")))</f>
        <v>7.3920000000000012</v>
      </c>
      <c r="CT126" s="12">
        <f>IF('Données projet'!$A$140&gt;35,CT125+CS126-DB125,IF(A126&lt;'Données projet'!$A$140,$CQ$205^A126,IF(A126='Données projet'!$A$140,'Données projet'!$B$140,CT125+CS126-DB125)))</f>
        <v>352.17999999999995</v>
      </c>
      <c r="CU126" s="17">
        <f>CT126*VLOOKUP('Données projet'!$B$13,Paramètres!$A$1:$I$89,3,0)*VLOOKUP('Données projet'!$B$13,Paramètres!$A$1:$I$89,5,0)</f>
        <v>335.13448799999998</v>
      </c>
      <c r="CV126" s="13">
        <f t="shared" si="95"/>
        <v>78.49385911472497</v>
      </c>
      <c r="CW126" s="20">
        <f t="shared" si="67"/>
        <v>720.40270455814596</v>
      </c>
      <c r="CX126" s="59">
        <f t="shared" si="68"/>
        <v>1009.3648455283148</v>
      </c>
      <c r="CY126" s="59">
        <f ca="1">AVERAGE(OFFSET($CX$3,0,0,'Données projet'!$E$13+1,1))-AVERAGE(OFFSET($H$3,0,0,'Données projet'!$E$13+1,1))</f>
        <v>418.79317359649315</v>
      </c>
      <c r="CZ126" s="59">
        <f t="shared" si="96"/>
        <v>286.46514989661011</v>
      </c>
      <c r="DA126" s="15">
        <f>IF(ISNA(VLOOKUP(A126,'Données projet'!$A$139:$I$159,3,0)),0,VLOOKUP(A126,'Données projet'!$A$139:$I$159,3,0))</f>
        <v>11</v>
      </c>
      <c r="DB126" s="15">
        <f>IF(ISNA(VLOOKUP(A126,'Données projet'!$A$139:$I$159,4,0)),0,VLOOKUP(A126,'Données projet'!$A$139:$I$159,4,0))</f>
        <v>175.3</v>
      </c>
      <c r="DC126" s="16">
        <f>IF(ISNA(VLOOKUP(A126,'Données projet'!$A$139:$I$159,5,0)),0%,VLOOKUP(A126,'Données projet'!$A$139:$I$159,5,0)*VLOOKUP('Données projet'!$B$13,Paramètres!$A$1:$I$89,7,0))</f>
        <v>0.25800000000000001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97.36972077698924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97.36972077698924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68.807856628227881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68.807856628227881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68.807856628227881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68.807856628227881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68.807856628227881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1.35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1.1026079999999998</v>
      </c>
      <c r="D127" s="11">
        <f t="shared" si="86"/>
        <v>0.50238351875891751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5.0243940821498114</v>
      </c>
      <c r="H127" s="67">
        <f t="shared" si="56"/>
        <v>226.79202689517177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68.828537650494823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408.42</v>
      </c>
      <c r="L127" s="12">
        <f>VLOOKUP(A127,'Données projet'!$A$35:$I$55,9,0)</f>
        <v>7.9920000000000018</v>
      </c>
      <c r="M127" s="12">
        <f t="array" ref="M127">INDEX(L:L,MIN(IF(ISNUMBER(L127:L323),ROW(L127:L323),"")))</f>
        <v>7.9920000000000018</v>
      </c>
      <c r="N127" s="13">
        <f>IF('Données projet'!$A$36&gt;35,N126+M127-V126,IF(A127&lt;'Données projet'!$A$36,$K$205^A127,IF(A127='Données projet'!$A$36,'Données projet'!$B$36,N126+M127-V126)))</f>
        <v>408.4200000000007</v>
      </c>
      <c r="O127" s="13">
        <f>N127*VLOOKUP('Données projet'!$B$9,Paramètres!$A$1:$I$89,3,0)*VLOOKUP('Données projet'!$B$9,Paramètres!$A$1:$I$89,5,0)</f>
        <v>414.13788000000073</v>
      </c>
      <c r="P127" s="13">
        <f t="shared" si="87"/>
        <v>94.637083526579147</v>
      </c>
      <c r="Q127" s="20">
        <f t="shared" si="107"/>
        <v>886.1163948087933</v>
      </c>
      <c r="R127" s="59">
        <f t="shared" si="55"/>
        <v>1175.1543661939409</v>
      </c>
      <c r="S127" s="59">
        <f ca="1">AVERAGE(OFFSET($R$3,0,0,'Données projet'!$E$9+1,1))-AVERAGE(OFFSET($H$3,0,0,'Données projet'!$E$9+1,1))</f>
        <v>665.7907881991157</v>
      </c>
      <c r="T127" s="59">
        <f t="shared" si="88"/>
        <v>306.76923535735227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52.53</v>
      </c>
      <c r="W127" s="16">
        <f>IF(ISNA(VLOOKUP(A127,'Données projet'!$A$35:$I$55,5,0)),0%,VLOOKUP(A127,'Données projet'!$A$35:$I$55,5,0)*VLOOKUP('Données projet'!$B$9,Paramètres!$A$1:$I$89,7,0))</f>
        <v>0.25800000000000001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71.980949257299912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71.980949257299912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68.828537650494823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-4.5474735088646412E-13</v>
      </c>
      <c r="AJ127" s="13">
        <f>AI127*VLOOKUP('Données projet'!$B$10,Paramètres!$A$1:$I$89,3,0)*VLOOKUP('Données projet'!$B$10,Paramètres!$A$1:$I$89,5,0)</f>
        <v>-2.1282176021486519E-13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370.42479501931444</v>
      </c>
      <c r="AO127" s="59">
        <f t="shared" si="90"/>
        <v>351.95632347830144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141.69629860641933</v>
      </c>
      <c r="AV127" s="21">
        <f>EXP(-LN(2)/25)*AV126+(1-EXP(-LN(2)/25))/(LN(2)/25)*Calculateur!AQ127*Calculateur!AS127*VLOOKUP('Données projet'!$B$10,Paramètres!$A$1:$I$89,3,0)*0.475*44/12</f>
        <v>49.754593292490242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191.45089189890956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68.828537650494823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7.1054273576010019E-14</v>
      </c>
      <c r="BE127" s="13">
        <f>BD127*VLOOKUP('Données projet'!$B$11,Paramètres!$A$1:$I$89,3,0)*VLOOKUP('Données projet'!$B$11,Paramètres!$A$1:$I$89,5,0)</f>
        <v>6.2073013396002357E-14</v>
      </c>
      <c r="BF127" s="13">
        <f t="shared" si="91"/>
        <v>9.8573687844725482E-13</v>
      </c>
      <c r="BG127" s="20">
        <f t="shared" si="61"/>
        <v>1.8249355616270061E-12</v>
      </c>
      <c r="BH127" s="59">
        <f t="shared" si="62"/>
        <v>289.03797138514949</v>
      </c>
      <c r="BI127" s="59">
        <f ca="1">AVERAGE(OFFSET($BH$3,0,0,'Données projet'!$E$11+1,1))-AVERAGE(OFFSET($H$3,0,0,'Données projet'!$E$11+1,1))</f>
        <v>128.92423054779167</v>
      </c>
      <c r="BJ127" s="59">
        <f t="shared" si="92"/>
        <v>127.5443711972687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11.848673178976762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11.848673178976762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68.828537650494823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408.42</v>
      </c>
      <c r="BW127" s="12">
        <f>VLOOKUP(A127,'Données projet'!$A$113:$I$133,9,0)</f>
        <v>7.9920000000000018</v>
      </c>
      <c r="BX127" s="12">
        <f t="array" ref="BX127">INDEX(BW:BW,MIN(IF(ISNUMBER(BW127:BW323),ROW(BW127:BW323),"")))</f>
        <v>7.9920000000000018</v>
      </c>
      <c r="BY127" s="12">
        <f>IF('Données projet'!$A$114&gt;35,BY126+BX127-CG126,IF(A127&lt;'Données projet'!$A$114,$BV$205^A127,IF(A127='Données projet'!$A$114,'Données projet'!$B$114,BY126+BX127-CG126)))</f>
        <v>408.4200000000007</v>
      </c>
      <c r="BZ127" s="13">
        <f>BY127*VLOOKUP('Données projet'!$B$12,Paramètres!$A$1:$I$89,3,0)*VLOOKUP('Données projet'!$B$12,Paramètres!$A$1:$I$89,5,0)</f>
        <v>369.53841600000061</v>
      </c>
      <c r="CA127" s="13">
        <f t="shared" si="93"/>
        <v>85.572866703416025</v>
      </c>
      <c r="CB127" s="20">
        <f t="shared" si="64"/>
        <v>792.65215070845068</v>
      </c>
      <c r="CC127" s="59">
        <f t="shared" si="65"/>
        <v>1081.6901220935983</v>
      </c>
      <c r="CD127" s="59">
        <f ca="1">AVERAGE(OFFSET($CC$3,0,0,'Données projet'!$E$12+1,1))-AVERAGE(OFFSET($H$3,0,0,'Données projet'!$E$12+1,1))</f>
        <v>601.17090553269054</v>
      </c>
      <c r="CE127" s="59">
        <f t="shared" si="94"/>
        <v>279.37477930888042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52.53</v>
      </c>
      <c r="CH127" s="16">
        <f>IF(ISNA(VLOOKUP(A127,'Données projet'!$A$113:$I$133,5,0)),0%,VLOOKUP(A127,'Données projet'!$A$113:$I$133,5,0)*VLOOKUP('Données projet'!$B$12,Paramètres!$A$1:$I$89,7,0))</f>
        <v>0.25800000000000001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64.229154721898368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64.229154721898368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68.828537650494823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4.085000000000008</v>
      </c>
      <c r="CT127" s="12">
        <f>IF('Données projet'!$A$140&gt;35,CT126+CS127-DB126,IF(A127&lt;'Données projet'!$A$140,$CQ$205^A127,IF(A127='Données projet'!$A$140,'Données projet'!$B$140,CT126+CS127-DB126)))</f>
        <v>180.96499999999997</v>
      </c>
      <c r="CU127" s="17">
        <f>CT127*VLOOKUP('Données projet'!$B$13,Paramètres!$A$1:$I$89,3,0)*VLOOKUP('Données projet'!$B$13,Paramètres!$A$1:$I$89,5,0)</f>
        <v>172.20629399999999</v>
      </c>
      <c r="CV127" s="13">
        <f t="shared" si="95"/>
        <v>43.583788601120681</v>
      </c>
      <c r="CW127" s="20">
        <f t="shared" si="67"/>
        <v>375.83439386361852</v>
      </c>
      <c r="CX127" s="59">
        <f t="shared" si="68"/>
        <v>664.87236524876619</v>
      </c>
      <c r="CY127" s="59">
        <f ca="1">AVERAGE(OFFSET($CX$3,0,0,'Données projet'!$E$13+1,1))-AVERAGE(OFFSET($H$3,0,0,'Données projet'!$E$13+1,1))</f>
        <v>418.79317359649315</v>
      </c>
      <c r="CZ127" s="59">
        <f t="shared" si="96"/>
        <v>286.46514989661011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95.460359942217906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95.460359942217906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68.828537650494823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68.828537650494823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68.828537650494823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68.828537650494823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68.828537650494823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1.35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1.1114999999999997</v>
      </c>
      <c r="D128" s="11">
        <f t="shared" si="86"/>
        <v>0.50596173126156174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5.0253566950447519</v>
      </c>
      <c r="H128" s="67">
        <f t="shared" si="56"/>
        <v>226.81374584861388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68.848859903261271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8.0699999999999985</v>
      </c>
      <c r="N128" s="13">
        <f>IF('Données projet'!$A$36&gt;35,N127+M128-V127,IF(A128&lt;'Données projet'!$A$36,$K$205^A128,IF(A128='Données projet'!$A$36,'Données projet'!$B$36,N127+M128-V127)))</f>
        <v>363.96000000000072</v>
      </c>
      <c r="O128" s="13">
        <f>N128*VLOOKUP('Données projet'!$B$9,Paramètres!$A$1:$I$89,3,0)*VLOOKUP('Données projet'!$B$9,Paramètres!$A$1:$I$89,5,0)</f>
        <v>369.05544000000071</v>
      </c>
      <c r="P128" s="13">
        <f t="shared" si="87"/>
        <v>85.474036248241589</v>
      </c>
      <c r="Q128" s="20">
        <f t="shared" si="107"/>
        <v>791.63883779902199</v>
      </c>
      <c r="R128" s="59">
        <f t="shared" si="55"/>
        <v>1080.75132411098</v>
      </c>
      <c r="S128" s="59">
        <f ca="1">AVERAGE(OFFSET($R$3,0,0,'Données projet'!$E$9+1,1))-AVERAGE(OFFSET($H$3,0,0,'Données projet'!$E$9+1,1))</f>
        <v>665.7907881991157</v>
      </c>
      <c r="T128" s="59">
        <f t="shared" si="88"/>
        <v>306.76923535735227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70.569446746408147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70.569446746408147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68.848859903261271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-4.5474735088646412E-13</v>
      </c>
      <c r="AJ128" s="13">
        <f>AI128*VLOOKUP('Données projet'!$B$10,Paramètres!$A$1:$I$89,3,0)*VLOOKUP('Données projet'!$B$10,Paramètres!$A$1:$I$89,5,0)</f>
        <v>-2.1282176021486519E-13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370.42479501931444</v>
      </c>
      <c r="AO128" s="59">
        <f t="shared" si="90"/>
        <v>351.95632347830144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138.91772061695573</v>
      </c>
      <c r="AV128" s="21">
        <f>EXP(-LN(2)/25)*AV127+(1-EXP(-LN(2)/25))/(LN(2)/25)*Calculateur!AQ128*Calculateur!AS128*VLOOKUP('Données projet'!$B$10,Paramètres!$A$1:$I$89,3,0)*0.475*44/12</f>
        <v>48.394051322426748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187.31177193938248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68.848859903261271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7.1054273576010019E-14</v>
      </c>
      <c r="BE128" s="13">
        <f>BD128*VLOOKUP('Données projet'!$B$11,Paramètres!$A$1:$I$89,3,0)*VLOOKUP('Données projet'!$B$11,Paramètres!$A$1:$I$89,5,0)</f>
        <v>6.2073013396002357E-14</v>
      </c>
      <c r="BF128" s="13">
        <f t="shared" si="91"/>
        <v>9.8573687844725482E-13</v>
      </c>
      <c r="BG128" s="20">
        <f t="shared" si="61"/>
        <v>1.8249355616270061E-12</v>
      </c>
      <c r="BH128" s="59">
        <f t="shared" si="62"/>
        <v>289.1124863119598</v>
      </c>
      <c r="BI128" s="59">
        <f ca="1">AVERAGE(OFFSET($BH$3,0,0,'Données projet'!$E$11+1,1))-AVERAGE(OFFSET($H$3,0,0,'Données projet'!$E$11+1,1))</f>
        <v>128.92423054779167</v>
      </c>
      <c r="BJ128" s="59">
        <f t="shared" si="92"/>
        <v>127.5443711972687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11.616327924914062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11.616327924914062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68.848859903261271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8.0699999999999985</v>
      </c>
      <c r="BY128" s="12">
        <f>IF('Données projet'!$A$114&gt;35,BY127+BX128-CG127,IF(A128&lt;'Données projet'!$A$114,$BV$205^A128,IF(A128='Données projet'!$A$114,'Données projet'!$B$114,BY127+BX128-CG127)))</f>
        <v>363.96000000000072</v>
      </c>
      <c r="BZ128" s="13">
        <f>BY128*VLOOKUP('Données projet'!$B$12,Paramètres!$A$1:$I$89,3,0)*VLOOKUP('Données projet'!$B$12,Paramètres!$A$1:$I$89,5,0)</f>
        <v>329.31100800000064</v>
      </c>
      <c r="CA128" s="13">
        <f t="shared" si="93"/>
        <v>77.287444180583748</v>
      </c>
      <c r="CB128" s="20">
        <f t="shared" si="64"/>
        <v>708.15897088118447</v>
      </c>
      <c r="CC128" s="59">
        <f t="shared" si="65"/>
        <v>997.2714571931424</v>
      </c>
      <c r="CD128" s="59">
        <f ca="1">AVERAGE(OFFSET($CC$3,0,0,'Données projet'!$E$12+1,1))-AVERAGE(OFFSET($H$3,0,0,'Données projet'!$E$12+1,1))</f>
        <v>601.17090553269054</v>
      </c>
      <c r="CE128" s="59">
        <f t="shared" si="94"/>
        <v>279.37477930888042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62.969660173718019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62.969660173718019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68.848859903261271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185.05</v>
      </c>
      <c r="CR128" s="12">
        <f>VLOOKUP(A128,'Données projet'!$A$139:$I$159,9,0)</f>
        <v>4.085000000000008</v>
      </c>
      <c r="CS128" s="12">
        <f t="array" ref="CS128">INDEX(CR:CR,MIN(IF(ISNUMBER(CR128:CR324),ROW(CR128:CR324),"")))</f>
        <v>4.085000000000008</v>
      </c>
      <c r="CT128" s="12">
        <f>IF('Données projet'!$A$140&gt;35,CT127+CS128-DB127,IF(A128&lt;'Données projet'!$A$140,$CQ$205^A128,IF(A128='Données projet'!$A$140,'Données projet'!$B$140,CT127+CS128-DB127)))</f>
        <v>185.04999999999998</v>
      </c>
      <c r="CU128" s="17">
        <f>CT128*VLOOKUP('Données projet'!$B$13,Paramètres!$A$1:$I$89,3,0)*VLOOKUP('Données projet'!$B$13,Paramètres!$A$1:$I$89,5,0)</f>
        <v>176.09357999999997</v>
      </c>
      <c r="CV128" s="13">
        <f t="shared" si="95"/>
        <v>44.451972971937508</v>
      </c>
      <c r="CW128" s="20">
        <f t="shared" si="67"/>
        <v>384.11683809279111</v>
      </c>
      <c r="CX128" s="59">
        <f t="shared" si="68"/>
        <v>673.22932440474915</v>
      </c>
      <c r="CY128" s="59">
        <f ca="1">AVERAGE(OFFSET($CX$3,0,0,'Données projet'!$E$13+1,1))-AVERAGE(OFFSET($H$3,0,0,'Données projet'!$E$13+1,1))</f>
        <v>418.79317359649315</v>
      </c>
      <c r="CZ128" s="59">
        <f t="shared" si="96"/>
        <v>286.46514989661011</v>
      </c>
      <c r="DA128" s="15">
        <f>IF(ISNA(VLOOKUP(A128,'Données projet'!$A$139:$I$159,3,0)),0,VLOOKUP(A128,'Données projet'!$A$139:$I$159,3,0))</f>
        <v>12</v>
      </c>
      <c r="DB128" s="15">
        <f>IF(ISNA(VLOOKUP(A128,'Données projet'!$A$139:$I$159,4,0)),0,VLOOKUP(A128,'Données projet'!$A$139:$I$159,4,0))</f>
        <v>60.7</v>
      </c>
      <c r="DC128" s="16">
        <f>IF(ISNA(VLOOKUP(A128,'Données projet'!$A$139:$I$159,5,0)),0%,VLOOKUP(A128,'Données projet'!$A$139:$I$159,5,0)*VLOOKUP('Données projet'!$B$13,Paramètres!$A$1:$I$89,7,0))</f>
        <v>0.25800000000000001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110.06285319033051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110.06285319033051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68.848859903261271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68.848859903261271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68.848859903261271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68.848859903261271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68.848859903261271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1.35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1.1203919999999996</v>
      </c>
      <c r="D129" s="11">
        <f t="shared" si="86"/>
        <v>0.50953661324605981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5.0263190508470643</v>
      </c>
      <c r="H129" s="67">
        <f t="shared" si="56"/>
        <v>226.83545900140356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68.868829610375982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8.0699999999999985</v>
      </c>
      <c r="N129" s="13">
        <f>IF('Données projet'!$A$36&gt;35,N128+M129-V128,IF(A129&lt;'Données projet'!$A$36,$K$205^A129,IF(A129='Données projet'!$A$36,'Données projet'!$B$36,N128+M129-V128)))</f>
        <v>372.03000000000071</v>
      </c>
      <c r="O129" s="13">
        <f>N129*VLOOKUP('Données projet'!$B$9,Paramètres!$A$1:$I$89,3,0)*VLOOKUP('Données projet'!$B$9,Paramètres!$A$1:$I$89,5,0)</f>
        <v>377.23842000000076</v>
      </c>
      <c r="P129" s="13">
        <f t="shared" si="87"/>
        <v>87.146487914300891</v>
      </c>
      <c r="Q129" s="20">
        <f t="shared" si="107"/>
        <v>808.80371461740867</v>
      </c>
      <c r="R129" s="59">
        <f t="shared" si="55"/>
        <v>1097.9894231887872</v>
      </c>
      <c r="S129" s="59">
        <f ca="1">AVERAGE(OFFSET($R$3,0,0,'Données projet'!$E$9+1,1))-AVERAGE(OFFSET($H$3,0,0,'Données projet'!$E$9+1,1))</f>
        <v>665.7907881991157</v>
      </c>
      <c r="T129" s="59">
        <f t="shared" si="88"/>
        <v>306.76923535735227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69.185622938823442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69.185622938823442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68.868829610375982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-4.5474735088646412E-13</v>
      </c>
      <c r="AJ129" s="13">
        <f>AI129*VLOOKUP('Données projet'!$B$10,Paramètres!$A$1:$I$89,3,0)*VLOOKUP('Données projet'!$B$10,Paramètres!$A$1:$I$89,5,0)</f>
        <v>-2.1282176021486519E-13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370.42479501931444</v>
      </c>
      <c r="AO129" s="59">
        <f t="shared" si="90"/>
        <v>351.95632347830144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136.19362884710029</v>
      </c>
      <c r="AV129" s="21">
        <f>EXP(-LN(2)/25)*AV128+(1-EXP(-LN(2)/25))/(LN(2)/25)*Calculateur!AQ129*Calculateur!AS129*VLOOKUP('Données projet'!$B$10,Paramètres!$A$1:$I$89,3,0)*0.475*44/12</f>
        <v>47.070713444082436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183.26434229118271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68.868829610375982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7.1054273576010019E-14</v>
      </c>
      <c r="BE129" s="13">
        <f>BD129*VLOOKUP('Données projet'!$B$11,Paramètres!$A$1:$I$89,3,0)*VLOOKUP('Données projet'!$B$11,Paramètres!$A$1:$I$89,5,0)</f>
        <v>6.2073013396002357E-14</v>
      </c>
      <c r="BF129" s="13">
        <f t="shared" si="91"/>
        <v>9.8573687844725482E-13</v>
      </c>
      <c r="BG129" s="20">
        <f t="shared" si="61"/>
        <v>1.8249355616270061E-12</v>
      </c>
      <c r="BH129" s="59">
        <f t="shared" si="62"/>
        <v>289.18570857138042</v>
      </c>
      <c r="BI129" s="59">
        <f ca="1">AVERAGE(OFFSET($BH$3,0,0,'Données projet'!$E$11+1,1))-AVERAGE(OFFSET($H$3,0,0,'Données projet'!$E$11+1,1))</f>
        <v>128.92423054779167</v>
      </c>
      <c r="BJ129" s="59">
        <f t="shared" si="92"/>
        <v>127.5443711972687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11.38853881956692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11.38853881956692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68.868829610375982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8.0699999999999985</v>
      </c>
      <c r="BY129" s="12">
        <f>IF('Données projet'!$A$114&gt;35,BY128+BX129-CG128,IF(A129&lt;'Données projet'!$A$114,$BV$205^A129,IF(A129='Données projet'!$A$114,'Données projet'!$B$114,BY128+BX129-CG128)))</f>
        <v>372.03000000000071</v>
      </c>
      <c r="BZ129" s="13">
        <f>BY129*VLOOKUP('Données projet'!$B$12,Paramètres!$A$1:$I$89,3,0)*VLOOKUP('Données projet'!$B$12,Paramètres!$A$1:$I$89,5,0)</f>
        <v>336.61274400000065</v>
      </c>
      <c r="CA129" s="13">
        <f t="shared" si="93"/>
        <v>78.799710600410648</v>
      </c>
      <c r="CB129" s="20">
        <f t="shared" si="64"/>
        <v>723.51002509571629</v>
      </c>
      <c r="CC129" s="59">
        <f t="shared" si="65"/>
        <v>1012.6957336670948</v>
      </c>
      <c r="CD129" s="59">
        <f ca="1">AVERAGE(OFFSET($CC$3,0,0,'Données projet'!$E$12+1,1))-AVERAGE(OFFSET($H$3,0,0,'Données projet'!$E$12+1,1))</f>
        <v>601.17090553269054</v>
      </c>
      <c r="CE129" s="59">
        <f t="shared" si="94"/>
        <v>279.37477930888042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61.73486354541167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61.73486354541167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68.868829610375982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2.7899999999999991</v>
      </c>
      <c r="CT129" s="12">
        <f>IF('Données projet'!$A$140&gt;35,CT128+CS129-DB128,IF(A129&lt;'Données projet'!$A$140,$CQ$205^A129,IF(A129='Données projet'!$A$140,'Données projet'!$B$140,CT128+CS129-DB128)))</f>
        <v>127.13999999999997</v>
      </c>
      <c r="CU129" s="17">
        <f>CT129*VLOOKUP('Données projet'!$B$13,Paramètres!$A$1:$I$89,3,0)*VLOOKUP('Données projet'!$B$13,Paramètres!$A$1:$I$89,5,0)</f>
        <v>120.98642399999997</v>
      </c>
      <c r="CV129" s="13">
        <f t="shared" si="95"/>
        <v>31.904956760697143</v>
      </c>
      <c r="CW129" s="20">
        <f t="shared" si="67"/>
        <v>266.28582149154744</v>
      </c>
      <c r="CX129" s="59">
        <f t="shared" si="68"/>
        <v>555.47153006292604</v>
      </c>
      <c r="CY129" s="59">
        <f ca="1">AVERAGE(OFFSET($CX$3,0,0,'Données projet'!$E$13+1,1))-AVERAGE(OFFSET($H$3,0,0,'Données projet'!$E$13+1,1))</f>
        <v>418.79317359649315</v>
      </c>
      <c r="CZ129" s="59">
        <f t="shared" si="96"/>
        <v>286.46514989661011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107.90458777097987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107.90458777097987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68.868829610375982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68.868829610375982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68.868829610375982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68.868829610375982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68.868829610375982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1.35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1.1292839999999995</v>
      </c>
      <c r="D130" s="11">
        <f t="shared" si="86"/>
        <v>0.51310819420885478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5.027281151833666</v>
      </c>
      <c r="H130" s="67">
        <f t="shared" si="56"/>
        <v>226.85716640491376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68.888452887717833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8.0699999999999985</v>
      </c>
      <c r="N130" s="13">
        <f>IF('Données projet'!$A$36&gt;35,N129+M130-V129,IF(A130&lt;'Données projet'!$A$36,$K$205^A130,IF(A130='Données projet'!$A$36,'Données projet'!$B$36,N129+M130-V129)))</f>
        <v>380.1000000000007</v>
      </c>
      <c r="O130" s="13">
        <f>N130*VLOOKUP('Données projet'!$B$9,Paramètres!$A$1:$I$89,3,0)*VLOOKUP('Données projet'!$B$9,Paramètres!$A$1:$I$89,5,0)</f>
        <v>385.42140000000074</v>
      </c>
      <c r="P130" s="13">
        <f t="shared" si="87"/>
        <v>88.814721741694029</v>
      </c>
      <c r="Q130" s="20">
        <f t="shared" si="107"/>
        <v>825.96124536678508</v>
      </c>
      <c r="R130" s="59">
        <f t="shared" si="55"/>
        <v>1115.2189059550838</v>
      </c>
      <c r="S130" s="59">
        <f ca="1">AVERAGE(OFFSET($R$3,0,0,'Données projet'!$E$9+1,1))-AVERAGE(OFFSET($H$3,0,0,'Données projet'!$E$9+1,1))</f>
        <v>665.7907881991157</v>
      </c>
      <c r="T130" s="59">
        <f t="shared" si="88"/>
        <v>306.76923535735227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67.828935072056296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67.828935072056296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68.888452887717833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-4.5474735088646412E-13</v>
      </c>
      <c r="AJ130" s="13">
        <f>AI130*VLOOKUP('Données projet'!$B$10,Paramètres!$A$1:$I$89,3,0)*VLOOKUP('Données projet'!$B$10,Paramètres!$A$1:$I$89,5,0)</f>
        <v>-2.1282176021486519E-13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370.42479501931444</v>
      </c>
      <c r="AO130" s="59">
        <f t="shared" si="90"/>
        <v>351.95632347830144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133.52295485531977</v>
      </c>
      <c r="AV130" s="21">
        <f>EXP(-LN(2)/25)*AV129+(1-EXP(-LN(2)/25))/(LN(2)/25)*Calculateur!AQ130*Calculateur!AS130*VLOOKUP('Données projet'!$B$10,Paramètres!$A$1:$I$89,3,0)*0.475*44/12</f>
        <v>45.783562309612762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179.30651716493253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68.888452887717833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7.1054273576010019E-14</v>
      </c>
      <c r="BE130" s="13">
        <f>BD130*VLOOKUP('Données projet'!$B$11,Paramètres!$A$1:$I$89,3,0)*VLOOKUP('Données projet'!$B$11,Paramètres!$A$1:$I$89,5,0)</f>
        <v>6.2073013396002357E-14</v>
      </c>
      <c r="BF130" s="13">
        <f t="shared" si="91"/>
        <v>9.8573687844725482E-13</v>
      </c>
      <c r="BG130" s="20">
        <f t="shared" si="61"/>
        <v>1.8249355616270061E-12</v>
      </c>
      <c r="BH130" s="59">
        <f t="shared" si="62"/>
        <v>289.25766058830055</v>
      </c>
      <c r="BI130" s="59">
        <f ca="1">AVERAGE(OFFSET($BH$3,0,0,'Données projet'!$E$11+1,1))-AVERAGE(OFFSET($H$3,0,0,'Données projet'!$E$11+1,1))</f>
        <v>128.92423054779167</v>
      </c>
      <c r="BJ130" s="59">
        <f t="shared" si="92"/>
        <v>127.5443711972687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11.165216519637999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11.165216519637999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68.888452887717833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8.0699999999999985</v>
      </c>
      <c r="BY130" s="12">
        <f>IF('Données projet'!$A$114&gt;35,BY129+BX130-CG129,IF(A130&lt;'Données projet'!$A$114,$BV$205^A130,IF(A130='Données projet'!$A$114,'Données projet'!$B$114,BY129+BX130-CG129)))</f>
        <v>380.1000000000007</v>
      </c>
      <c r="BZ130" s="13">
        <f>BY130*VLOOKUP('Données projet'!$B$12,Paramètres!$A$1:$I$89,3,0)*VLOOKUP('Données projet'!$B$12,Paramètres!$A$1:$I$89,5,0)</f>
        <v>343.91448000000065</v>
      </c>
      <c r="CA130" s="13">
        <f t="shared" si="93"/>
        <v>80.308163160675235</v>
      </c>
      <c r="CB130" s="20">
        <f t="shared" si="64"/>
        <v>738.85443683817709</v>
      </c>
      <c r="CC130" s="59">
        <f t="shared" si="65"/>
        <v>1028.1120974264759</v>
      </c>
      <c r="CD130" s="59">
        <f ca="1">AVERAGE(OFFSET($CC$3,0,0,'Données projet'!$E$12+1,1))-AVERAGE(OFFSET($H$3,0,0,'Données projet'!$E$12+1,1))</f>
        <v>601.17090553269054</v>
      </c>
      <c r="CE130" s="59">
        <f t="shared" si="94"/>
        <v>279.37477930888042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60.524280525834833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60.524280525834833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68.888452887717833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>
        <f>VLOOKUP(A130,'Données projet'!$A$139:$I$159,2,0)</f>
        <v>129.93</v>
      </c>
      <c r="CR130" s="12">
        <f>VLOOKUP(A130,'Données projet'!$A$139:$I$159,9,0)</f>
        <v>2.7899999999999991</v>
      </c>
      <c r="CS130" s="12">
        <f t="array" ref="CS130">INDEX(CR:CR,MIN(IF(ISNUMBER(CR130:CR326),ROW(CR130:CR326),"")))</f>
        <v>2.7899999999999991</v>
      </c>
      <c r="CT130" s="12">
        <f>IF('Données projet'!$A$140&gt;35,CT129+CS130-DB129,IF(A130&lt;'Données projet'!$A$140,$CQ$205^A130,IF(A130='Données projet'!$A$140,'Données projet'!$B$140,CT129+CS130-DB129)))</f>
        <v>129.92999999999998</v>
      </c>
      <c r="CU130" s="17">
        <f>CT130*VLOOKUP('Données projet'!$B$13,Paramètres!$A$1:$I$89,3,0)*VLOOKUP('Données projet'!$B$13,Paramètres!$A$1:$I$89,5,0)</f>
        <v>123.64138799999998</v>
      </c>
      <c r="CV130" s="13">
        <f t="shared" si="95"/>
        <v>32.522810002135991</v>
      </c>
      <c r="CW130" s="20">
        <f t="shared" si="67"/>
        <v>271.98597818705349</v>
      </c>
      <c r="CX130" s="59">
        <f t="shared" si="68"/>
        <v>561.24363877535222</v>
      </c>
      <c r="CY130" s="59">
        <f ca="1">AVERAGE(OFFSET($CX$3,0,0,'Données projet'!$E$13+1,1))-AVERAGE(OFFSET($H$3,0,0,'Données projet'!$E$13+1,1))</f>
        <v>418.79317359649315</v>
      </c>
      <c r="CZ130" s="59">
        <f t="shared" si="96"/>
        <v>286.46514989661011</v>
      </c>
      <c r="DA130" s="15">
        <f>IF(ISNA(VLOOKUP(A130,'Données projet'!$A$139:$I$159,3,0)),0,VLOOKUP(A130,'Données projet'!$A$139:$I$159,3,0))</f>
        <v>13</v>
      </c>
      <c r="DB130" s="15">
        <f>IF(ISNA(VLOOKUP(A130,'Données projet'!$A$139:$I$159,4,0)),0,VLOOKUP(A130,'Données projet'!$A$139:$I$159,4,0))</f>
        <v>39.56</v>
      </c>
      <c r="DC130" s="16">
        <f>IF(ISNA(VLOOKUP(A130,'Données projet'!$A$139:$I$159,5,0)),0%,VLOOKUP(A130,'Données projet'!$A$139:$I$159,5,0)*VLOOKUP('Données projet'!$B$13,Paramètres!$A$1:$I$89,7,0))</f>
        <v>0.25800000000000001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116.52551061153234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116.52551061153234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68.888452887717833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68.888452887717833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68.888452887717833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68.888452887717833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68.888452887717833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1.35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1.1381759999999994</v>
      </c>
      <c r="D131" s="11">
        <f t="shared" si="86"/>
        <v>0.51667650315505464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5.0282430002435481</v>
      </c>
      <c r="H131" s="67">
        <f t="shared" si="56"/>
        <v>226.87886810966171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68.907735745068862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8.0699999999999985</v>
      </c>
      <c r="N131" s="13">
        <f>IF('Données projet'!$A$36&gt;35,N130+M131-V130,IF(A131&lt;'Données projet'!$A$36,$K$205^A131,IF(A131='Données projet'!$A$36,'Données projet'!$B$36,N130+M131-V130)))</f>
        <v>388.1700000000007</v>
      </c>
      <c r="O131" s="13">
        <f>N131*VLOOKUP('Données projet'!$B$9,Paramètres!$A$1:$I$89,3,0)*VLOOKUP('Données projet'!$B$9,Paramètres!$A$1:$I$89,5,0)</f>
        <v>393.60438000000073</v>
      </c>
      <c r="P131" s="13">
        <f t="shared" si="87"/>
        <v>90.478837595769321</v>
      </c>
      <c r="Q131" s="20">
        <f t="shared" ref="Q131:Q153" si="108">(O131+P131)*0.475*44/12</f>
        <v>843.1116039792995</v>
      </c>
      <c r="R131" s="59">
        <f t="shared" ref="R131:R194" si="109">Q131+(I131+J131)*44/12</f>
        <v>1132.4399683778854</v>
      </c>
      <c r="S131" s="59">
        <f ca="1">AVERAGE(OFFSET($R$3,0,0,'Données projet'!$E$9+1,1))-AVERAGE(OFFSET($H$3,0,0,'Données projet'!$E$9+1,1))</f>
        <v>665.7907881991157</v>
      </c>
      <c r="T131" s="59">
        <f t="shared" si="88"/>
        <v>306.76923535735227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66.49885102685856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66.49885102685856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68.907735745068862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-4.5474735088646412E-13</v>
      </c>
      <c r="AJ131" s="13">
        <f>AI131*VLOOKUP('Données projet'!$B$10,Paramètres!$A$1:$I$89,3,0)*VLOOKUP('Données projet'!$B$10,Paramètres!$A$1:$I$89,5,0)</f>
        <v>-2.1282176021486519E-13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370.42479501931444</v>
      </c>
      <c r="AO131" s="59">
        <f t="shared" si="90"/>
        <v>351.95632347830144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130.90465115156778</v>
      </c>
      <c r="AV131" s="21">
        <f>EXP(-LN(2)/25)*AV130+(1-EXP(-LN(2)/25))/(LN(2)/25)*Calculateur!AQ131*Calculateur!AS131*VLOOKUP('Données projet'!$B$10,Paramètres!$A$1:$I$89,3,0)*0.475*44/12</f>
        <v>44.531608390603502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175.43625954217129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68.907735745068862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7.1054273576010019E-14</v>
      </c>
      <c r="BE131" s="13">
        <f>BD131*VLOOKUP('Données projet'!$B$11,Paramètres!$A$1:$I$89,3,0)*VLOOKUP('Données projet'!$B$11,Paramètres!$A$1:$I$89,5,0)</f>
        <v>6.2073013396002357E-14</v>
      </c>
      <c r="BF131" s="13">
        <f t="shared" si="91"/>
        <v>9.8573687844725482E-13</v>
      </c>
      <c r="BG131" s="20">
        <f t="shared" si="61"/>
        <v>1.8249355616270061E-12</v>
      </c>
      <c r="BH131" s="59">
        <f t="shared" si="62"/>
        <v>289.32836439858767</v>
      </c>
      <c r="BI131" s="59">
        <f ca="1">AVERAGE(OFFSET($BH$3,0,0,'Données projet'!$E$11+1,1))-AVERAGE(OFFSET($H$3,0,0,'Données projet'!$E$11+1,1))</f>
        <v>128.92423054779167</v>
      </c>
      <c r="BJ131" s="59">
        <f t="shared" si="92"/>
        <v>127.5443711972687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10.946273433797533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10.946273433797533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68.907735745068862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8.0699999999999985</v>
      </c>
      <c r="BY131" s="12">
        <f>IF('Données projet'!$A$114&gt;35,BY130+BX131-CG130,IF(A131&lt;'Données projet'!$A$114,$BV$205^A131,IF(A131='Données projet'!$A$114,'Données projet'!$B$114,BY130+BX131-CG130)))</f>
        <v>388.1700000000007</v>
      </c>
      <c r="BZ131" s="13">
        <f>BY131*VLOOKUP('Données projet'!$B$12,Paramètres!$A$1:$I$89,3,0)*VLOOKUP('Données projet'!$B$12,Paramètres!$A$1:$I$89,5,0)</f>
        <v>351.2162160000006</v>
      </c>
      <c r="CA131" s="13">
        <f t="shared" si="93"/>
        <v>81.812892161752615</v>
      </c>
      <c r="CB131" s="20">
        <f t="shared" si="64"/>
        <v>754.19236338172016</v>
      </c>
      <c r="CC131" s="59">
        <f t="shared" si="65"/>
        <v>1043.5207277803061</v>
      </c>
      <c r="CD131" s="59">
        <f ca="1">AVERAGE(OFFSET($CC$3,0,0,'Données projet'!$E$12+1,1))-AVERAGE(OFFSET($H$3,0,0,'Données projet'!$E$12+1,1))</f>
        <v>601.17090553269054</v>
      </c>
      <c r="CE131" s="59">
        <f t="shared" si="94"/>
        <v>279.37477930888042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59.337436300889166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59.337436300889166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68.907735745068862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2.0666666666666629</v>
      </c>
      <c r="CT131" s="12">
        <f>IF('Données projet'!$A$140&gt;35,CT130+CS131-DB130,IF(A131&lt;'Données projet'!$A$140,$CQ$205^A131,IF(A131='Données projet'!$A$140,'Données projet'!$B$140,CT130+CS131-DB130)))</f>
        <v>92.436666666666639</v>
      </c>
      <c r="CU131" s="17">
        <f>CT131*VLOOKUP('Données projet'!$B$13,Paramètres!$A$1:$I$89,3,0)*VLOOKUP('Données projet'!$B$13,Paramètres!$A$1:$I$89,5,0)</f>
        <v>87.962731999999974</v>
      </c>
      <c r="CV131" s="13">
        <f t="shared" si="95"/>
        <v>24.073232182973069</v>
      </c>
      <c r="CW131" s="20">
        <f t="shared" si="67"/>
        <v>195.12930428534472</v>
      </c>
      <c r="CX131" s="59">
        <f t="shared" si="68"/>
        <v>484.45766868393059</v>
      </c>
      <c r="CY131" s="59">
        <f ca="1">AVERAGE(OFFSET($CX$3,0,0,'Données projet'!$E$13+1,1))-AVERAGE(OFFSET($H$3,0,0,'Données projet'!$E$13+1,1))</f>
        <v>418.79317359649315</v>
      </c>
      <c r="CZ131" s="59">
        <f t="shared" si="96"/>
        <v>286.46514989661011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114.24051642198373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114.24051642198373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68.907735745068862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68.907735745068862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68.907735745068862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68.907735745068862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68.907735745068862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1.35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1.1470679999999993</v>
      </c>
      <c r="D132" s="11">
        <f t="shared" si="86"/>
        <v>0.5202415686103895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5.0292045982786968</v>
      </c>
      <c r="H132" s="67">
        <f t="shared" ref="H132:H195" si="110">(B132+E132+F132)*44/12+(C132+D132)*0.475*44/12</f>
        <v>226.90056416532977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68.926684087954868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8.0699999999999985</v>
      </c>
      <c r="N132" s="13">
        <f>IF('Données projet'!$A$36&gt;35,N131+M132-V131,IF(A132&lt;'Données projet'!$A$36,$K$205^A132,IF(A132='Données projet'!$A$36,'Données projet'!$B$36,N131+M132-V131)))</f>
        <v>396.24000000000069</v>
      </c>
      <c r="O132" s="13">
        <f>N132*VLOOKUP('Données projet'!$B$9,Paramètres!$A$1:$I$89,3,0)*VLOOKUP('Données projet'!$B$9,Paramètres!$A$1:$I$89,5,0)</f>
        <v>401.78736000000072</v>
      </c>
      <c r="P132" s="13">
        <f t="shared" si="87"/>
        <v>92.138930952196844</v>
      </c>
      <c r="Q132" s="20">
        <f t="shared" si="108"/>
        <v>860.25495674174408</v>
      </c>
      <c r="R132" s="59">
        <f t="shared" si="109"/>
        <v>1149.6527983975786</v>
      </c>
      <c r="S132" s="59">
        <f ca="1">AVERAGE(OFFSET($R$3,0,0,'Données projet'!$E$9+1,1))-AVERAGE(OFFSET($H$3,0,0,'Données projet'!$E$9+1,1))</f>
        <v>665.7907881991157</v>
      </c>
      <c r="T132" s="59">
        <f t="shared" si="88"/>
        <v>306.76923535735227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65.19484911851599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65.19484911851599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68.926684087954868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-4.5474735088646412E-13</v>
      </c>
      <c r="AJ132" s="13">
        <f>AI132*VLOOKUP('Données projet'!$B$10,Paramètres!$A$1:$I$89,3,0)*VLOOKUP('Données projet'!$B$10,Paramètres!$A$1:$I$89,5,0)</f>
        <v>-2.1282176021486519E-13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370.42479501931444</v>
      </c>
      <c r="AO132" s="59">
        <f t="shared" si="90"/>
        <v>351.95632347830144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128.3376907864388</v>
      </c>
      <c r="AV132" s="21">
        <f>EXP(-LN(2)/25)*AV131+(1-EXP(-LN(2)/25))/(LN(2)/25)*Calculateur!AQ132*Calculateur!AS132*VLOOKUP('Données projet'!$B$10,Paramètres!$A$1:$I$89,3,0)*0.475*44/12</f>
        <v>43.31388921734694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171.65158000378574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68.926684087954868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7.1054273576010019E-14</v>
      </c>
      <c r="BE132" s="13">
        <f>BD132*VLOOKUP('Données projet'!$B$11,Paramètres!$A$1:$I$89,3,0)*VLOOKUP('Données projet'!$B$11,Paramètres!$A$1:$I$89,5,0)</f>
        <v>6.2073013396002357E-14</v>
      </c>
      <c r="BF132" s="13">
        <f t="shared" si="91"/>
        <v>9.8573687844725482E-13</v>
      </c>
      <c r="BG132" s="20">
        <f t="shared" ref="BG132:BG153" si="115">(BE132+BF132)*0.475*44/12</f>
        <v>1.8249355616270061E-12</v>
      </c>
      <c r="BH132" s="59">
        <f t="shared" ref="BH132:BH195" si="116">BG132+(AY132+AZ132)*44/12</f>
        <v>289.39784165583632</v>
      </c>
      <c r="BI132" s="59">
        <f ca="1">AVERAGE(OFFSET($BH$3,0,0,'Données projet'!$E$11+1,1))-AVERAGE(OFFSET($H$3,0,0,'Données projet'!$E$11+1,1))</f>
        <v>128.92423054779167</v>
      </c>
      <c r="BJ132" s="59">
        <f t="shared" si="92"/>
        <v>127.5443711972687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10.731623688328302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10.731623688328302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68.926684087954868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8.0699999999999985</v>
      </c>
      <c r="BY132" s="12">
        <f>IF('Données projet'!$A$114&gt;35,BY131+BX132-CG131,IF(A132&lt;'Données projet'!$A$114,$BV$205^A132,IF(A132='Données projet'!$A$114,'Données projet'!$B$114,BY131+BX132-CG131)))</f>
        <v>396.24000000000069</v>
      </c>
      <c r="BZ132" s="13">
        <f>BY132*VLOOKUP('Données projet'!$B$12,Paramètres!$A$1:$I$89,3,0)*VLOOKUP('Données projet'!$B$12,Paramètres!$A$1:$I$89,5,0)</f>
        <v>358.51795200000061</v>
      </c>
      <c r="CA132" s="13">
        <f t="shared" si="93"/>
        <v>83.313983934777241</v>
      </c>
      <c r="CB132" s="20">
        <f t="shared" ref="CB132:CB153" si="118">(BZ132+CA132)*0.475*44/12</f>
        <v>769.52395508640473</v>
      </c>
      <c r="CC132" s="59">
        <f t="shared" ref="CC132:CC195" si="119">CB132+(BT132+BU132)*44/12</f>
        <v>1058.9217967422392</v>
      </c>
      <c r="CD132" s="59">
        <f ca="1">AVERAGE(OFFSET($CC$3,0,0,'Données projet'!$E$12+1,1))-AVERAGE(OFFSET($H$3,0,0,'Données projet'!$E$12+1,1))</f>
        <v>601.17090553269054</v>
      </c>
      <c r="CE132" s="59">
        <f t="shared" si="94"/>
        <v>279.37477930888042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58.173865367291185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58.173865367291185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68.926684087954868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2.0666666666666629</v>
      </c>
      <c r="CT132" s="12">
        <f>IF('Données projet'!$A$140&gt;35,CT131+CS132-DB131,IF(A132&lt;'Données projet'!$A$140,$CQ$205^A132,IF(A132='Données projet'!$A$140,'Données projet'!$B$140,CT131+CS132-DB131)))</f>
        <v>94.503333333333302</v>
      </c>
      <c r="CU132" s="17">
        <f>CT132*VLOOKUP('Données projet'!$B$13,Paramètres!$A$1:$I$89,3,0)*VLOOKUP('Données projet'!$B$13,Paramètres!$A$1:$I$89,5,0)</f>
        <v>89.929371999999972</v>
      </c>
      <c r="CV132" s="13">
        <f t="shared" si="95"/>
        <v>24.548190442821113</v>
      </c>
      <c r="CW132" s="20">
        <f t="shared" ref="CW132:CW153" si="121">(CU132+CV132)*0.475*44/12</f>
        <v>199.38175458791338</v>
      </c>
      <c r="CX132" s="59">
        <f t="shared" ref="CX132:CX195" si="122">CW132+(CO132+CP132)*44/12</f>
        <v>488.77959624374785</v>
      </c>
      <c r="CY132" s="59">
        <f ca="1">AVERAGE(OFFSET($CX$3,0,0,'Données projet'!$E$13+1,1))-AVERAGE(OFFSET($H$3,0,0,'Données projet'!$E$13+1,1))</f>
        <v>418.79317359649315</v>
      </c>
      <c r="CZ132" s="59">
        <f t="shared" si="96"/>
        <v>286.46514989661011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112.00032957478334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112.00032957478334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68.926684087954868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68.926684087954868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68.926684087954868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68.926684087954868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68.926684087954868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1.35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1.1559599999999992</v>
      </c>
      <c r="D133" s="11">
        <f t="shared" ref="D133:D196" si="140">IFERROR(EXP(-1.0587+0.8836*LN(C133)+0.284),0)</f>
        <v>0.52380341863278812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5.0301659481049867</v>
      </c>
      <c r="H133" s="67">
        <f t="shared" si="110"/>
        <v>226.92225462078545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68.94530371945396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8.0699999999999985</v>
      </c>
      <c r="N133" s="13">
        <f>IF('Données projet'!$A$36&gt;35,N132+M133-V132,IF(A133&lt;'Données projet'!$A$36,$K$205^A133,IF(A133='Données projet'!$A$36,'Données projet'!$B$36,N132+M133-V132)))</f>
        <v>404.31000000000068</v>
      </c>
      <c r="O133" s="13">
        <f>N133*VLOOKUP('Données projet'!$B$9,Paramètres!$A$1:$I$89,3,0)*VLOOKUP('Données projet'!$B$9,Paramètres!$A$1:$I$89,5,0)</f>
        <v>409.9703400000007</v>
      </c>
      <c r="P133" s="13">
        <f t="shared" ref="P133:P196" si="141">EXP(-1.0587+0.8836*LN(O133)+0.284)</f>
        <v>93.795093175328134</v>
      </c>
      <c r="Q133" s="20">
        <f t="shared" si="108"/>
        <v>877.39146278036435</v>
      </c>
      <c r="R133" s="59">
        <f t="shared" si="109"/>
        <v>1166.8575764183622</v>
      </c>
      <c r="S133" s="59">
        <f ca="1">AVERAGE(OFFSET($R$3,0,0,'Données projet'!$E$9+1,1))-AVERAGE(OFFSET($H$3,0,0,'Données projet'!$E$9+1,1))</f>
        <v>665.7907881991157</v>
      </c>
      <c r="T133" s="59">
        <f t="shared" ref="T133:T196" si="142">$T$3</f>
        <v>306.76923535735227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63.91641789223339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63.91641789223339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68.94530371945396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-4.5474735088646412E-13</v>
      </c>
      <c r="AJ133" s="13">
        <f>AI133*VLOOKUP('Données projet'!$B$10,Paramètres!$A$1:$I$89,3,0)*VLOOKUP('Données projet'!$B$10,Paramètres!$A$1:$I$89,5,0)</f>
        <v>-2.1282176021486519E-13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370.42479501931444</v>
      </c>
      <c r="AO133" s="59">
        <f t="shared" ref="AO133:AO196" si="144">$AO$3</f>
        <v>351.95632347830144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125.82106694837877</v>
      </c>
      <c r="AV133" s="21">
        <f>EXP(-LN(2)/25)*AV132+(1-EXP(-LN(2)/25))/(LN(2)/25)*Calculateur!AQ133*Calculateur!AS133*VLOOKUP('Données projet'!$B$10,Paramètres!$A$1:$I$89,3,0)*0.475*44/12</f>
        <v>42.129468638920152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167.95053558729893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68.94530371945396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7.1054273576010019E-14</v>
      </c>
      <c r="BE133" s="13">
        <f>BD133*VLOOKUP('Données projet'!$B$11,Paramètres!$A$1:$I$89,3,0)*VLOOKUP('Données projet'!$B$11,Paramètres!$A$1:$I$89,5,0)</f>
        <v>6.2073013396002357E-14</v>
      </c>
      <c r="BF133" s="13">
        <f t="shared" ref="BF133:BF153" si="145">EXP(-1.0587+0.8836*LN(BE133)+0.284)</f>
        <v>9.8573687844725482E-13</v>
      </c>
      <c r="BG133" s="20">
        <f t="shared" si="115"/>
        <v>1.8249355616270061E-12</v>
      </c>
      <c r="BH133" s="59">
        <f t="shared" si="116"/>
        <v>289.46611363799968</v>
      </c>
      <c r="BI133" s="59">
        <f ca="1">AVERAGE(OFFSET($BH$3,0,0,'Données projet'!$E$11+1,1))-AVERAGE(OFFSET($H$3,0,0,'Données projet'!$E$11+1,1))</f>
        <v>128.92423054779167</v>
      </c>
      <c r="BJ133" s="59">
        <f t="shared" ref="BJ133:BJ196" si="146">$BJ$3</f>
        <v>127.5443711972687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10.521183093444305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10.521183093444305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68.94530371945396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8.0699999999999985</v>
      </c>
      <c r="BY133" s="12">
        <f>IF('Données projet'!$A$114&gt;35,BY132+BX133-CG132,IF(A133&lt;'Données projet'!$A$114,$BV$205^A133,IF(A133='Données projet'!$A$114,'Données projet'!$B$114,BY132+BX133-CG132)))</f>
        <v>404.31000000000068</v>
      </c>
      <c r="BZ133" s="13">
        <f>BY133*VLOOKUP('Données projet'!$B$12,Paramètres!$A$1:$I$89,3,0)*VLOOKUP('Données projet'!$B$12,Paramètres!$A$1:$I$89,5,0)</f>
        <v>365.81968800000061</v>
      </c>
      <c r="CA133" s="13">
        <f t="shared" ref="CA133:CA153" si="147">EXP(-1.0587+0.8836*LN(BZ133)+0.284)</f>
        <v>84.811521093342051</v>
      </c>
      <c r="CB133" s="20">
        <f t="shared" si="118"/>
        <v>784.84935583757169</v>
      </c>
      <c r="CC133" s="59">
        <f t="shared" si="119"/>
        <v>1074.3154694755694</v>
      </c>
      <c r="CD133" s="59">
        <f ca="1">AVERAGE(OFFSET($CC$3,0,0,'Données projet'!$E$12+1,1))-AVERAGE(OFFSET($H$3,0,0,'Données projet'!$E$12+1,1))</f>
        <v>601.17090553269054</v>
      </c>
      <c r="CE133" s="59">
        <f t="shared" ref="CE133:CE196" si="148">$CE$3</f>
        <v>279.37477930888042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57.033111349992865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57.033111349992865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68.94530371945396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96.57</v>
      </c>
      <c r="CR133" s="12">
        <f>VLOOKUP(A133,'Données projet'!$A$139:$I$159,9,0)</f>
        <v>2.0666666666666629</v>
      </c>
      <c r="CS133" s="12">
        <f t="array" ref="CS133">INDEX(CR:CR,MIN(IF(ISNUMBER(CR133:CR329),ROW(CR133:CR329),"")))</f>
        <v>2.0666666666666629</v>
      </c>
      <c r="CT133" s="12">
        <f>IF('Données projet'!$A$140&gt;35,CT132+CS133-DB132,IF(A133&lt;'Données projet'!$A$140,$CQ$205^A133,IF(A133='Données projet'!$A$140,'Données projet'!$B$140,CT132+CS133-DB132)))</f>
        <v>96.569999999999965</v>
      </c>
      <c r="CU133" s="17">
        <f>CT133*VLOOKUP('Données projet'!$B$13,Paramètres!$A$1:$I$89,3,0)*VLOOKUP('Données projet'!$B$13,Paramètres!$A$1:$I$89,5,0)</f>
        <v>91.89601199999997</v>
      </c>
      <c r="CV133" s="13">
        <f t="shared" ref="CV133:CV153" si="149">EXP(-1.0587+0.8836*LN(CU133)+0.284)</f>
        <v>25.021941123292162</v>
      </c>
      <c r="CW133" s="20">
        <f t="shared" si="121"/>
        <v>203.63210168973379</v>
      </c>
      <c r="CX133" s="59">
        <f t="shared" si="122"/>
        <v>493.09821532773162</v>
      </c>
      <c r="CY133" s="59">
        <f ca="1">AVERAGE(OFFSET($CX$3,0,0,'Données projet'!$E$13+1,1))-AVERAGE(OFFSET($H$3,0,0,'Données projet'!$E$13+1,1))</f>
        <v>418.79317359649315</v>
      </c>
      <c r="CZ133" s="59">
        <f t="shared" ref="CZ133:CZ196" si="150">$CZ$3</f>
        <v>286.46514989661011</v>
      </c>
      <c r="DA133" s="15">
        <f>IF(ISNA(VLOOKUP(A133,'Données projet'!$A$139:$I$159,3,0)),0,VLOOKUP(A133,'Données projet'!$A$139:$I$159,3,0))</f>
        <v>14</v>
      </c>
      <c r="DB133" s="15">
        <f>IF(ISNA(VLOOKUP(A133,'Données projet'!$A$139:$I$159,4,0)),0,VLOOKUP(A133,'Données projet'!$A$139:$I$159,4,0))</f>
        <v>96.57</v>
      </c>
      <c r="DC133" s="16">
        <f>IF(ISNA(VLOOKUP(A133,'Données projet'!$A$139:$I$159,5,0)),0%,VLOOKUP(A133,'Données projet'!$A$139:$I$159,5,0)*VLOOKUP('Données projet'!$B$13,Paramètres!$A$1:$I$89,7,0))</f>
        <v>0.25800000000000001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136.01385779518426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136.01385779518426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68.94530371945396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68.94530371945396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68.94530371945396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68.94530371945396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68.94530371945396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1.35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1.1648519999999991</v>
      </c>
      <c r="D134" s="11">
        <f t="shared" si="140"/>
        <v>0.52736208082358638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5.0311270518530486</v>
      </c>
      <c r="H134" s="67">
        <f t="shared" si="110"/>
        <v>226.94393952410107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68.963600341973802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8.0699999999999985</v>
      </c>
      <c r="N134" s="13">
        <f>IF('Données projet'!$A$36&gt;35,N133+M134-V133,IF(A134&lt;'Données projet'!$A$36,$K$205^A134,IF(A134='Données projet'!$A$36,'Données projet'!$B$36,N133+M134-V133)))</f>
        <v>412.38000000000068</v>
      </c>
      <c r="O134" s="13">
        <f>N134*VLOOKUP('Données projet'!$B$9,Paramètres!$A$1:$I$89,3,0)*VLOOKUP('Données projet'!$B$9,Paramètres!$A$1:$I$89,5,0)</f>
        <v>418.15332000000069</v>
      </c>
      <c r="P134" s="13">
        <f t="shared" si="141"/>
        <v>95.44741177370463</v>
      </c>
      <c r="Q134" s="20">
        <f t="shared" si="108"/>
        <v>894.52127450587011</v>
      </c>
      <c r="R134" s="59">
        <f t="shared" si="109"/>
        <v>1184.054475759774</v>
      </c>
      <c r="S134" s="59">
        <f ca="1">AVERAGE(OFFSET($R$3,0,0,'Données projet'!$E$9+1,1))-AVERAGE(OFFSET($H$3,0,0,'Données projet'!$E$9+1,1))</f>
        <v>665.7907881991157</v>
      </c>
      <c r="T134" s="59">
        <f t="shared" si="142"/>
        <v>306.76923535735227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62.663055922532145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62.663055922532145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68.963600341973802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-4.5474735088646412E-13</v>
      </c>
      <c r="AJ134" s="13">
        <f>AI134*VLOOKUP('Données projet'!$B$10,Paramètres!$A$1:$I$89,3,0)*VLOOKUP('Données projet'!$B$10,Paramètres!$A$1:$I$89,5,0)</f>
        <v>-2.1282176021486519E-13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370.42479501931444</v>
      </c>
      <c r="AO134" s="59">
        <f t="shared" si="144"/>
        <v>351.95632347830144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123.35379256879413</v>
      </c>
      <c r="AV134" s="21">
        <f>EXP(-LN(2)/25)*AV133+(1-EXP(-LN(2)/25))/(LN(2)/25)*Calculateur!AQ134*Calculateur!AS134*VLOOKUP('Données projet'!$B$10,Paramètres!$A$1:$I$89,3,0)*0.475*44/12</f>
        <v>40.977436103496416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164.33122867229054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68.963600341973802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7.1054273576010019E-14</v>
      </c>
      <c r="BE134" s="13">
        <f>BD134*VLOOKUP('Données projet'!$B$11,Paramètres!$A$1:$I$89,3,0)*VLOOKUP('Données projet'!$B$11,Paramètres!$A$1:$I$89,5,0)</f>
        <v>6.2073013396002357E-14</v>
      </c>
      <c r="BF134" s="13">
        <f t="shared" si="145"/>
        <v>9.8573687844725482E-13</v>
      </c>
      <c r="BG134" s="20">
        <f t="shared" si="115"/>
        <v>1.8249355616270061E-12</v>
      </c>
      <c r="BH134" s="59">
        <f t="shared" si="116"/>
        <v>289.53320125390576</v>
      </c>
      <c r="BI134" s="59">
        <f ca="1">AVERAGE(OFFSET($BH$3,0,0,'Données projet'!$E$11+1,1))-AVERAGE(OFFSET($H$3,0,0,'Données projet'!$E$11+1,1))</f>
        <v>128.92423054779167</v>
      </c>
      <c r="BJ134" s="59">
        <f t="shared" si="146"/>
        <v>127.5443711972687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10.314869110269894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10.314869110269894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68.963600341973802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8.0699999999999985</v>
      </c>
      <c r="BY134" s="12">
        <f>IF('Données projet'!$A$114&gt;35,BY133+BX134-CG133,IF(A134&lt;'Données projet'!$A$114,$BV$205^A134,IF(A134='Données projet'!$A$114,'Données projet'!$B$114,BY133+BX134-CG133)))</f>
        <v>412.38000000000068</v>
      </c>
      <c r="BZ134" s="13">
        <f>BY134*VLOOKUP('Données projet'!$B$12,Paramètres!$A$1:$I$89,3,0)*VLOOKUP('Données projet'!$B$12,Paramètres!$A$1:$I$89,5,0)</f>
        <v>373.12142400000062</v>
      </c>
      <c r="CA134" s="13">
        <f t="shared" si="147"/>
        <v>86.305582764533938</v>
      </c>
      <c r="CB134" s="20">
        <f t="shared" si="118"/>
        <v>800.16870344823099</v>
      </c>
      <c r="CC134" s="59">
        <f t="shared" si="119"/>
        <v>1089.7019047021349</v>
      </c>
      <c r="CD134" s="59">
        <f ca="1">AVERAGE(OFFSET($CC$3,0,0,'Données projet'!$E$12+1,1))-AVERAGE(OFFSET($H$3,0,0,'Données projet'!$E$12+1,1))</f>
        <v>601.17090553269054</v>
      </c>
      <c r="CE134" s="59">
        <f t="shared" si="148"/>
        <v>279.37477930888042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55.914726823182519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55.914726823182519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68.963600341973802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-2.8421709430404007E-14</v>
      </c>
      <c r="CU134" s="17">
        <f>CT134*VLOOKUP('Données projet'!$B$13,Paramètres!$A$1:$I$89,3,0)*VLOOKUP('Données projet'!$B$13,Paramètres!$A$1:$I$89,5,0)</f>
        <v>-2.7046098693972454E-14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418.79317359649315</v>
      </c>
      <c r="CZ134" s="59">
        <f t="shared" si="150"/>
        <v>286.46514989661011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133.3467090040823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133.3467090040823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68.963600341973802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68.963600341973802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68.963600341973802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68.963600341973802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68.963600341973802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1.35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1.173743999999999</v>
      </c>
      <c r="D135" s="11">
        <f t="shared" si="140"/>
        <v>0.53091758233838682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5.0320879116191035</v>
      </c>
      <c r="H135" s="67">
        <f t="shared" si="110"/>
        <v>226.9656189225727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68.981579558998035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8.0699999999999985</v>
      </c>
      <c r="N135" s="13">
        <f>IF('Données projet'!$A$36&gt;35,N134+M135-V134,IF(A135&lt;'Données projet'!$A$36,$K$205^A135,IF(A135='Données projet'!$A$36,'Données projet'!$B$36,N134+M135-V134)))</f>
        <v>420.45000000000067</v>
      </c>
      <c r="O135" s="13">
        <f>N135*VLOOKUP('Données projet'!$B$9,Paramètres!$A$1:$I$89,3,0)*VLOOKUP('Données projet'!$B$9,Paramètres!$A$1:$I$89,5,0)</f>
        <v>426.33630000000073</v>
      </c>
      <c r="P135" s="13">
        <f t="shared" si="141"/>
        <v>97.095970634999375</v>
      </c>
      <c r="Q135" s="20">
        <f t="shared" si="108"/>
        <v>911.64453802262517</v>
      </c>
      <c r="R135" s="59">
        <f t="shared" si="109"/>
        <v>1201.2436630722846</v>
      </c>
      <c r="S135" s="59">
        <f ca="1">AVERAGE(OFFSET($R$3,0,0,'Données projet'!$E$9+1,1))-AVERAGE(OFFSET($H$3,0,0,'Données projet'!$E$9+1,1))</f>
        <v>665.7907881991157</v>
      </c>
      <c r="T135" s="59">
        <f t="shared" si="142"/>
        <v>306.76923535735227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61.43427161658142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61.43427161658142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68.981579558998035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-4.5474735088646412E-13</v>
      </c>
      <c r="AJ135" s="13">
        <f>AI135*VLOOKUP('Données projet'!$B$10,Paramètres!$A$1:$I$89,3,0)*VLOOKUP('Données projet'!$B$10,Paramètres!$A$1:$I$89,5,0)</f>
        <v>-2.1282176021486519E-13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370.42479501931444</v>
      </c>
      <c r="AO135" s="59">
        <f t="shared" si="144"/>
        <v>351.95632347830144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120.93489993490438</v>
      </c>
      <c r="AV135" s="21">
        <f>EXP(-LN(2)/25)*AV134+(1-EXP(-LN(2)/25))/(LN(2)/25)*Calculateur!AQ135*Calculateur!AS135*VLOOKUP('Données projet'!$B$10,Paramètres!$A$1:$I$89,3,0)*0.475*44/12</f>
        <v>39.856905958336597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160.79180589324096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68.981579558998035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7.1054273576010019E-14</v>
      </c>
      <c r="BE135" s="13">
        <f>BD135*VLOOKUP('Données projet'!$B$11,Paramètres!$A$1:$I$89,3,0)*VLOOKUP('Données projet'!$B$11,Paramètres!$A$1:$I$89,5,0)</f>
        <v>6.2073013396002357E-14</v>
      </c>
      <c r="BF135" s="13">
        <f t="shared" si="145"/>
        <v>9.8573687844725482E-13</v>
      </c>
      <c r="BG135" s="20">
        <f t="shared" si="115"/>
        <v>1.8249355616270061E-12</v>
      </c>
      <c r="BH135" s="59">
        <f t="shared" si="116"/>
        <v>289.59912504966127</v>
      </c>
      <c r="BI135" s="59">
        <f ca="1">AVERAGE(OFFSET($BH$3,0,0,'Données projet'!$E$11+1,1))-AVERAGE(OFFSET($H$3,0,0,'Données projet'!$E$11+1,1))</f>
        <v>128.92423054779167</v>
      </c>
      <c r="BJ135" s="59">
        <f t="shared" si="146"/>
        <v>127.5443711972687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10.112600818466429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10.112600818466429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68.981579558998035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8.0699999999999985</v>
      </c>
      <c r="BY135" s="12">
        <f>IF('Données projet'!$A$114&gt;35,BY134+BX135-CG134,IF(A135&lt;'Données projet'!$A$114,$BV$205^A135,IF(A135='Données projet'!$A$114,'Données projet'!$B$114,BY134+BX135-CG134)))</f>
        <v>420.45000000000067</v>
      </c>
      <c r="BZ135" s="13">
        <f>BY135*VLOOKUP('Données projet'!$B$12,Paramètres!$A$1:$I$89,3,0)*VLOOKUP('Données projet'!$B$12,Paramètres!$A$1:$I$89,5,0)</f>
        <v>380.42316000000056</v>
      </c>
      <c r="CA135" s="13">
        <f t="shared" si="147"/>
        <v>87.79624480137376</v>
      </c>
      <c r="CB135" s="20">
        <f t="shared" si="118"/>
        <v>815.48213002906016</v>
      </c>
      <c r="CC135" s="59">
        <f t="shared" si="119"/>
        <v>1105.0812550787196</v>
      </c>
      <c r="CD135" s="59">
        <f ca="1">AVERAGE(OFFSET($CC$3,0,0,'Données projet'!$E$12+1,1))-AVERAGE(OFFSET($H$3,0,0,'Données projet'!$E$12+1,1))</f>
        <v>601.17090553269054</v>
      </c>
      <c r="CE135" s="59">
        <f t="shared" si="148"/>
        <v>279.37477930888042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54.818273134795724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54.818273134795724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68.981579558998035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-2.8421709430404007E-14</v>
      </c>
      <c r="CU135" s="17">
        <f>CT135*VLOOKUP('Données projet'!$B$13,Paramètres!$A$1:$I$89,3,0)*VLOOKUP('Données projet'!$B$13,Paramètres!$A$1:$I$89,5,0)</f>
        <v>-2.7046098693972454E-14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418.79317359649315</v>
      </c>
      <c r="CZ135" s="59">
        <f t="shared" si="150"/>
        <v>286.46514989661011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130.73186137397371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130.73186137397371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68.981579558998035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68.981579558998035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68.981579558998035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68.981579558998035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68.981579558998035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1.35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1.1826359999999989</v>
      </c>
      <c r="D136" s="11">
        <f t="shared" si="140"/>
        <v>0.53446994989757601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5.0330485294657779</v>
      </c>
      <c r="H136" s="67">
        <f t="shared" si="110"/>
        <v>226.98729286273829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68.999246876802417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8.0699999999999985</v>
      </c>
      <c r="N136" s="13">
        <f>IF('Données projet'!$A$36&gt;35,N135+M136-V135,IF(A136&lt;'Données projet'!$A$36,$K$205^A136,IF(A136='Données projet'!$A$36,'Données projet'!$B$36,N135+M136-V135)))</f>
        <v>428.52000000000066</v>
      </c>
      <c r="O136" s="13">
        <f>N136*VLOOKUP('Données projet'!$B$9,Paramètres!$A$1:$I$89,3,0)*VLOOKUP('Données projet'!$B$9,Paramètres!$A$1:$I$89,5,0)</f>
        <v>434.51928000000072</v>
      </c>
      <c r="P136" s="13">
        <f t="shared" si="141"/>
        <v>98.740850242411952</v>
      </c>
      <c r="Q136" s="20">
        <f t="shared" si="108"/>
        <v>928.76139350553524</v>
      </c>
      <c r="R136" s="59">
        <f t="shared" si="109"/>
        <v>1218.4252987204775</v>
      </c>
      <c r="S136" s="59">
        <f ca="1">AVERAGE(OFFSET($R$3,0,0,'Données projet'!$E$9+1,1))-AVERAGE(OFFSET($H$3,0,0,'Données projet'!$E$9+1,1))</f>
        <v>665.7907881991157</v>
      </c>
      <c r="T136" s="59">
        <f t="shared" si="142"/>
        <v>306.76923535735227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60.22958302138597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60.22958302138597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68.999246876802417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-4.5474735088646412E-13</v>
      </c>
      <c r="AJ136" s="13">
        <f>AI136*VLOOKUP('Données projet'!$B$10,Paramètres!$A$1:$I$89,3,0)*VLOOKUP('Données projet'!$B$10,Paramètres!$A$1:$I$89,5,0)</f>
        <v>-2.1282176021486519E-13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370.42479501931444</v>
      </c>
      <c r="AO136" s="59">
        <f t="shared" si="144"/>
        <v>351.95632347830144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118.56344031018638</v>
      </c>
      <c r="AV136" s="21">
        <f>EXP(-LN(2)/25)*AV135+(1-EXP(-LN(2)/25))/(LN(2)/25)*Calculateur!AQ136*Calculateur!AS136*VLOOKUP('Données projet'!$B$10,Paramètres!$A$1:$I$89,3,0)*0.475*44/12</f>
        <v>38.767016768922289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157.33045707910867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68.999246876802417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7.1054273576010019E-14</v>
      </c>
      <c r="BE136" s="13">
        <f>BD136*VLOOKUP('Données projet'!$B$11,Paramètres!$A$1:$I$89,3,0)*VLOOKUP('Données projet'!$B$11,Paramètres!$A$1:$I$89,5,0)</f>
        <v>6.2073013396002357E-14</v>
      </c>
      <c r="BF136" s="13">
        <f t="shared" si="145"/>
        <v>9.8573687844725482E-13</v>
      </c>
      <c r="BG136" s="20">
        <f t="shared" si="115"/>
        <v>1.8249355616270061E-12</v>
      </c>
      <c r="BH136" s="59">
        <f t="shared" si="116"/>
        <v>289.66390521494401</v>
      </c>
      <c r="BI136" s="59">
        <f ca="1">AVERAGE(OFFSET($BH$3,0,0,'Données projet'!$E$11+1,1))-AVERAGE(OFFSET($H$3,0,0,'Données projet'!$E$11+1,1))</f>
        <v>128.92423054779167</v>
      </c>
      <c r="BJ136" s="59">
        <f t="shared" si="146"/>
        <v>127.5443711972687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9.9142988844937552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9.9142988844937552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68.999246876802417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8.0699999999999985</v>
      </c>
      <c r="BY136" s="12">
        <f>IF('Données projet'!$A$114&gt;35,BY135+BX136-CG135,IF(A136&lt;'Données projet'!$A$114,$BV$205^A136,IF(A136='Données projet'!$A$114,'Données projet'!$B$114,BY135+BX136-CG135)))</f>
        <v>428.52000000000066</v>
      </c>
      <c r="BZ136" s="13">
        <f>BY136*VLOOKUP('Données projet'!$B$12,Paramètres!$A$1:$I$89,3,0)*VLOOKUP('Données projet'!$B$12,Paramètres!$A$1:$I$89,5,0)</f>
        <v>387.72489600000057</v>
      </c>
      <c r="CA136" s="13">
        <f t="shared" si="147"/>
        <v>89.283579978484866</v>
      </c>
      <c r="CB136" s="20">
        <f t="shared" si="118"/>
        <v>830.78976232919547</v>
      </c>
      <c r="CC136" s="59">
        <f t="shared" si="119"/>
        <v>1120.4536675441377</v>
      </c>
      <c r="CD136" s="59">
        <f ca="1">AVERAGE(OFFSET($CC$3,0,0,'Données projet'!$E$12+1,1))-AVERAGE(OFFSET($H$3,0,0,'Données projet'!$E$12+1,1))</f>
        <v>601.17090553269054</v>
      </c>
      <c r="CE136" s="59">
        <f t="shared" si="148"/>
        <v>279.37477930888042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53.743320234467475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53.743320234467475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68.999246876802417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-2.8421709430404007E-14</v>
      </c>
      <c r="CU136" s="17">
        <f>CT136*VLOOKUP('Données projet'!$B$13,Paramètres!$A$1:$I$89,3,0)*VLOOKUP('Données projet'!$B$13,Paramètres!$A$1:$I$89,5,0)</f>
        <v>-2.7046098693972454E-14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418.79317359649315</v>
      </c>
      <c r="CZ136" s="59">
        <f t="shared" si="150"/>
        <v>286.46514989661011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128.16828931099201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128.16828931099201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68.999246876802417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68.999246876802417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68.999246876802417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68.999246876802417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68.999246876802417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1.35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1.1915279999999988</v>
      </c>
      <c r="D137" s="11">
        <f t="shared" si="140"/>
        <v>0.5380192097965194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5.0340089074228889</v>
      </c>
      <c r="H137" s="67">
        <f t="shared" si="110"/>
        <v>227.0089613903956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69.016607706141087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436.59</v>
      </c>
      <c r="L137" s="12">
        <f>VLOOKUP(A137,'Données projet'!$A$35:$I$55,9,0)</f>
        <v>8.0699999999999985</v>
      </c>
      <c r="M137" s="12">
        <f t="array" ref="M137">INDEX(L:L,MIN(IF(ISNUMBER(L137:L333),ROW(L137:L333),"")))</f>
        <v>8.0699999999999985</v>
      </c>
      <c r="N137" s="13">
        <f>IF('Données projet'!$A$36&gt;35,N136+M137-V136,IF(A137&lt;'Données projet'!$A$36,$K$205^A137,IF(A137='Données projet'!$A$36,'Données projet'!$B$36,N136+M137-V136)))</f>
        <v>436.59000000000066</v>
      </c>
      <c r="O137" s="13">
        <f>N137*VLOOKUP('Données projet'!$B$9,Paramètres!$A$1:$I$89,3,0)*VLOOKUP('Données projet'!$B$9,Paramètres!$A$1:$I$89,5,0)</f>
        <v>442.70226000000071</v>
      </c>
      <c r="P137" s="13">
        <f t="shared" si="141"/>
        <v>100.38212787430139</v>
      </c>
      <c r="Q137" s="20">
        <f t="shared" si="108"/>
        <v>945.87197554774275</v>
      </c>
      <c r="R137" s="59">
        <f t="shared" si="109"/>
        <v>1235.5995371369268</v>
      </c>
      <c r="S137" s="59">
        <f ca="1">AVERAGE(OFFSET($R$3,0,0,'Données projet'!$E$9+1,1))-AVERAGE(OFFSET($H$3,0,0,'Données projet'!$E$9+1,1))</f>
        <v>665.7907881991157</v>
      </c>
      <c r="T137" s="59">
        <f t="shared" si="142"/>
        <v>306.76923535735227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54.95</v>
      </c>
      <c r="W137" s="16">
        <f>IF(ISNA(VLOOKUP(A137,'Données projet'!$A$35:$I$55,5,0)),0%,VLOOKUP(A137,'Données projet'!$A$35:$I$55,5,0)*VLOOKUP('Données projet'!$B$9,Paramètres!$A$1:$I$89,7,0))</f>
        <v>0.25800000000000001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74.940294850078871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74.940294850078871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69.016607706141087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-4.5474735088646412E-13</v>
      </c>
      <c r="AJ137" s="13">
        <f>AI137*VLOOKUP('Données projet'!$B$10,Paramètres!$A$1:$I$89,3,0)*VLOOKUP('Données projet'!$B$10,Paramètres!$A$1:$I$89,5,0)</f>
        <v>-2.1282176021486519E-13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370.42479501931444</v>
      </c>
      <c r="AO137" s="59">
        <f t="shared" si="144"/>
        <v>351.95632347830144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116.23848356226155</v>
      </c>
      <c r="AV137" s="21">
        <f>EXP(-LN(2)/25)*AV136+(1-EXP(-LN(2)/25))/(LN(2)/25)*Calculateur!AQ137*Calculateur!AS137*VLOOKUP('Données projet'!$B$10,Paramètres!$A$1:$I$89,3,0)*0.475*44/12</f>
        <v>37.7069306567073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153.94541421896884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69.016607706141087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7.1054273576010019E-14</v>
      </c>
      <c r="BE137" s="13">
        <f>BD137*VLOOKUP('Données projet'!$B$11,Paramètres!$A$1:$I$89,3,0)*VLOOKUP('Données projet'!$B$11,Paramètres!$A$1:$I$89,5,0)</f>
        <v>6.2073013396002357E-14</v>
      </c>
      <c r="BF137" s="13">
        <f t="shared" si="145"/>
        <v>9.8573687844725482E-13</v>
      </c>
      <c r="BG137" s="20">
        <f t="shared" si="115"/>
        <v>1.8249355616270061E-12</v>
      </c>
      <c r="BH137" s="59">
        <f t="shared" si="116"/>
        <v>289.72756158918583</v>
      </c>
      <c r="BI137" s="59">
        <f ca="1">AVERAGE(OFFSET($BH$3,0,0,'Données projet'!$E$11+1,1))-AVERAGE(OFFSET($H$3,0,0,'Données projet'!$E$11+1,1))</f>
        <v>128.92423054779167</v>
      </c>
      <c r="BJ137" s="59">
        <f t="shared" si="146"/>
        <v>127.5443711972687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9.7198855304940484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9.7198855304940484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69.016607706141087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436.59</v>
      </c>
      <c r="BW137" s="12">
        <f>VLOOKUP(A137,'Données projet'!$A$113:$I$133,9,0)</f>
        <v>8.0699999999999985</v>
      </c>
      <c r="BX137" s="12">
        <f t="array" ref="BX137">INDEX(BW:BW,MIN(IF(ISNUMBER(BW137:BW333),ROW(BW137:BW333),"")))</f>
        <v>8.0699999999999985</v>
      </c>
      <c r="BY137" s="12">
        <f>IF('Données projet'!$A$114&gt;35,BY136+BX137-CG136,IF(A137&lt;'Données projet'!$A$114,$BV$205^A137,IF(A137='Données projet'!$A$114,'Données projet'!$B$114,BY136+BX137-CG136)))</f>
        <v>436.59000000000066</v>
      </c>
      <c r="BZ137" s="13">
        <f>BY137*VLOOKUP('Données projet'!$B$12,Paramètres!$A$1:$I$89,3,0)*VLOOKUP('Données projet'!$B$12,Paramètres!$A$1:$I$89,5,0)</f>
        <v>395.02663200000057</v>
      </c>
      <c r="CA137" s="13">
        <f t="shared" si="147"/>
        <v>90.767658172605465</v>
      </c>
      <c r="CB137" s="20">
        <f t="shared" si="118"/>
        <v>846.09172205062214</v>
      </c>
      <c r="CC137" s="59">
        <f t="shared" si="119"/>
        <v>1135.8192836398061</v>
      </c>
      <c r="CD137" s="59">
        <f ca="1">AVERAGE(OFFSET($CC$3,0,0,'Données projet'!$E$12+1,1))-AVERAGE(OFFSET($H$3,0,0,'Données projet'!$E$12+1,1))</f>
        <v>601.17090553269054</v>
      </c>
      <c r="CE137" s="59">
        <f t="shared" si="148"/>
        <v>279.37477930888042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54.95</v>
      </c>
      <c r="CH137" s="16">
        <f>IF(ISNA(VLOOKUP(A137,'Données projet'!$A$113:$I$133,5,0)),0%,VLOOKUP(A137,'Données projet'!$A$113:$I$133,5,0)*VLOOKUP('Données projet'!$B$12,Paramètres!$A$1:$I$89,7,0))</f>
        <v>0.25800000000000001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66.869801558531918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66.869801558531918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69.016607706141087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-2.8421709430404007E-14</v>
      </c>
      <c r="CU137" s="17">
        <f>CT137*VLOOKUP('Données projet'!$B$13,Paramètres!$A$1:$I$89,3,0)*VLOOKUP('Données projet'!$B$13,Paramètres!$A$1:$I$89,5,0)</f>
        <v>-2.7046098693972454E-14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418.79317359649315</v>
      </c>
      <c r="CZ137" s="59">
        <f t="shared" si="150"/>
        <v>286.46514989661011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125.6549873325408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125.6549873325408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69.016607706141087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69.016607706141087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69.016607706141087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69.016607706141087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69.016607706141087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1.35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1.2004199999999987</v>
      </c>
      <c r="D138" s="11">
        <f t="shared" si="140"/>
        <v>0.5415653879154414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5.0349690474882092</v>
      </c>
      <c r="H138" s="67">
        <f t="shared" si="110"/>
        <v>227.03062455061939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69.033667363903731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8.1590000000000025</v>
      </c>
      <c r="N138" s="13">
        <f>IF('Données projet'!$A$36&gt;35,N137+M138-V137,IF(A138&lt;'Données projet'!$A$36,$K$205^A138,IF(A138='Données projet'!$A$36,'Données projet'!$B$36,N137+M138-V137)))</f>
        <v>389.79900000000066</v>
      </c>
      <c r="O138" s="13">
        <f>N138*VLOOKUP('Données projet'!$B$9,Paramètres!$A$1:$I$89,3,0)*VLOOKUP('Données projet'!$B$9,Paramètres!$A$1:$I$89,5,0)</f>
        <v>395.2561860000007</v>
      </c>
      <c r="P138" s="13">
        <f t="shared" si="141"/>
        <v>90.814262971847356</v>
      </c>
      <c r="Q138" s="20">
        <f t="shared" si="108"/>
        <v>846.57269862596866</v>
      </c>
      <c r="R138" s="59">
        <f t="shared" si="109"/>
        <v>1136.3628122936157</v>
      </c>
      <c r="S138" s="59">
        <f ca="1">AVERAGE(OFFSET($R$3,0,0,'Données projet'!$E$9+1,1))-AVERAGE(OFFSET($H$3,0,0,'Données projet'!$E$9+1,1))</f>
        <v>665.7907881991157</v>
      </c>
      <c r="T138" s="59">
        <f t="shared" si="142"/>
        <v>306.76923535735227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73.47076137713529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73.47076137713529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69.033667363903731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-4.5474735088646412E-13</v>
      </c>
      <c r="AJ138" s="13">
        <f>AI138*VLOOKUP('Données projet'!$B$10,Paramètres!$A$1:$I$89,3,0)*VLOOKUP('Données projet'!$B$10,Paramètres!$A$1:$I$89,5,0)</f>
        <v>-2.1282176021486519E-13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370.42479501931444</v>
      </c>
      <c r="AO138" s="59">
        <f t="shared" si="144"/>
        <v>351.95632347830144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113.95911779807993</v>
      </c>
      <c r="AV138" s="21">
        <f>EXP(-LN(2)/25)*AV137+(1-EXP(-LN(2)/25))/(LN(2)/25)*Calculateur!AQ138*Calculateur!AS138*VLOOKUP('Données projet'!$B$10,Paramètres!$A$1:$I$89,3,0)*0.475*44/12</f>
        <v>36.675832654978336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150.63495045305825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69.033667363903731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7.1054273576010019E-14</v>
      </c>
      <c r="BE138" s="13">
        <f>BD138*VLOOKUP('Données projet'!$B$11,Paramètres!$A$1:$I$89,3,0)*VLOOKUP('Données projet'!$B$11,Paramètres!$A$1:$I$89,5,0)</f>
        <v>6.2073013396002357E-14</v>
      </c>
      <c r="BF138" s="13">
        <f t="shared" si="145"/>
        <v>9.8573687844725482E-13</v>
      </c>
      <c r="BG138" s="20">
        <f t="shared" si="115"/>
        <v>1.8249355616270061E-12</v>
      </c>
      <c r="BH138" s="59">
        <f t="shared" si="116"/>
        <v>289.79011366764882</v>
      </c>
      <c r="BI138" s="59">
        <f ca="1">AVERAGE(OFFSET($BH$3,0,0,'Données projet'!$E$11+1,1))-AVERAGE(OFFSET($H$3,0,0,'Données projet'!$E$11+1,1))</f>
        <v>128.92423054779167</v>
      </c>
      <c r="BJ138" s="59">
        <f t="shared" si="146"/>
        <v>127.5443711972687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9.5292845037858385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9.5292845037858385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69.033667363903731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8.1590000000000025</v>
      </c>
      <c r="BY138" s="12">
        <f>IF('Données projet'!$A$114&gt;35,BY137+BX138-CG137,IF(A138&lt;'Données projet'!$A$114,$BV$205^A138,IF(A138='Données projet'!$A$114,'Données projet'!$B$114,BY137+BX138-CG137)))</f>
        <v>389.79900000000066</v>
      </c>
      <c r="BZ138" s="13">
        <f>BY138*VLOOKUP('Données projet'!$B$12,Paramètres!$A$1:$I$89,3,0)*VLOOKUP('Données projet'!$B$12,Paramètres!$A$1:$I$89,5,0)</f>
        <v>352.69013520000055</v>
      </c>
      <c r="CA138" s="13">
        <f t="shared" si="147"/>
        <v>82.116190931394016</v>
      </c>
      <c r="CB138" s="20">
        <f t="shared" si="118"/>
        <v>757.28768467884549</v>
      </c>
      <c r="CC138" s="59">
        <f t="shared" si="119"/>
        <v>1047.0777983464925</v>
      </c>
      <c r="CD138" s="59">
        <f ca="1">AVERAGE(OFFSET($CC$3,0,0,'Données projet'!$E$12+1,1))-AVERAGE(OFFSET($H$3,0,0,'Données projet'!$E$12+1,1))</f>
        <v>601.17090553269054</v>
      </c>
      <c r="CE138" s="59">
        <f t="shared" si="148"/>
        <v>279.37477930888042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65.558525536520719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65.558525536520719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69.033667363903731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-2.8421709430404007E-14</v>
      </c>
      <c r="CU138" s="17">
        <f>CT138*VLOOKUP('Données projet'!$B$13,Paramètres!$A$1:$I$89,3,0)*VLOOKUP('Données projet'!$B$13,Paramètres!$A$1:$I$89,5,0)</f>
        <v>-2.7046098693972454E-14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418.79317359649315</v>
      </c>
      <c r="CZ138" s="59">
        <f t="shared" si="150"/>
        <v>286.46514989661011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123.19096967292418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123.19096967292418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69.033667363903731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69.033667363903731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69.033667363903731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69.033667363903731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69.033667363903731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1.35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1.2093119999999986</v>
      </c>
      <c r="D139" s="11">
        <f t="shared" si="140"/>
        <v>0.54510850972900493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5.035928951628204</v>
      </c>
      <c r="H139" s="67">
        <f t="shared" si="110"/>
        <v>227.05228238777801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69.050431074743884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8.1590000000000025</v>
      </c>
      <c r="N139" s="13">
        <f>IF('Données projet'!$A$36&gt;35,N138+M139-V138,IF(A139&lt;'Données projet'!$A$36,$K$205^A139,IF(A139='Données projet'!$A$36,'Données projet'!$B$36,N138+M139-V138)))</f>
        <v>397.95800000000065</v>
      </c>
      <c r="O139" s="13">
        <f>N139*VLOOKUP('Données projet'!$B$9,Paramètres!$A$1:$I$89,3,0)*VLOOKUP('Données projet'!$B$9,Paramètres!$A$1:$I$89,5,0)</f>
        <v>403.52941200000066</v>
      </c>
      <c r="P139" s="13">
        <f t="shared" si="141"/>
        <v>92.491833093116057</v>
      </c>
      <c r="Q139" s="20">
        <f t="shared" si="108"/>
        <v>863.90366853717831</v>
      </c>
      <c r="R139" s="59">
        <f t="shared" si="109"/>
        <v>1153.7552491445726</v>
      </c>
      <c r="S139" s="59">
        <f ca="1">AVERAGE(OFFSET($R$3,0,0,'Données projet'!$E$9+1,1))-AVERAGE(OFFSET($H$3,0,0,'Données projet'!$E$9+1,1))</f>
        <v>665.7907881991157</v>
      </c>
      <c r="T139" s="59">
        <f t="shared" si="142"/>
        <v>306.76923535735227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72.030044559269214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72.030044559269214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69.050431074743884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-4.5474735088646412E-13</v>
      </c>
      <c r="AJ139" s="13">
        <f>AI139*VLOOKUP('Données projet'!$B$10,Paramètres!$A$1:$I$89,3,0)*VLOOKUP('Données projet'!$B$10,Paramètres!$A$1:$I$89,5,0)</f>
        <v>-2.1282176021486519E-13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370.42479501931444</v>
      </c>
      <c r="AO139" s="59">
        <f t="shared" si="144"/>
        <v>351.95632347830144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111.72444900625807</v>
      </c>
      <c r="AV139" s="21">
        <f>EXP(-LN(2)/25)*AV138+(1-EXP(-LN(2)/25))/(LN(2)/25)*Calculateur!AQ139*Calculateur!AS139*VLOOKUP('Données projet'!$B$10,Paramètres!$A$1:$I$89,3,0)*0.475*44/12</f>
        <v>35.672930082329735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147.3973790885878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69.050431074743884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7.1054273576010019E-14</v>
      </c>
      <c r="BE139" s="13">
        <f>BD139*VLOOKUP('Données projet'!$B$11,Paramètres!$A$1:$I$89,3,0)*VLOOKUP('Données projet'!$B$11,Paramètres!$A$1:$I$89,5,0)</f>
        <v>6.2073013396002357E-14</v>
      </c>
      <c r="BF139" s="13">
        <f t="shared" si="145"/>
        <v>9.8573687844725482E-13</v>
      </c>
      <c r="BG139" s="20">
        <f t="shared" si="115"/>
        <v>1.8249355616270061E-12</v>
      </c>
      <c r="BH139" s="59">
        <f t="shared" si="116"/>
        <v>289.85158060739604</v>
      </c>
      <c r="BI139" s="59">
        <f ca="1">AVERAGE(OFFSET($BH$3,0,0,'Données projet'!$E$11+1,1))-AVERAGE(OFFSET($H$3,0,0,'Données projet'!$E$11+1,1))</f>
        <v>128.92423054779167</v>
      </c>
      <c r="BJ139" s="59">
        <f t="shared" si="146"/>
        <v>127.5443711972687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9.342421046956229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9.342421046956229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69.050431074743884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8.1590000000000025</v>
      </c>
      <c r="BY139" s="12">
        <f>IF('Données projet'!$A$114&gt;35,BY138+BX139-CG138,IF(A139&lt;'Données projet'!$A$114,$BV$205^A139,IF(A139='Données projet'!$A$114,'Données projet'!$B$114,BY138+BX139-CG138)))</f>
        <v>397.95800000000065</v>
      </c>
      <c r="BZ139" s="13">
        <f>BY139*VLOOKUP('Données projet'!$B$12,Paramètres!$A$1:$I$89,3,0)*VLOOKUP('Données projet'!$B$12,Paramètres!$A$1:$I$89,5,0)</f>
        <v>360.07239840000057</v>
      </c>
      <c r="CA139" s="13">
        <f t="shared" si="147"/>
        <v>83.633085567444908</v>
      </c>
      <c r="CB139" s="20">
        <f t="shared" si="118"/>
        <v>772.78705124330099</v>
      </c>
      <c r="CC139" s="59">
        <f t="shared" si="119"/>
        <v>1062.6386318506952</v>
      </c>
      <c r="CD139" s="59">
        <f ca="1">AVERAGE(OFFSET($CC$3,0,0,'Données projet'!$E$12+1,1))-AVERAGE(OFFSET($H$3,0,0,'Données projet'!$E$12+1,1))</f>
        <v>601.17090553269054</v>
      </c>
      <c r="CE139" s="59">
        <f t="shared" si="148"/>
        <v>279.37477930888042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64.272962837501765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64.272962837501765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69.050431074743884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-2.8421709430404007E-14</v>
      </c>
      <c r="CU139" s="17">
        <f>CT139*VLOOKUP('Données projet'!$B$13,Paramètres!$A$1:$I$89,3,0)*VLOOKUP('Données projet'!$B$13,Paramètres!$A$1:$I$89,5,0)</f>
        <v>-2.7046098693972454E-14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418.79317359649315</v>
      </c>
      <c r="CZ139" s="59">
        <f t="shared" si="150"/>
        <v>286.46514989661011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120.77526989671027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120.77526989671027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69.050431074743884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69.050431074743884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69.050431074743884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69.050431074743884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69.050431074743884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1.35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1.2182039999999985</v>
      </c>
      <c r="D140" s="11">
        <f t="shared" si="140"/>
        <v>0.54864860031560159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5.0368886217787479</v>
      </c>
      <c r="H140" s="67">
        <f t="shared" si="110"/>
        <v>227.07393494554967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69.066903972679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8.1590000000000025</v>
      </c>
      <c r="N140" s="13">
        <f>IF('Données projet'!$A$36&gt;35,N139+M140-V139,IF(A140&lt;'Données projet'!$A$36,$K$205^A140,IF(A140='Données projet'!$A$36,'Données projet'!$B$36,N139+M140-V139)))</f>
        <v>406.11700000000064</v>
      </c>
      <c r="O140" s="13">
        <f>N140*VLOOKUP('Données projet'!$B$9,Paramètres!$A$1:$I$89,3,0)*VLOOKUP('Données projet'!$B$9,Paramètres!$A$1:$I$89,5,0)</f>
        <v>411.80263800000068</v>
      </c>
      <c r="P140" s="13">
        <f t="shared" si="141"/>
        <v>94.165404251164176</v>
      </c>
      <c r="Q140" s="20">
        <f t="shared" si="108"/>
        <v>881.22767358744534</v>
      </c>
      <c r="R140" s="59">
        <f t="shared" si="109"/>
        <v>1171.1396548206017</v>
      </c>
      <c r="S140" s="59">
        <f ca="1">AVERAGE(OFFSET($R$3,0,0,'Données projet'!$E$9+1,1))-AVERAGE(OFFSET($H$3,0,0,'Données projet'!$E$9+1,1))</f>
        <v>665.7907881991157</v>
      </c>
      <c r="T140" s="59">
        <f t="shared" si="142"/>
        <v>306.76923535735227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70.617579319451011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70.617579319451011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69.066903972679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-4.5474735088646412E-13</v>
      </c>
      <c r="AJ140" s="13">
        <f>AI140*VLOOKUP('Données projet'!$B$10,Paramètres!$A$1:$I$89,3,0)*VLOOKUP('Données projet'!$B$10,Paramètres!$A$1:$I$89,5,0)</f>
        <v>-2.1282176021486519E-13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370.42479501931444</v>
      </c>
      <c r="AO140" s="59">
        <f t="shared" si="144"/>
        <v>351.95632347830144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109.53360070643046</v>
      </c>
      <c r="AV140" s="21">
        <f>EXP(-LN(2)/25)*AV139+(1-EXP(-LN(2)/25))/(LN(2)/25)*Calculateur!AQ140*Calculateur!AS140*VLOOKUP('Données projet'!$B$10,Paramètres!$A$1:$I$89,3,0)*0.475*44/12</f>
        <v>34.697451933270564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144.23105263970103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69.066903972679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7.1054273576010019E-14</v>
      </c>
      <c r="BE140" s="13">
        <f>BD140*VLOOKUP('Données projet'!$B$11,Paramètres!$A$1:$I$89,3,0)*VLOOKUP('Données projet'!$B$11,Paramètres!$A$1:$I$89,5,0)</f>
        <v>6.2073013396002357E-14</v>
      </c>
      <c r="BF140" s="13">
        <f t="shared" si="145"/>
        <v>9.8573687844725482E-13</v>
      </c>
      <c r="BG140" s="20">
        <f t="shared" si="115"/>
        <v>1.8249355616270061E-12</v>
      </c>
      <c r="BH140" s="59">
        <f t="shared" si="116"/>
        <v>289.91198123315814</v>
      </c>
      <c r="BI140" s="59">
        <f ca="1">AVERAGE(OFFSET($BH$3,0,0,'Données projet'!$E$11+1,1))-AVERAGE(OFFSET($H$3,0,0,'Données projet'!$E$11+1,1))</f>
        <v>128.92423054779167</v>
      </c>
      <c r="BJ140" s="59">
        <f t="shared" si="146"/>
        <v>127.5443711972687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9.1592218685395945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9.1592218685395945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69.066903972679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8.1590000000000025</v>
      </c>
      <c r="BY140" s="12">
        <f>IF('Données projet'!$A$114&gt;35,BY139+BX140-CG139,IF(A140&lt;'Données projet'!$A$114,$BV$205^A140,IF(A140='Données projet'!$A$114,'Données projet'!$B$114,BY139+BX140-CG139)))</f>
        <v>406.11700000000064</v>
      </c>
      <c r="BZ140" s="13">
        <f>BY140*VLOOKUP('Données projet'!$B$12,Paramètres!$A$1:$I$89,3,0)*VLOOKUP('Données projet'!$B$12,Paramètres!$A$1:$I$89,5,0)</f>
        <v>367.45466160000058</v>
      </c>
      <c r="CA140" s="13">
        <f t="shared" si="147"/>
        <v>85.146364255773364</v>
      </c>
      <c r="CB140" s="20">
        <f t="shared" si="118"/>
        <v>788.28012003213962</v>
      </c>
      <c r="CC140" s="59">
        <f t="shared" si="119"/>
        <v>1078.1921012652961</v>
      </c>
      <c r="CD140" s="59">
        <f ca="1">AVERAGE(OFFSET($CC$3,0,0,'Données projet'!$E$12+1,1))-AVERAGE(OFFSET($H$3,0,0,'Données projet'!$E$12+1,1))</f>
        <v>601.17090553269054</v>
      </c>
      <c r="CE140" s="59">
        <f t="shared" si="148"/>
        <v>279.37477930888042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63.012609238894747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63.012609238894747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69.066903972679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-2.8421709430404007E-14</v>
      </c>
      <c r="CU140" s="17">
        <f>CT140*VLOOKUP('Données projet'!$B$13,Paramètres!$A$1:$I$89,3,0)*VLOOKUP('Données projet'!$B$13,Paramètres!$A$1:$I$89,5,0)</f>
        <v>-2.7046098693972454E-14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418.79317359649315</v>
      </c>
      <c r="CZ140" s="59">
        <f t="shared" si="150"/>
        <v>286.46514989661011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118.40694051967654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118.40694051967654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69.066903972679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69.066903972679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69.066903972679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69.066903972679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69.066903972679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1.35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1.2270959999999984</v>
      </c>
      <c r="D141" s="11">
        <f t="shared" si="140"/>
        <v>0.55218568436636151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5.0378480598458246</v>
      </c>
      <c r="H141" s="67">
        <f t="shared" si="110"/>
        <v>227.09558226693807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69.08309110266282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8.1590000000000025</v>
      </c>
      <c r="N141" s="13">
        <f>IF('Données projet'!$A$36&gt;35,N140+M141-V140,IF(A141&lt;'Données projet'!$A$36,$K$205^A141,IF(A141='Données projet'!$A$36,'Données projet'!$B$36,N140+M141-V140)))</f>
        <v>414.27600000000064</v>
      </c>
      <c r="O141" s="13">
        <f>N141*VLOOKUP('Données projet'!$B$9,Paramètres!$A$1:$I$89,3,0)*VLOOKUP('Données projet'!$B$9,Paramètres!$A$1:$I$89,5,0)</f>
        <v>420.07586400000065</v>
      </c>
      <c r="P141" s="13">
        <f t="shared" si="141"/>
        <v>95.835066045220003</v>
      </c>
      <c r="Q141" s="20">
        <f t="shared" si="108"/>
        <v>898.54486982875926</v>
      </c>
      <c r="R141" s="59">
        <f t="shared" si="109"/>
        <v>1188.5162038718563</v>
      </c>
      <c r="S141" s="59">
        <f ca="1">AVERAGE(OFFSET($R$3,0,0,'Données projet'!$E$9+1,1))-AVERAGE(OFFSET($H$3,0,0,'Données projet'!$E$9+1,1))</f>
        <v>665.7907881991157</v>
      </c>
      <c r="T141" s="59">
        <f t="shared" si="142"/>
        <v>306.76923535735227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69.232811661466911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69.232811661466911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69.08309110266282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-4.5474735088646412E-13</v>
      </c>
      <c r="AJ141" s="13">
        <f>AI141*VLOOKUP('Données projet'!$B$10,Paramètres!$A$1:$I$89,3,0)*VLOOKUP('Données projet'!$B$10,Paramètres!$A$1:$I$89,5,0)</f>
        <v>-2.1282176021486519E-13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370.42479501931444</v>
      </c>
      <c r="AO141" s="59">
        <f t="shared" si="144"/>
        <v>351.95632347830144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107.38571360547697</v>
      </c>
      <c r="AV141" s="21">
        <f>EXP(-LN(2)/25)*AV140+(1-EXP(-LN(2)/25))/(LN(2)/25)*Calculateur!AQ141*Calculateur!AS141*VLOOKUP('Données projet'!$B$10,Paramètres!$A$1:$I$89,3,0)*0.475*44/12</f>
        <v>33.748648285495584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141.13436189097254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69.08309110266282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7.1054273576010019E-14</v>
      </c>
      <c r="BE141" s="13">
        <f>BD141*VLOOKUP('Données projet'!$B$11,Paramètres!$A$1:$I$89,3,0)*VLOOKUP('Données projet'!$B$11,Paramètres!$A$1:$I$89,5,0)</f>
        <v>6.2073013396002357E-14</v>
      </c>
      <c r="BF141" s="13">
        <f t="shared" si="145"/>
        <v>9.8573687844725482E-13</v>
      </c>
      <c r="BG141" s="20">
        <f t="shared" si="115"/>
        <v>1.8249355616270061E-12</v>
      </c>
      <c r="BH141" s="59">
        <f t="shared" si="116"/>
        <v>289.97133404309881</v>
      </c>
      <c r="BI141" s="59">
        <f ca="1">AVERAGE(OFFSET($BH$3,0,0,'Données projet'!$E$11+1,1))-AVERAGE(OFFSET($H$3,0,0,'Données projet'!$E$11+1,1))</f>
        <v>128.92423054779167</v>
      </c>
      <c r="BJ141" s="59">
        <f t="shared" si="146"/>
        <v>127.5443711972687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8.9796151142712439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8.9796151142712439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69.08309110266282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8.1590000000000025</v>
      </c>
      <c r="BY141" s="12">
        <f>IF('Données projet'!$A$114&gt;35,BY140+BX141-CG140,IF(A141&lt;'Données projet'!$A$114,$BV$205^A141,IF(A141='Données projet'!$A$114,'Données projet'!$B$114,BY140+BX141-CG140)))</f>
        <v>414.27600000000064</v>
      </c>
      <c r="BZ141" s="13">
        <f>BY141*VLOOKUP('Données projet'!$B$12,Paramètres!$A$1:$I$89,3,0)*VLOOKUP('Données projet'!$B$12,Paramètres!$A$1:$I$89,5,0)</f>
        <v>374.83692480000053</v>
      </c>
      <c r="CA141" s="13">
        <f t="shared" si="147"/>
        <v>86.656108013910185</v>
      </c>
      <c r="CB141" s="20">
        <f t="shared" si="118"/>
        <v>803.76703215089447</v>
      </c>
      <c r="CC141" s="59">
        <f t="shared" si="119"/>
        <v>1093.7383661939914</v>
      </c>
      <c r="CD141" s="59">
        <f ca="1">AVERAGE(OFFSET($CC$3,0,0,'Données projet'!$E$12+1,1))-AVERAGE(OFFSET($H$3,0,0,'Données projet'!$E$12+1,1))</f>
        <v>601.17090553269054</v>
      </c>
      <c r="CE141" s="59">
        <f t="shared" si="148"/>
        <v>279.37477930888042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61.776970405616623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61.776970405616623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69.08309110266282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-2.8421709430404007E-14</v>
      </c>
      <c r="CU141" s="17">
        <f>CT141*VLOOKUP('Données projet'!$B$13,Paramètres!$A$1:$I$89,3,0)*VLOOKUP('Données projet'!$B$13,Paramètres!$A$1:$I$89,5,0)</f>
        <v>-2.7046098693972454E-14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418.79317359649315</v>
      </c>
      <c r="CZ141" s="59">
        <f t="shared" si="150"/>
        <v>286.46514989661011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116.08505263718816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116.08505263718816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69.08309110266282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69.08309110266282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69.08309110266282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69.08309110266282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69.08309110266282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1.35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1.2359879999999983</v>
      </c>
      <c r="D142" s="11">
        <f t="shared" si="140"/>
        <v>0.55571978619389606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5.0388072677061952</v>
      </c>
      <c r="H142" s="67">
        <f t="shared" si="110"/>
        <v>227.11722439428769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69.098997422130424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8.1590000000000025</v>
      </c>
      <c r="N142" s="13">
        <f>IF('Données projet'!$A$36&gt;35,N141+M142-V141,IF(A142&lt;'Données projet'!$A$36,$K$205^A142,IF(A142='Données projet'!$A$36,'Données projet'!$B$36,N141+M142-V141)))</f>
        <v>422.43500000000063</v>
      </c>
      <c r="O142" s="13">
        <f>N142*VLOOKUP('Données projet'!$B$9,Paramètres!$A$1:$I$89,3,0)*VLOOKUP('Données projet'!$B$9,Paramètres!$A$1:$I$89,5,0)</f>
        <v>428.34909000000067</v>
      </c>
      <c r="P142" s="13">
        <f t="shared" si="141"/>
        <v>97.500904343422292</v>
      </c>
      <c r="Q142" s="20">
        <f t="shared" si="108"/>
        <v>915.85540681479506</v>
      </c>
      <c r="R142" s="59">
        <f t="shared" si="109"/>
        <v>1205.8850640292733</v>
      </c>
      <c r="S142" s="59">
        <f ca="1">AVERAGE(OFFSET($R$3,0,0,'Données projet'!$E$9+1,1))-AVERAGE(OFFSET($H$3,0,0,'Données projet'!$E$9+1,1))</f>
        <v>665.7907881991157</v>
      </c>
      <c r="T142" s="59">
        <f t="shared" si="142"/>
        <v>306.76923535735227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67.875198452631011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67.875198452631011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69.098997422130424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-4.5474735088646412E-13</v>
      </c>
      <c r="AJ142" s="13">
        <f>AI142*VLOOKUP('Données projet'!$B$10,Paramètres!$A$1:$I$89,3,0)*VLOOKUP('Données projet'!$B$10,Paramètres!$A$1:$I$89,5,0)</f>
        <v>-2.1282176021486519E-13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370.42479501931444</v>
      </c>
      <c r="AO142" s="59">
        <f t="shared" si="144"/>
        <v>351.95632347830144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105.27994526049139</v>
      </c>
      <c r="AV142" s="21">
        <f>EXP(-LN(2)/25)*AV141+(1-EXP(-LN(2)/25))/(LN(2)/25)*Calculateur!AQ142*Calculateur!AS142*VLOOKUP('Données projet'!$B$10,Paramètres!$A$1:$I$89,3,0)*0.475*44/12</f>
        <v>32.82578972336443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138.10573498385583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69.098997422130424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7.1054273576010019E-14</v>
      </c>
      <c r="BE142" s="13">
        <f>BD142*VLOOKUP('Données projet'!$B$11,Paramètres!$A$1:$I$89,3,0)*VLOOKUP('Données projet'!$B$11,Paramètres!$A$1:$I$89,5,0)</f>
        <v>6.2073013396002357E-14</v>
      </c>
      <c r="BF142" s="13">
        <f t="shared" si="145"/>
        <v>9.8573687844725482E-13</v>
      </c>
      <c r="BG142" s="20">
        <f t="shared" si="115"/>
        <v>1.8249355616270061E-12</v>
      </c>
      <c r="BH142" s="59">
        <f t="shared" si="116"/>
        <v>290.02965721448004</v>
      </c>
      <c r="BI142" s="59">
        <f ca="1">AVERAGE(OFFSET($BH$3,0,0,'Données projet'!$E$11+1,1))-AVERAGE(OFFSET($H$3,0,0,'Données projet'!$E$11+1,1))</f>
        <v>128.92423054779167</v>
      </c>
      <c r="BJ142" s="59">
        <f t="shared" si="146"/>
        <v>127.5443711972687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8.8035303389047925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8.8035303389047925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69.098997422130424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8.1590000000000025</v>
      </c>
      <c r="BY142" s="12">
        <f>IF('Données projet'!$A$114&gt;35,BY141+BX142-CG141,IF(A142&lt;'Données projet'!$A$114,$BV$205^A142,IF(A142='Données projet'!$A$114,'Données projet'!$B$114,BY141+BX142-CG141)))</f>
        <v>422.43500000000063</v>
      </c>
      <c r="BZ142" s="13">
        <f>BY142*VLOOKUP('Données projet'!$B$12,Paramètres!$A$1:$I$89,3,0)*VLOOKUP('Données projet'!$B$12,Paramètres!$A$1:$I$89,5,0)</f>
        <v>382.21918800000054</v>
      </c>
      <c r="CA142" s="13">
        <f t="shared" si="147"/>
        <v>88.162394485655341</v>
      </c>
      <c r="CB142" s="20">
        <f t="shared" si="118"/>
        <v>819.24792282918395</v>
      </c>
      <c r="CC142" s="59">
        <f t="shared" si="119"/>
        <v>1109.2775800436621</v>
      </c>
      <c r="CD142" s="59">
        <f ca="1">AVERAGE(OFFSET($CC$3,0,0,'Données projet'!$E$12+1,1))-AVERAGE(OFFSET($H$3,0,0,'Données projet'!$E$12+1,1))</f>
        <v>601.17090553269054</v>
      </c>
      <c r="CE142" s="59">
        <f t="shared" si="148"/>
        <v>279.37477930888042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60.565561696193818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60.565561696193818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69.098997422130424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-2.8421709430404007E-14</v>
      </c>
      <c r="CU142" s="17">
        <f>CT142*VLOOKUP('Données projet'!$B$13,Paramètres!$A$1:$I$89,3,0)*VLOOKUP('Données projet'!$B$13,Paramètres!$A$1:$I$89,5,0)</f>
        <v>-2.7046098693972454E-14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418.79317359649315</v>
      </c>
      <c r="CZ142" s="59">
        <f t="shared" si="150"/>
        <v>286.46514989661011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113.80869555986361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113.80869555986361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69.098997422130424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69.098997422130424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69.098997422130424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69.098997422130424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69.098997422130424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1.35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1.2448799999999982</v>
      </c>
      <c r="D143" s="11">
        <f t="shared" si="140"/>
        <v>0.5592509297407805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5.0397662472080604</v>
      </c>
      <c r="H143" s="67">
        <f t="shared" si="110"/>
        <v>227.13886136929852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69.114627802516466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8.1590000000000025</v>
      </c>
      <c r="N143" s="13">
        <f>IF('Données projet'!$A$36&gt;35,N142+M143-V142,IF(A143&lt;'Données projet'!$A$36,$K$205^A143,IF(A143='Données projet'!$A$36,'Données projet'!$B$36,N142+M143-V142)))</f>
        <v>430.59400000000062</v>
      </c>
      <c r="O143" s="13">
        <f>N143*VLOOKUP('Données projet'!$B$9,Paramètres!$A$1:$I$89,3,0)*VLOOKUP('Données projet'!$B$9,Paramètres!$A$1:$I$89,5,0)</f>
        <v>436.62231600000064</v>
      </c>
      <c r="P143" s="13">
        <f t="shared" si="141"/>
        <v>99.163001507201159</v>
      </c>
      <c r="Q143" s="20">
        <f t="shared" si="108"/>
        <v>933.15942799170989</v>
      </c>
      <c r="R143" s="59">
        <f t="shared" si="109"/>
        <v>1223.2463966009368</v>
      </c>
      <c r="S143" s="59">
        <f ca="1">AVERAGE(OFFSET($R$3,0,0,'Données projet'!$E$9+1,1))-AVERAGE(OFFSET($H$3,0,0,'Données projet'!$E$9+1,1))</f>
        <v>665.7907881991157</v>
      </c>
      <c r="T143" s="59">
        <f t="shared" si="142"/>
        <v>306.76923535735227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66.544207210758088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66.544207210758088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69.114627802516466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-4.5474735088646412E-13</v>
      </c>
      <c r="AJ143" s="13">
        <f>AI143*VLOOKUP('Données projet'!$B$10,Paramètres!$A$1:$I$89,3,0)*VLOOKUP('Données projet'!$B$10,Paramètres!$A$1:$I$89,5,0)</f>
        <v>-2.1282176021486519E-13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370.42479501931444</v>
      </c>
      <c r="AO143" s="59">
        <f t="shared" si="144"/>
        <v>351.95632347830144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103.21546974835911</v>
      </c>
      <c r="AV143" s="21">
        <f>EXP(-LN(2)/25)*AV142+(1-EXP(-LN(2)/25))/(LN(2)/25)*Calculateur!AQ143*Calculateur!AS143*VLOOKUP('Données projet'!$B$10,Paramètres!$A$1:$I$89,3,0)*0.475*44/12</f>
        <v>31.928166777145773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135.14363652550489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69.114627802516466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7.1054273576010019E-14</v>
      </c>
      <c r="BE143" s="13">
        <f>BD143*VLOOKUP('Données projet'!$B$11,Paramètres!$A$1:$I$89,3,0)*VLOOKUP('Données projet'!$B$11,Paramètres!$A$1:$I$89,5,0)</f>
        <v>6.2073013396002357E-14</v>
      </c>
      <c r="BF143" s="13">
        <f t="shared" si="145"/>
        <v>9.8573687844725482E-13</v>
      </c>
      <c r="BG143" s="20">
        <f t="shared" si="115"/>
        <v>1.8249355616270061E-12</v>
      </c>
      <c r="BH143" s="59">
        <f t="shared" si="116"/>
        <v>290.08696860922885</v>
      </c>
      <c r="BI143" s="59">
        <f ca="1">AVERAGE(OFFSET($BH$3,0,0,'Données projet'!$E$11+1,1))-AVERAGE(OFFSET($H$3,0,0,'Données projet'!$E$11+1,1))</f>
        <v>128.92423054779167</v>
      </c>
      <c r="BJ143" s="59">
        <f t="shared" si="146"/>
        <v>127.5443711972687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8.6308984785821696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8.6308984785821696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69.114627802516466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8.1590000000000025</v>
      </c>
      <c r="BY143" s="12">
        <f>IF('Données projet'!$A$114&gt;35,BY142+BX143-CG142,IF(A143&lt;'Données projet'!$A$114,$BV$205^A143,IF(A143='Données projet'!$A$114,'Données projet'!$B$114,BY142+BX143-CG142)))</f>
        <v>430.59400000000062</v>
      </c>
      <c r="BZ143" s="13">
        <f>BY143*VLOOKUP('Données projet'!$B$12,Paramètres!$A$1:$I$89,3,0)*VLOOKUP('Données projet'!$B$12,Paramètres!$A$1:$I$89,5,0)</f>
        <v>389.60145120000055</v>
      </c>
      <c r="CA143" s="13">
        <f t="shared" si="147"/>
        <v>89.665298143968485</v>
      </c>
      <c r="CB143" s="20">
        <f t="shared" si="118"/>
        <v>834.72292177407928</v>
      </c>
      <c r="CC143" s="59">
        <f t="shared" si="119"/>
        <v>1124.8098903833063</v>
      </c>
      <c r="CD143" s="59">
        <f ca="1">AVERAGE(OFFSET($CC$3,0,0,'Données projet'!$E$12+1,1))-AVERAGE(OFFSET($H$3,0,0,'Données projet'!$E$12+1,1))</f>
        <v>601.17090553269054</v>
      </c>
      <c r="CE143" s="59">
        <f t="shared" si="148"/>
        <v>279.37477930888042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59.377907972676439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59.377907972676439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69.114627802516466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-2.8421709430404007E-14</v>
      </c>
      <c r="CU143" s="17">
        <f>CT143*VLOOKUP('Données projet'!$B$13,Paramètres!$A$1:$I$89,3,0)*VLOOKUP('Données projet'!$B$13,Paramètres!$A$1:$I$89,5,0)</f>
        <v>-2.7046098693972454E-14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418.79317359649315</v>
      </c>
      <c r="CZ143" s="59">
        <f t="shared" si="150"/>
        <v>286.46514989661011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111.57697645638467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111.57697645638467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69.114627802516466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69.114627802516466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69.114627802516466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69.114627802516466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69.114627802516466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1.35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1.2537719999999981</v>
      </c>
      <c r="D144" s="11">
        <f t="shared" si="140"/>
        <v>0.5627791385877885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5.0407250001716886</v>
      </c>
      <c r="H144" s="67">
        <f t="shared" si="110"/>
        <v>227.1604932330404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69.129987030747102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8.1590000000000025</v>
      </c>
      <c r="N144" s="13">
        <f>IF('Données projet'!$A$36&gt;35,N143+M144-V143,IF(A144&lt;'Données projet'!$A$36,$K$205^A144,IF(A144='Données projet'!$A$36,'Données projet'!$B$36,N143+M144-V143)))</f>
        <v>438.75300000000061</v>
      </c>
      <c r="O144" s="13">
        <f>N144*VLOOKUP('Données projet'!$B$9,Paramètres!$A$1:$I$89,3,0)*VLOOKUP('Données projet'!$B$9,Paramètres!$A$1:$I$89,5,0)</f>
        <v>444.89554200000066</v>
      </c>
      <c r="P144" s="13">
        <f t="shared" si="141"/>
        <v>100.82143659817152</v>
      </c>
      <c r="Q144" s="20">
        <f t="shared" si="108"/>
        <v>950.45707105848317</v>
      </c>
      <c r="R144" s="59">
        <f t="shared" si="109"/>
        <v>1240.6003568378892</v>
      </c>
      <c r="S144" s="59">
        <f ca="1">AVERAGE(OFFSET($R$3,0,0,'Données projet'!$E$9+1,1))-AVERAGE(OFFSET($H$3,0,0,'Données projet'!$E$9+1,1))</f>
        <v>665.7907881991157</v>
      </c>
      <c r="T144" s="59">
        <f t="shared" si="142"/>
        <v>306.76923535735227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65.239315895313794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65.239315895313794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69.129987030747102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-4.5474735088646412E-13</v>
      </c>
      <c r="AJ144" s="13">
        <f>AI144*VLOOKUP('Données projet'!$B$10,Paramètres!$A$1:$I$89,3,0)*VLOOKUP('Données projet'!$B$10,Paramètres!$A$1:$I$89,5,0)</f>
        <v>-2.1282176021486519E-13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370.42479501931444</v>
      </c>
      <c r="AO144" s="59">
        <f t="shared" si="144"/>
        <v>351.95632347830144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101.19147734181402</v>
      </c>
      <c r="AV144" s="21">
        <f>EXP(-LN(2)/25)*AV143+(1-EXP(-LN(2)/25))/(LN(2)/25)*Calculateur!AQ144*Calculateur!AS144*VLOOKUP('Données projet'!$B$10,Paramètres!$A$1:$I$89,3,0)*0.475*44/12</f>
        <v>31.055089377595404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132.24656671940943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69.129987030747102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7.1054273576010019E-14</v>
      </c>
      <c r="BE144" s="13">
        <f>BD144*VLOOKUP('Données projet'!$B$11,Paramètres!$A$1:$I$89,3,0)*VLOOKUP('Données projet'!$B$11,Paramètres!$A$1:$I$89,5,0)</f>
        <v>6.2073013396002357E-14</v>
      </c>
      <c r="BF144" s="13">
        <f t="shared" si="145"/>
        <v>9.8573687844725482E-13</v>
      </c>
      <c r="BG144" s="20">
        <f t="shared" si="115"/>
        <v>1.8249355616270061E-12</v>
      </c>
      <c r="BH144" s="59">
        <f t="shared" si="116"/>
        <v>290.14328577940785</v>
      </c>
      <c r="BI144" s="59">
        <f ca="1">AVERAGE(OFFSET($BH$3,0,0,'Données projet'!$E$11+1,1))-AVERAGE(OFFSET($H$3,0,0,'Données projet'!$E$11+1,1))</f>
        <v>128.92423054779167</v>
      </c>
      <c r="BJ144" s="59">
        <f t="shared" si="146"/>
        <v>127.5443711972687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8.4616518237454361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8.4616518237454361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69.129987030747102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8.1590000000000025</v>
      </c>
      <c r="BY144" s="12">
        <f>IF('Données projet'!$A$114&gt;35,BY143+BX144-CG143,IF(A144&lt;'Données projet'!$A$114,$BV$205^A144,IF(A144='Données projet'!$A$114,'Données projet'!$B$114,BY143+BX144-CG143)))</f>
        <v>438.75300000000061</v>
      </c>
      <c r="BZ144" s="13">
        <f>BY144*VLOOKUP('Données projet'!$B$12,Paramètres!$A$1:$I$89,3,0)*VLOOKUP('Données projet'!$B$12,Paramètres!$A$1:$I$89,5,0)</f>
        <v>396.98371440000057</v>
      </c>
      <c r="CA144" s="13">
        <f t="shared" si="147"/>
        <v>91.164890478045521</v>
      </c>
      <c r="CB144" s="20">
        <f t="shared" si="118"/>
        <v>850.19215349593026</v>
      </c>
      <c r="CC144" s="59">
        <f t="shared" si="119"/>
        <v>1140.3354392753363</v>
      </c>
      <c r="CD144" s="59">
        <f ca="1">AVERAGE(OFFSET($CC$3,0,0,'Données projet'!$E$12+1,1))-AVERAGE(OFFSET($H$3,0,0,'Données projet'!$E$12+1,1))</f>
        <v>601.17090553269054</v>
      </c>
      <c r="CE144" s="59">
        <f t="shared" si="148"/>
        <v>279.37477930888042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58.213543414279989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58.213543414279989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69.129987030747102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-2.8421709430404007E-14</v>
      </c>
      <c r="CU144" s="17">
        <f>CT144*VLOOKUP('Données projet'!$B$13,Paramètres!$A$1:$I$89,3,0)*VLOOKUP('Données projet'!$B$13,Paramètres!$A$1:$I$89,5,0)</f>
        <v>-2.7046098693972454E-14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418.79317359649315</v>
      </c>
      <c r="CZ144" s="59">
        <f t="shared" si="150"/>
        <v>286.46514989661011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109.3890200033107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109.3890200033107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69.129987030747102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69.129987030747102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69.129987030747102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69.129987030747102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69.129987030747102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1.35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1.262663999999998</v>
      </c>
      <c r="D145" s="11">
        <f t="shared" si="140"/>
        <v>0.56630443596188484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5.0416835283900401</v>
      </c>
      <c r="H145" s="67">
        <f t="shared" si="110"/>
        <v>227.18212002596695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69.145079810706036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8.1590000000000025</v>
      </c>
      <c r="N145" s="13">
        <f>IF('Données projet'!$A$36&gt;35,N144+M145-V144,IF(A145&lt;'Données projet'!$A$36,$K$205^A145,IF(A145='Données projet'!$A$36,'Données projet'!$B$36,N144+M145-V144)))</f>
        <v>446.9120000000006</v>
      </c>
      <c r="O145" s="13">
        <f>N145*VLOOKUP('Données projet'!$B$9,Paramètres!$A$1:$I$89,3,0)*VLOOKUP('Données projet'!$B$9,Paramètres!$A$1:$I$89,5,0)</f>
        <v>453.16876800000063</v>
      </c>
      <c r="P145" s="13">
        <f t="shared" si="141"/>
        <v>102.47628556920169</v>
      </c>
      <c r="Q145" s="20">
        <f t="shared" si="108"/>
        <v>967.74846829969408</v>
      </c>
      <c r="R145" s="59">
        <f t="shared" si="109"/>
        <v>1257.9470942722828</v>
      </c>
      <c r="S145" s="59">
        <f ca="1">AVERAGE(OFFSET($R$3,0,0,'Données projet'!$E$9+1,1))-AVERAGE(OFFSET($H$3,0,0,'Données projet'!$E$9+1,1))</f>
        <v>665.7907881991157</v>
      </c>
      <c r="T145" s="59">
        <f t="shared" si="142"/>
        <v>306.76923535735227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63.960012702660251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63.960012702660251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69.145079810706036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-4.5474735088646412E-13</v>
      </c>
      <c r="AJ145" s="13">
        <f>AI145*VLOOKUP('Données projet'!$B$10,Paramètres!$A$1:$I$89,3,0)*VLOOKUP('Données projet'!$B$10,Paramètres!$A$1:$I$89,5,0)</f>
        <v>-2.1282176021486519E-13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370.42479501931444</v>
      </c>
      <c r="AO145" s="59">
        <f t="shared" si="144"/>
        <v>351.95632347830144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99.207174191847812</v>
      </c>
      <c r="AV145" s="21">
        <f>EXP(-LN(2)/25)*AV144+(1-EXP(-LN(2)/25))/(LN(2)/25)*Calculateur!AQ145*Calculateur!AS145*VLOOKUP('Données projet'!$B$10,Paramètres!$A$1:$I$89,3,0)*0.475*44/12</f>
        <v>30.205886325448883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129.41306051729669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69.145079810706036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7.1054273576010019E-14</v>
      </c>
      <c r="BE145" s="13">
        <f>BD145*VLOOKUP('Données projet'!$B$11,Paramètres!$A$1:$I$89,3,0)*VLOOKUP('Données projet'!$B$11,Paramètres!$A$1:$I$89,5,0)</f>
        <v>6.2073013396002357E-14</v>
      </c>
      <c r="BF145" s="13">
        <f t="shared" si="145"/>
        <v>9.8573687844725482E-13</v>
      </c>
      <c r="BG145" s="20">
        <f t="shared" si="115"/>
        <v>1.8249355616270061E-12</v>
      </c>
      <c r="BH145" s="59">
        <f t="shared" si="116"/>
        <v>290.19862597259061</v>
      </c>
      <c r="BI145" s="59">
        <f ca="1">AVERAGE(OFFSET($BH$3,0,0,'Données projet'!$E$11+1,1))-AVERAGE(OFFSET($H$3,0,0,'Données projet'!$E$11+1,1))</f>
        <v>128.92423054779167</v>
      </c>
      <c r="BJ145" s="59">
        <f t="shared" si="146"/>
        <v>127.5443711972687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8.2957239925797843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8.2957239925797843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69.145079810706036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8.1590000000000025</v>
      </c>
      <c r="BY145" s="12">
        <f>IF('Données projet'!$A$114&gt;35,BY144+BX145-CG144,IF(A145&lt;'Données projet'!$A$114,$BV$205^A145,IF(A145='Données projet'!$A$114,'Données projet'!$B$114,BY144+BX145-CG144)))</f>
        <v>446.9120000000006</v>
      </c>
      <c r="BZ145" s="13">
        <f>BY145*VLOOKUP('Données projet'!$B$12,Paramètres!$A$1:$I$89,3,0)*VLOOKUP('Données projet'!$B$12,Paramètres!$A$1:$I$89,5,0)</f>
        <v>404.36597760000052</v>
      </c>
      <c r="CA145" s="13">
        <f t="shared" si="147"/>
        <v>92.66124016608812</v>
      </c>
      <c r="CB145" s="20">
        <f t="shared" si="118"/>
        <v>865.655737609271</v>
      </c>
      <c r="CC145" s="59">
        <f t="shared" si="119"/>
        <v>1155.8543635818598</v>
      </c>
      <c r="CD145" s="59">
        <f ca="1">AVERAGE(OFFSET($CC$3,0,0,'Données projet'!$E$12+1,1))-AVERAGE(OFFSET($H$3,0,0,'Données projet'!$E$12+1,1))</f>
        <v>601.17090553269054</v>
      </c>
      <c r="CE145" s="59">
        <f t="shared" si="148"/>
        <v>279.37477930888042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57.072011334681441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57.072011334681441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69.145079810706036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-2.8421709430404007E-14</v>
      </c>
      <c r="CU145" s="17">
        <f>CT145*VLOOKUP('Données projet'!$B$13,Paramètres!$A$1:$I$89,3,0)*VLOOKUP('Données projet'!$B$13,Paramètres!$A$1:$I$89,5,0)</f>
        <v>-2.7046098693972454E-14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418.79317359649315</v>
      </c>
      <c r="CZ145" s="59">
        <f t="shared" si="150"/>
        <v>286.46514989661011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107.24396804175986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107.24396804175986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69.145079810706036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69.145079810706036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69.145079810706036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69.145079810706036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69.145079810706036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1.35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1.2715559999999979</v>
      </c>
      <c r="D146" s="11">
        <f t="shared" si="140"/>
        <v>0.5698268447439877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5.0426418336293608</v>
      </c>
      <c r="H146" s="67">
        <f t="shared" si="110"/>
        <v>227.20374178792912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69.159910764675075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8.1590000000000025</v>
      </c>
      <c r="N146" s="13">
        <f>IF('Données projet'!$A$36&gt;35,N145+M146-V145,IF(A146&lt;'Données projet'!$A$36,$K$205^A146,IF(A146='Données projet'!$A$36,'Données projet'!$B$36,N145+M146-V145)))</f>
        <v>455.07100000000059</v>
      </c>
      <c r="O146" s="13">
        <f>N146*VLOOKUP('Données projet'!$B$9,Paramètres!$A$1:$I$89,3,0)*VLOOKUP('Données projet'!$B$9,Paramètres!$A$1:$I$89,5,0)</f>
        <v>461.44199400000065</v>
      </c>
      <c r="P146" s="13">
        <f t="shared" si="141"/>
        <v>104.12762144113498</v>
      </c>
      <c r="Q146" s="20">
        <f t="shared" si="108"/>
        <v>985.03374689331122</v>
      </c>
      <c r="R146" s="59">
        <f t="shared" si="109"/>
        <v>1275.2867530304532</v>
      </c>
      <c r="S146" s="59">
        <f ca="1">AVERAGE(OFFSET($R$3,0,0,'Données projet'!$E$9+1,1))-AVERAGE(OFFSET($H$3,0,0,'Données projet'!$E$9+1,1))</f>
        <v>665.7907881991157</v>
      </c>
      <c r="T146" s="59">
        <f t="shared" si="142"/>
        <v>306.76923535735227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62.705795865316738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62.705795865316738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69.159910764675075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-4.5474735088646412E-13</v>
      </c>
      <c r="AJ146" s="13">
        <f>AI146*VLOOKUP('Données projet'!$B$10,Paramètres!$A$1:$I$89,3,0)*VLOOKUP('Données projet'!$B$10,Paramètres!$A$1:$I$89,5,0)</f>
        <v>-2.1282176021486519E-13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370.42479501931444</v>
      </c>
      <c r="AO146" s="59">
        <f t="shared" si="144"/>
        <v>351.95632347830144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97.261782016347027</v>
      </c>
      <c r="AV146" s="21">
        <f>EXP(-LN(2)/25)*AV145+(1-EXP(-LN(2)/25))/(LN(2)/25)*Calculateur!AQ146*Calculateur!AS146*VLOOKUP('Données projet'!$B$10,Paramètres!$A$1:$I$89,3,0)*0.475*44/12</f>
        <v>29.379904775420957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126.64168679176798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69.159910764675075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7.1054273576010019E-14</v>
      </c>
      <c r="BE146" s="13">
        <f>BD146*VLOOKUP('Données projet'!$B$11,Paramètres!$A$1:$I$89,3,0)*VLOOKUP('Données projet'!$B$11,Paramètres!$A$1:$I$89,5,0)</f>
        <v>6.2073013396002357E-14</v>
      </c>
      <c r="BF146" s="13">
        <f t="shared" si="145"/>
        <v>9.8573687844725482E-13</v>
      </c>
      <c r="BG146" s="20">
        <f t="shared" si="115"/>
        <v>1.8249355616270061E-12</v>
      </c>
      <c r="BH146" s="59">
        <f t="shared" si="116"/>
        <v>290.25300613714376</v>
      </c>
      <c r="BI146" s="59">
        <f ca="1">AVERAGE(OFFSET($BH$3,0,0,'Données projet'!$E$11+1,1))-AVERAGE(OFFSET($H$3,0,0,'Données projet'!$E$11+1,1))</f>
        <v>128.92423054779167</v>
      </c>
      <c r="BJ146" s="59">
        <f t="shared" si="146"/>
        <v>127.5443711972687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8.1330499049773071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8.1330499049773071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69.159910764675075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8.1590000000000025</v>
      </c>
      <c r="BY146" s="12">
        <f>IF('Données projet'!$A$114&gt;35,BY145+BX146-CG145,IF(A146&lt;'Données projet'!$A$114,$BV$205^A146,IF(A146='Données projet'!$A$114,'Données projet'!$B$114,BY145+BX146-CG145)))</f>
        <v>455.07100000000059</v>
      </c>
      <c r="BZ146" s="13">
        <f>BY146*VLOOKUP('Données projet'!$B$12,Paramètres!$A$1:$I$89,3,0)*VLOOKUP('Données projet'!$B$12,Paramètres!$A$1:$I$89,5,0)</f>
        <v>411.74824080000053</v>
      </c>
      <c r="CA146" s="13">
        <f t="shared" si="147"/>
        <v>94.15441323509782</v>
      </c>
      <c r="CB146" s="20">
        <f t="shared" si="118"/>
        <v>881.11378911112968</v>
      </c>
      <c r="CC146" s="59">
        <f t="shared" si="119"/>
        <v>1171.3667952482715</v>
      </c>
      <c r="CD146" s="59">
        <f ca="1">AVERAGE(OFFSET($CC$3,0,0,'Données projet'!$E$12+1,1))-AVERAGE(OFFSET($H$3,0,0,'Données projet'!$E$12+1,1))</f>
        <v>601.17090553269054</v>
      </c>
      <c r="CE146" s="59">
        <f t="shared" si="148"/>
        <v>279.37477930888042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55.952864002898004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55.952864002898004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69.159910764675075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-2.8421709430404007E-14</v>
      </c>
      <c r="CU146" s="17">
        <f>CT146*VLOOKUP('Données projet'!$B$13,Paramètres!$A$1:$I$89,3,0)*VLOOKUP('Données projet'!$B$13,Paramètres!$A$1:$I$89,5,0)</f>
        <v>-2.7046098693972454E-14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418.79317359649315</v>
      </c>
      <c r="CZ146" s="59">
        <f t="shared" si="150"/>
        <v>286.46514989661011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105.14097924082252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105.14097924082252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69.159910764675075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69.159910764675075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69.159910764675075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69.159910764675075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69.159910764675075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1.35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1.2804479999999978</v>
      </c>
      <c r="D147" s="11">
        <f t="shared" si="140"/>
        <v>0.57334638747650779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5.0435999176297655</v>
      </c>
      <c r="H147" s="67">
        <f t="shared" si="110"/>
        <v>227.22535855818825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69.1744844347498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463.23</v>
      </c>
      <c r="L147" s="12">
        <f>VLOOKUP(A147,'Données projet'!$A$35:$I$55,9,0)</f>
        <v>8.1590000000000025</v>
      </c>
      <c r="M147" s="12">
        <f t="array" ref="M147">INDEX(L:L,MIN(IF(ISNUMBER(L147:L343),ROW(L147:L343),"")))</f>
        <v>8.1590000000000025</v>
      </c>
      <c r="N147" s="13">
        <f>IF('Données projet'!$A$36&gt;35,N146+M147-V146,IF(A147&lt;'Données projet'!$A$36,$K$205^A147,IF(A147='Données projet'!$A$36,'Données projet'!$B$36,N146+M147-V146)))</f>
        <v>463.23000000000059</v>
      </c>
      <c r="O147" s="13">
        <f>N147*VLOOKUP('Données projet'!$B$9,Paramètres!$A$1:$I$89,3,0)*VLOOKUP('Données projet'!$B$9,Paramètres!$A$1:$I$89,5,0)</f>
        <v>469.71522000000061</v>
      </c>
      <c r="P147" s="13">
        <f t="shared" si="141"/>
        <v>105.77551446647743</v>
      </c>
      <c r="Q147" s="20">
        <f t="shared" si="108"/>
        <v>1002.3130291957826</v>
      </c>
      <c r="R147" s="59">
        <f t="shared" si="109"/>
        <v>1292.6194721231986</v>
      </c>
      <c r="S147" s="59">
        <f ca="1">AVERAGE(OFFSET($R$3,0,0,'Données projet'!$E$9+1,1))-AVERAGE(OFFSET($H$3,0,0,'Données projet'!$E$9+1,1))</f>
        <v>665.7907881991157</v>
      </c>
      <c r="T147" s="59">
        <f t="shared" si="142"/>
        <v>306.76923535735227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56.01</v>
      </c>
      <c r="W147" s="16">
        <f>IF(ISNA(VLOOKUP(A147,'Données projet'!$A$35:$I$55,5,0)),0%,VLOOKUP(A147,'Données projet'!$A$35:$I$55,5,0)*VLOOKUP('Données projet'!$B$9,Paramètres!$A$1:$I$89,7,0))</f>
        <v>0.25800000000000001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77.674507246427055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77.674507246427055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69.1744844347498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-4.5474735088646412E-13</v>
      </c>
      <c r="AJ147" s="13">
        <f>AI147*VLOOKUP('Données projet'!$B$10,Paramètres!$A$1:$I$89,3,0)*VLOOKUP('Données projet'!$B$10,Paramètres!$A$1:$I$89,5,0)</f>
        <v>-2.1282176021486519E-13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370.42479501931444</v>
      </c>
      <c r="AO147" s="59">
        <f t="shared" si="144"/>
        <v>351.95632347830144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95.35453779483575</v>
      </c>
      <c r="AV147" s="21">
        <f>EXP(-LN(2)/25)*AV146+(1-EXP(-LN(2)/25))/(LN(2)/25)*Calculateur!AQ147*Calculateur!AS147*VLOOKUP('Données projet'!$B$10,Paramètres!$A$1:$I$89,3,0)*0.475*44/12</f>
        <v>28.576509734315028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123.93104752915077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69.1744844347498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7.1054273576010019E-14</v>
      </c>
      <c r="BE147" s="13">
        <f>BD147*VLOOKUP('Données projet'!$B$11,Paramètres!$A$1:$I$89,3,0)*VLOOKUP('Données projet'!$B$11,Paramètres!$A$1:$I$89,5,0)</f>
        <v>6.2073013396002357E-14</v>
      </c>
      <c r="BF147" s="13">
        <f t="shared" si="145"/>
        <v>9.8573687844725482E-13</v>
      </c>
      <c r="BG147" s="20">
        <f t="shared" si="115"/>
        <v>1.8249355616270061E-12</v>
      </c>
      <c r="BH147" s="59">
        <f t="shared" si="116"/>
        <v>290.30644292741778</v>
      </c>
      <c r="BI147" s="59">
        <f ca="1">AVERAGE(OFFSET($BH$3,0,0,'Données projet'!$E$11+1,1))-AVERAGE(OFFSET($H$3,0,0,'Données projet'!$E$11+1,1))</f>
        <v>128.92423054779167</v>
      </c>
      <c r="BJ147" s="59">
        <f t="shared" si="146"/>
        <v>127.5443711972687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7.9735657570113183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7.9735657570113183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69.1744844347498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463.23</v>
      </c>
      <c r="BW147" s="12">
        <f>VLOOKUP(A147,'Données projet'!$A$113:$I$133,9,0)</f>
        <v>8.1590000000000025</v>
      </c>
      <c r="BX147" s="12">
        <f t="array" ref="BX147">INDEX(BW:BW,MIN(IF(ISNUMBER(BW147:BW343),ROW(BW147:BW343),"")))</f>
        <v>8.1590000000000025</v>
      </c>
      <c r="BY147" s="12">
        <f>IF('Données projet'!$A$114&gt;35,BY146+BX147-CG146,IF(A147&lt;'Données projet'!$A$114,$BV$205^A147,IF(A147='Données projet'!$A$114,'Données projet'!$B$114,BY146+BX147-CG146)))</f>
        <v>463.23000000000059</v>
      </c>
      <c r="BZ147" s="13">
        <f>BY147*VLOOKUP('Données projet'!$B$12,Paramètres!$A$1:$I$89,3,0)*VLOOKUP('Données projet'!$B$12,Paramètres!$A$1:$I$89,5,0)</f>
        <v>419.13050400000049</v>
      </c>
      <c r="CA147" s="13">
        <f t="shared" si="147"/>
        <v>95.644473208887277</v>
      </c>
      <c r="CB147" s="20">
        <f t="shared" si="118"/>
        <v>896.56641863881293</v>
      </c>
      <c r="CC147" s="59">
        <f t="shared" si="119"/>
        <v>1186.8728615662289</v>
      </c>
      <c r="CD147" s="59">
        <f ca="1">AVERAGE(OFFSET($CC$3,0,0,'Données projet'!$E$12+1,1))-AVERAGE(OFFSET($H$3,0,0,'Données projet'!$E$12+1,1))</f>
        <v>601.17090553269054</v>
      </c>
      <c r="CE147" s="59">
        <f t="shared" si="148"/>
        <v>279.37477930888042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56.01</v>
      </c>
      <c r="CH147" s="16">
        <f>IF(ISNA(VLOOKUP(A147,'Données projet'!$A$113:$I$133,5,0)),0%,VLOOKUP(A147,'Données projet'!$A$113:$I$133,5,0)*VLOOKUP('Données projet'!$B$12,Paramètres!$A$1:$I$89,7,0))</f>
        <v>0.25800000000000001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69.309560312196439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69.309560312196439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69.1744844347498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-2.8421709430404007E-14</v>
      </c>
      <c r="CU147" s="17">
        <f>CT147*VLOOKUP('Données projet'!$B$13,Paramètres!$A$1:$I$89,3,0)*VLOOKUP('Données projet'!$B$13,Paramètres!$A$1:$I$89,5,0)</f>
        <v>-2.7046098693972454E-14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418.79317359649315</v>
      </c>
      <c r="CZ147" s="59">
        <f t="shared" si="150"/>
        <v>286.46514989661011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103.07922876757505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103.07922876757505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69.1744844347498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69.1744844347498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69.1744844347498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69.1744844347498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69.1744844347498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1.35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1.2893399999999977</v>
      </c>
      <c r="D148" s="11">
        <f t="shared" si="140"/>
        <v>0.5768630863706703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5.0445577821058061</v>
      </c>
      <c r="H148" s="67">
        <f t="shared" si="110"/>
        <v>227.24697037542893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69.188805284230568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8.3249999999999993</v>
      </c>
      <c r="N148" s="13">
        <f>IF('Données projet'!$A$36&gt;35,N147+M148-V147,IF(A148&lt;'Données projet'!$A$36,$K$205^A148,IF(A148='Données projet'!$A$36,'Données projet'!$B$36,N147+M148-V147)))</f>
        <v>415.54500000000058</v>
      </c>
      <c r="O148" s="13">
        <f>N148*VLOOKUP('Données projet'!$B$9,Paramètres!$A$1:$I$89,3,0)*VLOOKUP('Données projet'!$B$9,Paramètres!$A$1:$I$89,5,0)</f>
        <v>421.36263000000059</v>
      </c>
      <c r="P148" s="13">
        <f t="shared" si="141"/>
        <v>96.094409121503247</v>
      </c>
      <c r="Q148" s="20">
        <f t="shared" si="108"/>
        <v>901.23767646995248</v>
      </c>
      <c r="R148" s="59">
        <f t="shared" si="109"/>
        <v>1191.5966291787979</v>
      </c>
      <c r="S148" s="59">
        <f ca="1">AVERAGE(OFFSET($R$3,0,0,'Données projet'!$E$9+1,1))-AVERAGE(OFFSET($H$3,0,0,'Données projet'!$E$9+1,1))</f>
        <v>665.7907881991157</v>
      </c>
      <c r="T148" s="59">
        <f t="shared" si="142"/>
        <v>306.76923535735227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76.151357536095972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76.151357536095972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69.188805284230568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-4.5474735088646412E-13</v>
      </c>
      <c r="AJ148" s="13">
        <f>AI148*VLOOKUP('Données projet'!$B$10,Paramètres!$A$1:$I$89,3,0)*VLOOKUP('Données projet'!$B$10,Paramètres!$A$1:$I$89,5,0)</f>
        <v>-2.1282176021486519E-13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370.42479501931444</v>
      </c>
      <c r="AO148" s="59">
        <f t="shared" si="144"/>
        <v>351.95632347830144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93.484693469204203</v>
      </c>
      <c r="AV148" s="21">
        <f>EXP(-LN(2)/25)*AV147+(1-EXP(-LN(2)/25))/(LN(2)/25)*Calculateur!AQ148*Calculateur!AS148*VLOOKUP('Données projet'!$B$10,Paramètres!$A$1:$I$89,3,0)*0.475*44/12</f>
        <v>27.79508357285685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121.27977704206106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69.188805284230568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7.1054273576010019E-14</v>
      </c>
      <c r="BE148" s="13">
        <f>BD148*VLOOKUP('Données projet'!$B$11,Paramètres!$A$1:$I$89,3,0)*VLOOKUP('Données projet'!$B$11,Paramètres!$A$1:$I$89,5,0)</f>
        <v>6.2073013396002357E-14</v>
      </c>
      <c r="BF148" s="13">
        <f t="shared" si="145"/>
        <v>9.8573687844725482E-13</v>
      </c>
      <c r="BG148" s="20">
        <f t="shared" si="115"/>
        <v>1.8249355616270061E-12</v>
      </c>
      <c r="BH148" s="59">
        <f t="shared" si="116"/>
        <v>290.35895270884726</v>
      </c>
      <c r="BI148" s="59">
        <f ca="1">AVERAGE(OFFSET($BH$3,0,0,'Données projet'!$E$11+1,1))-AVERAGE(OFFSET($H$3,0,0,'Données projet'!$E$11+1,1))</f>
        <v>128.92423054779167</v>
      </c>
      <c r="BJ148" s="59">
        <f t="shared" si="146"/>
        <v>127.5443711972687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7.8172089959112174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7.8172089959112174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69.188805284230568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8.3249999999999993</v>
      </c>
      <c r="BY148" s="12">
        <f>IF('Données projet'!$A$114&gt;35,BY147+BX148-CG147,IF(A148&lt;'Données projet'!$A$114,$BV$205^A148,IF(A148='Données projet'!$A$114,'Données projet'!$B$114,BY147+BX148-CG147)))</f>
        <v>415.54500000000058</v>
      </c>
      <c r="BZ148" s="13">
        <f>BY148*VLOOKUP('Données projet'!$B$12,Paramètres!$A$1:$I$89,3,0)*VLOOKUP('Données projet'!$B$12,Paramètres!$A$1:$I$89,5,0)</f>
        <v>375.98511600000052</v>
      </c>
      <c r="CA148" s="13">
        <f t="shared" si="147"/>
        <v>86.890611547517153</v>
      </c>
      <c r="CB148" s="20">
        <f t="shared" si="118"/>
        <v>806.17522547859323</v>
      </c>
      <c r="CC148" s="59">
        <f t="shared" si="119"/>
        <v>1096.5341781874386</v>
      </c>
      <c r="CD148" s="59">
        <f ca="1">AVERAGE(OFFSET($CC$3,0,0,'Données projet'!$E$12+1,1))-AVERAGE(OFFSET($H$3,0,0,'Données projet'!$E$12+1,1))</f>
        <v>601.17090553269054</v>
      </c>
      <c r="CE148" s="59">
        <f t="shared" si="148"/>
        <v>279.37477930888042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67.950442109131785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67.950442109131785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69.188805284230568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-2.8421709430404007E-14</v>
      </c>
      <c r="CU148" s="17">
        <f>CT148*VLOOKUP('Données projet'!$B$13,Paramètres!$A$1:$I$89,3,0)*VLOOKUP('Données projet'!$B$13,Paramètres!$A$1:$I$89,5,0)</f>
        <v>-2.7046098693972454E-14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418.79317359649315</v>
      </c>
      <c r="CZ148" s="59">
        <f t="shared" si="150"/>
        <v>286.46514989661011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101.05790796356435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101.05790796356435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69.188805284230568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69.188805284230568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69.188805284230568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69.188805284230568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69.188805284230568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1.35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1.2982319999999976</v>
      </c>
      <c r="D149" s="11">
        <f t="shared" si="140"/>
        <v>0.58037696331363176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5.0455154287470174</v>
      </c>
      <c r="H149" s="67">
        <f t="shared" si="110"/>
        <v>227.26857727777124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69.202877698989482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8.3249999999999993</v>
      </c>
      <c r="N149" s="13">
        <f>IF('Données projet'!$A$36&gt;35,N148+M149-V148,IF(A149&lt;'Données projet'!$A$36,$K$205^A149,IF(A149='Données projet'!$A$36,'Données projet'!$B$36,N148+M149-V148)))</f>
        <v>423.87000000000057</v>
      </c>
      <c r="O149" s="13">
        <f>N149*VLOOKUP('Données projet'!$B$9,Paramètres!$A$1:$I$89,3,0)*VLOOKUP('Données projet'!$B$9,Paramètres!$A$1:$I$89,5,0)</f>
        <v>429.8041800000006</v>
      </c>
      <c r="P149" s="13">
        <f t="shared" si="141"/>
        <v>97.793501833753268</v>
      </c>
      <c r="Q149" s="20">
        <f t="shared" si="108"/>
        <v>918.89929586045457</v>
      </c>
      <c r="R149" s="59">
        <f t="shared" si="109"/>
        <v>1209.3098474234159</v>
      </c>
      <c r="S149" s="59">
        <f ca="1">AVERAGE(OFFSET($R$3,0,0,'Données projet'!$E$9+1,1))-AVERAGE(OFFSET($H$3,0,0,'Données projet'!$E$9+1,1))</f>
        <v>665.7907881991157</v>
      </c>
      <c r="T149" s="59">
        <f t="shared" si="142"/>
        <v>306.76923535735227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74.658075862554895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74.658075862554895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69.202877698989482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-4.5474735088646412E-13</v>
      </c>
      <c r="AJ149" s="13">
        <f>AI149*VLOOKUP('Données projet'!$B$10,Paramètres!$A$1:$I$89,3,0)*VLOOKUP('Données projet'!$B$10,Paramètres!$A$1:$I$89,5,0)</f>
        <v>-2.1282176021486519E-13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370.42479501931444</v>
      </c>
      <c r="AO149" s="59">
        <f t="shared" si="144"/>
        <v>351.95632347830144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91.651515650305868</v>
      </c>
      <c r="AV149" s="21">
        <f>EXP(-LN(2)/25)*AV148+(1-EXP(-LN(2)/25))/(LN(2)/25)*Calculateur!AQ149*Calculateur!AS149*VLOOKUP('Données projet'!$B$10,Paramètres!$A$1:$I$89,3,0)*0.475*44/12</f>
        <v>27.035025550877162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118.68654120118303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69.202877698989482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7.1054273576010019E-14</v>
      </c>
      <c r="BE149" s="13">
        <f>BD149*VLOOKUP('Données projet'!$B$11,Paramètres!$A$1:$I$89,3,0)*VLOOKUP('Données projet'!$B$11,Paramètres!$A$1:$I$89,5,0)</f>
        <v>6.2073013396002357E-14</v>
      </c>
      <c r="BF149" s="13">
        <f t="shared" si="145"/>
        <v>9.8573687844725482E-13</v>
      </c>
      <c r="BG149" s="20">
        <f t="shared" si="115"/>
        <v>1.8249355616270061E-12</v>
      </c>
      <c r="BH149" s="59">
        <f t="shared" si="116"/>
        <v>290.41055156296324</v>
      </c>
      <c r="BI149" s="59">
        <f ca="1">AVERAGE(OFFSET($BH$3,0,0,'Données projet'!$E$11+1,1))-AVERAGE(OFFSET($H$3,0,0,'Données projet'!$E$11+1,1))</f>
        <v>128.92423054779167</v>
      </c>
      <c r="BJ149" s="59">
        <f t="shared" si="146"/>
        <v>127.5443711972687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7.6639182955280827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7.6639182955280827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69.202877698989482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8.3249999999999993</v>
      </c>
      <c r="BY149" s="12">
        <f>IF('Données projet'!$A$114&gt;35,BY148+BX149-CG148,IF(A149&lt;'Données projet'!$A$114,$BV$205^A149,IF(A149='Données projet'!$A$114,'Données projet'!$B$114,BY148+BX149-CG148)))</f>
        <v>423.87000000000057</v>
      </c>
      <c r="BZ149" s="13">
        <f>BY149*VLOOKUP('Données projet'!$B$12,Paramètres!$A$1:$I$89,3,0)*VLOOKUP('Données projet'!$B$12,Paramètres!$A$1:$I$89,5,0)</f>
        <v>383.51757600000053</v>
      </c>
      <c r="CA149" s="13">
        <f t="shared" si="147"/>
        <v>88.426967368766455</v>
      </c>
      <c r="CB149" s="20">
        <f t="shared" si="118"/>
        <v>821.97007970060247</v>
      </c>
      <c r="CC149" s="59">
        <f t="shared" si="119"/>
        <v>1112.3806312635638</v>
      </c>
      <c r="CD149" s="59">
        <f ca="1">AVERAGE(OFFSET($CC$3,0,0,'Données projet'!$E$12+1,1))-AVERAGE(OFFSET($H$3,0,0,'Données projet'!$E$12+1,1))</f>
        <v>601.17090553269054</v>
      </c>
      <c r="CE149" s="59">
        <f t="shared" si="148"/>
        <v>279.37477930888042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66.617975385048979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66.617975385048979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69.202877698989482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-2.8421709430404007E-14</v>
      </c>
      <c r="CU149" s="17">
        <f>CT149*VLOOKUP('Données projet'!$B$13,Paramètres!$A$1:$I$89,3,0)*VLOOKUP('Données projet'!$B$13,Paramètres!$A$1:$I$89,5,0)</f>
        <v>-2.7046098693972454E-14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418.79317359649315</v>
      </c>
      <c r="CZ149" s="59">
        <f t="shared" si="150"/>
        <v>286.46514989661011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99.076224027636343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99.076224027636343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69.202877698989482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69.202877698989482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69.202877698989482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69.202877698989482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69.202877698989482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1.35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1.3071239999999975</v>
      </c>
      <c r="D150" s="11">
        <f t="shared" si="140"/>
        <v>0.58388803987539317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5.0464728592184516</v>
      </c>
      <c r="H150" s="67">
        <f t="shared" si="110"/>
        <v>227.29017930278297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69.21670598881353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8.3249999999999993</v>
      </c>
      <c r="N150" s="13">
        <f>IF('Données projet'!$A$36&gt;35,N149+M150-V149,IF(A150&lt;'Données projet'!$A$36,$K$205^A150,IF(A150='Données projet'!$A$36,'Données projet'!$B$36,N149+M150-V149)))</f>
        <v>432.19500000000056</v>
      </c>
      <c r="O150" s="13">
        <f>N150*VLOOKUP('Données projet'!$B$9,Paramètres!$A$1:$I$89,3,0)*VLOOKUP('Données projet'!$B$9,Paramètres!$A$1:$I$89,5,0)</f>
        <v>438.24573000000061</v>
      </c>
      <c r="P150" s="13">
        <f t="shared" si="141"/>
        <v>99.488714339852734</v>
      </c>
      <c r="Q150" s="20">
        <f t="shared" si="108"/>
        <v>936.55415722524458</v>
      </c>
      <c r="R150" s="59">
        <f t="shared" si="109"/>
        <v>1227.0154125175609</v>
      </c>
      <c r="S150" s="59">
        <f ca="1">AVERAGE(OFFSET($R$3,0,0,'Données projet'!$E$9+1,1))-AVERAGE(OFFSET($H$3,0,0,'Données projet'!$E$9+1,1))</f>
        <v>665.7907881991157</v>
      </c>
      <c r="T150" s="59">
        <f t="shared" si="142"/>
        <v>306.76923535735227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73.194076531820073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73.194076531820073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69.21670598881353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-4.5474735088646412E-13</v>
      </c>
      <c r="AJ150" s="13">
        <f>AI150*VLOOKUP('Données projet'!$B$10,Paramètres!$A$1:$I$89,3,0)*VLOOKUP('Données projet'!$B$10,Paramètres!$A$1:$I$89,5,0)</f>
        <v>-2.1282176021486519E-13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370.42479501931444</v>
      </c>
      <c r="AO150" s="59">
        <f t="shared" si="144"/>
        <v>351.95632347830144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89.854285330308059</v>
      </c>
      <c r="AV150" s="21">
        <f>EXP(-LN(2)/25)*AV149+(1-EXP(-LN(2)/25))/(LN(2)/25)*Calculateur!AQ150*Calculateur!AS150*VLOOKUP('Données projet'!$B$10,Paramètres!$A$1:$I$89,3,0)*0.475*44/12</f>
        <v>26.29575135547822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116.15003668578628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69.21670598881353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7.1054273576010019E-14</v>
      </c>
      <c r="BE150" s="13">
        <f>BD150*VLOOKUP('Données projet'!$B$11,Paramètres!$A$1:$I$89,3,0)*VLOOKUP('Données projet'!$B$11,Paramètres!$A$1:$I$89,5,0)</f>
        <v>6.2073013396002357E-14</v>
      </c>
      <c r="BF150" s="13">
        <f t="shared" si="145"/>
        <v>9.8573687844725482E-13</v>
      </c>
      <c r="BG150" s="20">
        <f t="shared" si="115"/>
        <v>1.8249355616270061E-12</v>
      </c>
      <c r="BH150" s="59">
        <f t="shared" si="116"/>
        <v>290.46125529231807</v>
      </c>
      <c r="BI150" s="59">
        <f ca="1">AVERAGE(OFFSET($BH$3,0,0,'Données projet'!$E$11+1,1))-AVERAGE(OFFSET($H$3,0,0,'Données projet'!$E$11+1,1))</f>
        <v>128.92423054779167</v>
      </c>
      <c r="BJ150" s="59">
        <f t="shared" si="146"/>
        <v>127.5443711972687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7.5136335322813661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7.5136335322813661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69.21670598881353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8.3249999999999993</v>
      </c>
      <c r="BY150" s="12">
        <f>IF('Données projet'!$A$114&gt;35,BY149+BX150-CG149,IF(A150&lt;'Données projet'!$A$114,$BV$205^A150,IF(A150='Données projet'!$A$114,'Données projet'!$B$114,BY149+BX150-CG149)))</f>
        <v>432.19500000000056</v>
      </c>
      <c r="BZ150" s="13">
        <f>BY150*VLOOKUP('Données projet'!$B$12,Paramètres!$A$1:$I$89,3,0)*VLOOKUP('Données projet'!$B$12,Paramètres!$A$1:$I$89,5,0)</f>
        <v>391.05003600000049</v>
      </c>
      <c r="CA150" s="13">
        <f t="shared" si="147"/>
        <v>89.959814624965674</v>
      </c>
      <c r="CB150" s="20">
        <f t="shared" si="118"/>
        <v>837.75882317181595</v>
      </c>
      <c r="CC150" s="59">
        <f t="shared" si="119"/>
        <v>1128.2200784641323</v>
      </c>
      <c r="CD150" s="59">
        <f ca="1">AVERAGE(OFFSET($CC$3,0,0,'Données projet'!$E$12+1,1))-AVERAGE(OFFSET($H$3,0,0,'Données projet'!$E$12+1,1))</f>
        <v>601.17090553269054</v>
      </c>
      <c r="CE150" s="59">
        <f t="shared" si="148"/>
        <v>279.37477930888042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65.311637520700984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65.311637520700984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69.21670598881353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-2.8421709430404007E-14</v>
      </c>
      <c r="CU150" s="17">
        <f>CT150*VLOOKUP('Données projet'!$B$13,Paramètres!$A$1:$I$89,3,0)*VLOOKUP('Données projet'!$B$13,Paramètres!$A$1:$I$89,5,0)</f>
        <v>-2.7046098693972454E-14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418.79317359649315</v>
      </c>
      <c r="CZ150" s="59">
        <f t="shared" si="150"/>
        <v>286.46514989661011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97.133399704984029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97.133399704984029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69.21670598881353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69.21670598881353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69.21670598881353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69.21670598881353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69.21670598881353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1.35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1.3160159999999974</v>
      </c>
      <c r="D151" s="11">
        <f t="shared" si="140"/>
        <v>0.58739633731552254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5.0474300751611985</v>
      </c>
      <c r="H151" s="67">
        <f t="shared" si="110"/>
        <v>227.31177648749119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69.230294388724545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8.3249999999999993</v>
      </c>
      <c r="N151" s="13">
        <f>IF('Données projet'!$A$36&gt;35,N150+M151-V150,IF(A151&lt;'Données projet'!$A$36,$K$205^A151,IF(A151='Données projet'!$A$36,'Données projet'!$B$36,N150+M151-V150)))</f>
        <v>440.52000000000055</v>
      </c>
      <c r="O151" s="13">
        <f>N151*VLOOKUP('Données projet'!$B$9,Paramètres!$A$1:$I$89,3,0)*VLOOKUP('Données projet'!$B$9,Paramètres!$A$1:$I$89,5,0)</f>
        <v>446.68728000000056</v>
      </c>
      <c r="P151" s="13">
        <f t="shared" si="141"/>
        <v>101.18012999765861</v>
      </c>
      <c r="Q151" s="20">
        <f t="shared" si="108"/>
        <v>954.20240574592299</v>
      </c>
      <c r="R151" s="59">
        <f t="shared" si="109"/>
        <v>1244.7134851712462</v>
      </c>
      <c r="S151" s="59">
        <f ca="1">AVERAGE(OFFSET($R$3,0,0,'Données projet'!$E$9+1,1))-AVERAGE(OFFSET($H$3,0,0,'Données projet'!$E$9+1,1))</f>
        <v>665.7907881991157</v>
      </c>
      <c r="T151" s="59">
        <f t="shared" si="142"/>
        <v>306.76923535735227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71.758785335009534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71.758785335009534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69.230294388724545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-4.5474735088646412E-13</v>
      </c>
      <c r="AJ151" s="13">
        <f>AI151*VLOOKUP('Données projet'!$B$10,Paramètres!$A$1:$I$89,3,0)*VLOOKUP('Données projet'!$B$10,Paramètres!$A$1:$I$89,5,0)</f>
        <v>-2.1282176021486519E-13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370.42479501931444</v>
      </c>
      <c r="AO151" s="59">
        <f t="shared" si="144"/>
        <v>351.95632347830144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88.092297600683153</v>
      </c>
      <c r="AV151" s="21">
        <f>EXP(-LN(2)/25)*AV150+(1-EXP(-LN(2)/25))/(LN(2)/25)*Calculateur!AQ151*Calculateur!AS151*VLOOKUP('Données projet'!$B$10,Paramètres!$A$1:$I$89,3,0)*0.475*44/12</f>
        <v>25.576692651829205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113.66899025251236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69.230294388724545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7.1054273576010019E-14</v>
      </c>
      <c r="BE151" s="13">
        <f>BD151*VLOOKUP('Données projet'!$B$11,Paramètres!$A$1:$I$89,3,0)*VLOOKUP('Données projet'!$B$11,Paramètres!$A$1:$I$89,5,0)</f>
        <v>6.2073013396002357E-14</v>
      </c>
      <c r="BF151" s="13">
        <f t="shared" si="145"/>
        <v>9.8573687844725482E-13</v>
      </c>
      <c r="BG151" s="20">
        <f t="shared" si="115"/>
        <v>1.8249355616270061E-12</v>
      </c>
      <c r="BH151" s="59">
        <f t="shared" si="116"/>
        <v>290.51107942532514</v>
      </c>
      <c r="BI151" s="59">
        <f ca="1">AVERAGE(OFFSET($BH$3,0,0,'Données projet'!$E$11+1,1))-AVERAGE(OFFSET($H$3,0,0,'Données projet'!$E$11+1,1))</f>
        <v>128.92423054779167</v>
      </c>
      <c r="BJ151" s="59">
        <f t="shared" si="146"/>
        <v>127.5443711972687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7.3662957615772626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7.3662957615772626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69.230294388724545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8.3249999999999993</v>
      </c>
      <c r="BY151" s="12">
        <f>IF('Données projet'!$A$114&gt;35,BY150+BX151-CG150,IF(A151&lt;'Données projet'!$A$114,$BV$205^A151,IF(A151='Données projet'!$A$114,'Données projet'!$B$114,BY150+BX151-CG150)))</f>
        <v>440.52000000000055</v>
      </c>
      <c r="BZ151" s="13">
        <f>BY151*VLOOKUP('Données projet'!$B$12,Paramètres!$A$1:$I$89,3,0)*VLOOKUP('Données projet'!$B$12,Paramètres!$A$1:$I$89,5,0)</f>
        <v>398.5824960000005</v>
      </c>
      <c r="CA151" s="13">
        <f t="shared" si="147"/>
        <v>91.489228690064536</v>
      </c>
      <c r="CB151" s="20">
        <f t="shared" si="118"/>
        <v>853.54158716852999</v>
      </c>
      <c r="CC151" s="59">
        <f t="shared" si="119"/>
        <v>1144.0526665938532</v>
      </c>
      <c r="CD151" s="59">
        <f ca="1">AVERAGE(OFFSET($CC$3,0,0,'Données projet'!$E$12+1,1))-AVERAGE(OFFSET($H$3,0,0,'Données projet'!$E$12+1,1))</f>
        <v>601.17090553269054</v>
      </c>
      <c r="CE151" s="59">
        <f t="shared" si="148"/>
        <v>279.37477930888042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64.030916145085428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64.030916145085428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69.230294388724545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-2.8421709430404007E-14</v>
      </c>
      <c r="CU151" s="17">
        <f>CT151*VLOOKUP('Données projet'!$B$13,Paramètres!$A$1:$I$89,3,0)*VLOOKUP('Données projet'!$B$13,Paramètres!$A$1:$I$89,5,0)</f>
        <v>-2.7046098693972454E-14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418.79317359649315</v>
      </c>
      <c r="CZ151" s="59">
        <f t="shared" si="150"/>
        <v>286.46514989661011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95.228672982293105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95.228672982293105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69.230294388724545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69.230294388724545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69.230294388724545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69.230294388724545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69.230294388724545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1.35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1.3249079999999973</v>
      </c>
      <c r="D152" s="11">
        <f t="shared" si="140"/>
        <v>0.59090187658968851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5.0483870781928877</v>
      </c>
      <c r="H152" s="67">
        <f t="shared" si="110"/>
        <v>227.33336886839371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69.243647060276231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8.3249999999999993</v>
      </c>
      <c r="N152" s="13">
        <f>IF('Données projet'!$A$36&gt;35,N151+M152-V151,IF(A152&lt;'Données projet'!$A$36,$K$205^A152,IF(A152='Données projet'!$A$36,'Données projet'!$B$36,N151+M152-V151)))</f>
        <v>448.84500000000054</v>
      </c>
      <c r="O152" s="13">
        <f>N152*VLOOKUP('Données projet'!$B$9,Paramètres!$A$1:$I$89,3,0)*VLOOKUP('Données projet'!$B$9,Paramètres!$A$1:$I$89,5,0)</f>
        <v>455.12883000000056</v>
      </c>
      <c r="P152" s="13">
        <f t="shared" si="141"/>
        <v>102.86782883411858</v>
      </c>
      <c r="Q152" s="20">
        <f t="shared" si="108"/>
        <v>971.84418080275736</v>
      </c>
      <c r="R152" s="59">
        <f t="shared" si="109"/>
        <v>1262.4042200237702</v>
      </c>
      <c r="S152" s="59">
        <f ca="1">AVERAGE(OFFSET($R$3,0,0,'Données projet'!$E$9+1,1))-AVERAGE(OFFSET($H$3,0,0,'Données projet'!$E$9+1,1))</f>
        <v>665.7907881991157</v>
      </c>
      <c r="T152" s="59">
        <f t="shared" si="142"/>
        <v>306.76923535735227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70.351639323127273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70.351639323127273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69.243647060276231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-4.5474735088646412E-13</v>
      </c>
      <c r="AJ152" s="13">
        <f>AI152*VLOOKUP('Données projet'!$B$10,Paramètres!$A$1:$I$89,3,0)*VLOOKUP('Données projet'!$B$10,Paramètres!$A$1:$I$89,5,0)</f>
        <v>-2.1282176021486519E-13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370.42479501931444</v>
      </c>
      <c r="AO152" s="59">
        <f t="shared" si="144"/>
        <v>351.95632347830144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86.364861375729802</v>
      </c>
      <c r="AV152" s="21">
        <f>EXP(-LN(2)/25)*AV151+(1-EXP(-LN(2)/25))/(LN(2)/25)*Calculateur!AQ152*Calculateur!AS152*VLOOKUP('Données projet'!$B$10,Paramètres!$A$1:$I$89,3,0)*0.475*44/12</f>
        <v>24.877296646245124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111.24215802197493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69.243647060276231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7.1054273576010019E-14</v>
      </c>
      <c r="BE152" s="13">
        <f>BD152*VLOOKUP('Données projet'!$B$11,Paramètres!$A$1:$I$89,3,0)*VLOOKUP('Données projet'!$B$11,Paramètres!$A$1:$I$89,5,0)</f>
        <v>6.2073013396002357E-14</v>
      </c>
      <c r="BF152" s="13">
        <f t="shared" si="145"/>
        <v>9.8573687844725482E-13</v>
      </c>
      <c r="BG152" s="20">
        <f t="shared" si="115"/>
        <v>1.8249355616270061E-12</v>
      </c>
      <c r="BH152" s="59">
        <f t="shared" si="116"/>
        <v>290.56003922101468</v>
      </c>
      <c r="BI152" s="59">
        <f ca="1">AVERAGE(OFFSET($BH$3,0,0,'Données projet'!$E$11+1,1))-AVERAGE(OFFSET($H$3,0,0,'Données projet'!$E$11+1,1))</f>
        <v>128.92423054779167</v>
      </c>
      <c r="BJ152" s="59">
        <f t="shared" si="146"/>
        <v>127.5443711972687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7.2218471946895004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7.2218471946895004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69.243647060276231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8.3249999999999993</v>
      </c>
      <c r="BY152" s="12">
        <f>IF('Données projet'!$A$114&gt;35,BY151+BX152-CG151,IF(A152&lt;'Données projet'!$A$114,$BV$205^A152,IF(A152='Données projet'!$A$114,'Données projet'!$B$114,BY151+BX152-CG151)))</f>
        <v>448.84500000000054</v>
      </c>
      <c r="BZ152" s="13">
        <f>BY152*VLOOKUP('Données projet'!$B$12,Paramètres!$A$1:$I$89,3,0)*VLOOKUP('Données projet'!$B$12,Paramètres!$A$1:$I$89,5,0)</f>
        <v>406.11495600000046</v>
      </c>
      <c r="CA152" s="13">
        <f t="shared" si="147"/>
        <v>93.015281926133852</v>
      </c>
      <c r="CB152" s="20">
        <f t="shared" si="118"/>
        <v>869.31849772135058</v>
      </c>
      <c r="CC152" s="59">
        <f t="shared" si="119"/>
        <v>1159.8785369423636</v>
      </c>
      <c r="CD152" s="59">
        <f ca="1">AVERAGE(OFFSET($CC$3,0,0,'Données projet'!$E$12+1,1))-AVERAGE(OFFSET($H$3,0,0,'Données projet'!$E$12+1,1))</f>
        <v>601.17090553269054</v>
      </c>
      <c r="CE152" s="59">
        <f t="shared" si="148"/>
        <v>279.37477930888042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62.775308934482787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62.775308934482787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69.243647060276231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-2.8421709430404007E-14</v>
      </c>
      <c r="CU152" s="17">
        <f>CT152*VLOOKUP('Données projet'!$B$13,Paramètres!$A$1:$I$89,3,0)*VLOOKUP('Données projet'!$B$13,Paramètres!$A$1:$I$89,5,0)</f>
        <v>-2.7046098693972454E-14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418.79317359649315</v>
      </c>
      <c r="CZ152" s="59">
        <f t="shared" si="150"/>
        <v>286.46514989661011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93.361296788865559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93.361296788865559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69.243647060276231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69.243647060276231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69.243647060276231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69.243647060276231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69.243647060276231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1.35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1.3337999999999972</v>
      </c>
      <c r="D153" s="11">
        <f t="shared" si="140"/>
        <v>0.59440467835601452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5.0493438699081832</v>
      </c>
      <c r="H153" s="67">
        <f t="shared" si="110"/>
        <v>227.35495648147005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69.25676809282858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8.3249999999999993</v>
      </c>
      <c r="N153" s="13">
        <f>IF('Données projet'!$A$36&gt;35,N152+M153-V152,IF(A153&lt;'Données projet'!$A$36,$K$205^A153,IF(A153='Données projet'!$A$36,'Données projet'!$B$36,N152+M153-V152)))</f>
        <v>457.17000000000053</v>
      </c>
      <c r="O153" s="13">
        <f>N153*VLOOKUP('Données projet'!$B$9,Paramètres!$A$1:$I$89,3,0)*VLOOKUP('Données projet'!$B$9,Paramètres!$A$1:$I$89,5,0)</f>
        <v>463.57038000000057</v>
      </c>
      <c r="P153" s="13">
        <f t="shared" si="141"/>
        <v>104.55188773764013</v>
      </c>
      <c r="Q153" s="20">
        <f t="shared" si="108"/>
        <v>989.47961630972395</v>
      </c>
      <c r="R153" s="59">
        <f t="shared" si="109"/>
        <v>1280.0877659834287</v>
      </c>
      <c r="S153" s="59">
        <f ca="1">AVERAGE(OFFSET($R$3,0,0,'Données projet'!$E$9+1,1))-AVERAGE(OFFSET($H$3,0,0,'Données projet'!$E$9+1,1))</f>
        <v>665.7907881991157</v>
      </c>
      <c r="T153" s="59">
        <f t="shared" si="142"/>
        <v>306.76923535735227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68.9720865862637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68.9720865862637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69.25676809282858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-4.5474735088646412E-13</v>
      </c>
      <c r="AJ153" s="13">
        <f>AI153*VLOOKUP('Données projet'!$B$10,Paramètres!$A$1:$I$89,3,0)*VLOOKUP('Données projet'!$B$10,Paramètres!$A$1:$I$89,5,0)</f>
        <v>-2.1282176021486519E-13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370.42479501931444</v>
      </c>
      <c r="AO153" s="59">
        <f t="shared" si="144"/>
        <v>351.95632347830144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84.671299121515716</v>
      </c>
      <c r="AV153" s="21">
        <f>EXP(-LN(2)/25)*AV152+(1-EXP(-LN(2)/25))/(LN(2)/25)*Calculateur!AQ153*Calculateur!AS153*VLOOKUP('Données projet'!$B$10,Paramètres!$A$1:$I$89,3,0)*0.475*44/12</f>
        <v>24.197025661213377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108.86832478272909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69.25676809282858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7.1054273576010019E-14</v>
      </c>
      <c r="BE153" s="13">
        <f>BD153*VLOOKUP('Données projet'!$B$11,Paramètres!$A$1:$I$89,3,0)*VLOOKUP('Données projet'!$B$11,Paramètres!$A$1:$I$89,5,0)</f>
        <v>6.2073013396002357E-14</v>
      </c>
      <c r="BF153" s="13">
        <f t="shared" si="145"/>
        <v>9.8573687844725482E-13</v>
      </c>
      <c r="BG153" s="20">
        <f t="shared" si="115"/>
        <v>1.8249355616270061E-12</v>
      </c>
      <c r="BH153" s="59">
        <f t="shared" si="116"/>
        <v>290.60814967370658</v>
      </c>
      <c r="BI153" s="59">
        <f ca="1">AVERAGE(OFFSET($BH$3,0,0,'Données projet'!$E$11+1,1))-AVERAGE(OFFSET($H$3,0,0,'Données projet'!$E$11+1,1))</f>
        <v>128.92423054779167</v>
      </c>
      <c r="BJ153" s="59">
        <f t="shared" si="146"/>
        <v>127.5443711972687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7.0802311760934815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7.0802311760934815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69.25676809282858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8.3249999999999993</v>
      </c>
      <c r="BY153" s="12">
        <f>IF('Données projet'!$A$114&gt;35,BY152+BX153-CG152,IF(A153&lt;'Données projet'!$A$114,$BV$205^A153,IF(A153='Données projet'!$A$114,'Données projet'!$B$114,BY152+BX153-CG152)))</f>
        <v>457.17000000000053</v>
      </c>
      <c r="BZ153" s="13">
        <f>BY153*VLOOKUP('Données projet'!$B$12,Paramètres!$A$1:$I$89,3,0)*VLOOKUP('Données projet'!$B$12,Paramètres!$A$1:$I$89,5,0)</f>
        <v>413.64741600000042</v>
      </c>
      <c r="CA153" s="13">
        <f t="shared" si="147"/>
        <v>94.538043857309361</v>
      </c>
      <c r="CB153" s="20">
        <f t="shared" si="118"/>
        <v>885.0896759181478</v>
      </c>
      <c r="CC153" s="59">
        <f t="shared" si="119"/>
        <v>1175.6978255918525</v>
      </c>
      <c r="CD153" s="59">
        <f ca="1">AVERAGE(OFFSET($CC$3,0,0,'Données projet'!$E$12+1,1))-AVERAGE(OFFSET($H$3,0,0,'Données projet'!$E$12+1,1))</f>
        <v>601.17090553269054</v>
      </c>
      <c r="CE153" s="59">
        <f t="shared" si="148"/>
        <v>279.37477930888042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61.544323415435287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61.544323415435287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69.25676809282858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-2.8421709430404007E-14</v>
      </c>
      <c r="CU153" s="17">
        <f>CT153*VLOOKUP('Données projet'!$B$13,Paramètres!$A$1:$I$89,3,0)*VLOOKUP('Données projet'!$B$13,Paramètres!$A$1:$I$89,5,0)</f>
        <v>-2.7046098693972454E-14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418.79317359649315</v>
      </c>
      <c r="CZ153" s="59">
        <f t="shared" si="150"/>
        <v>286.46514989661011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91.530538703604122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91.530538703604122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69.25676809282858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69.25676809282858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69.25676809282858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69.25676809282858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69.25676809282858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1.35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1.3426919999999971</v>
      </c>
      <c r="D154" s="11">
        <f t="shared" si="140"/>
        <v>0.59790476298125828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5.0503004518792549</v>
      </c>
      <c r="H154" s="67">
        <f t="shared" si="110"/>
        <v>227.37653936219235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69.269661504800382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8.3249999999999993</v>
      </c>
      <c r="N154" s="13">
        <f>IF('Données projet'!$A$36&gt;35,N153+M154-V153,IF(A154&lt;'Données projet'!$A$36,$K$205^A154,IF(A154='Données projet'!$A$36,'Données projet'!$B$36,N153+M154-V153)))</f>
        <v>465.49500000000052</v>
      </c>
      <c r="O154" s="13">
        <f>N154*VLOOKUP('Données projet'!$B$9,Paramètres!$A$1:$I$89,3,0)*VLOOKUP('Données projet'!$B$9,Paramètres!$A$1:$I$89,5,0)</f>
        <v>472.01193000000058</v>
      </c>
      <c r="P154" s="13">
        <f t="shared" si="141"/>
        <v>106.23238063605056</v>
      </c>
      <c r="Q154" s="20">
        <f t="shared" ref="Q154:Q203" si="162">(O154+P154)*0.475*44/12</f>
        <v>1007.108841024456</v>
      </c>
      <c r="R154" s="59">
        <f t="shared" si="109"/>
        <v>1297.7642665420574</v>
      </c>
      <c r="S154" s="59">
        <f ca="1">AVERAGE(OFFSET($R$3,0,0,'Données projet'!$E$9+1,1))-AVERAGE(OFFSET($H$3,0,0,'Données projet'!$E$9+1,1))</f>
        <v>665.7907881991157</v>
      </c>
      <c r="T154" s="59">
        <f t="shared" si="142"/>
        <v>306.76923535735227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67.619586037125941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67.619586037125941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69.269661504800382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-4.5474735088646412E-13</v>
      </c>
      <c r="AJ154" s="13">
        <f>AI154*VLOOKUP('Données projet'!$B$10,Paramètres!$A$1:$I$89,3,0)*VLOOKUP('Données projet'!$B$10,Paramètres!$A$1:$I$89,5,0)</f>
        <v>-2.1282176021486519E-13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370.42479501931444</v>
      </c>
      <c r="AO154" s="59">
        <f t="shared" si="144"/>
        <v>351.95632347830144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83.010946590135802</v>
      </c>
      <c r="AV154" s="21">
        <f>EXP(-LN(2)/25)*AV153+(1-EXP(-LN(2)/25))/(LN(2)/25)*Calculateur!AQ154*Calculateur!AS154*VLOOKUP('Données projet'!$B$10,Paramètres!$A$1:$I$89,3,0)*0.475*44/12</f>
        <v>23.535356722041222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106.54630331217703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69.269661504800382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7.1054273576010019E-14</v>
      </c>
      <c r="BE154" s="13">
        <f>BD154*VLOOKUP('Données projet'!$B$11,Paramètres!$A$1:$I$89,3,0)*VLOOKUP('Données projet'!$B$11,Paramètres!$A$1:$I$89,5,0)</f>
        <v>6.2073013396002357E-14</v>
      </c>
      <c r="BF154" s="13">
        <f t="shared" ref="BF154:BF203" si="167">EXP(-1.0587+0.8836*LN(BE154)+0.284)</f>
        <v>9.8573687844725482E-13</v>
      </c>
      <c r="BG154" s="20">
        <f t="shared" ref="BG154:BG203" si="168">(BE154+BF154)*0.475*44/12</f>
        <v>1.8249355616270061E-12</v>
      </c>
      <c r="BH154" s="59">
        <f t="shared" si="116"/>
        <v>290.65542551760319</v>
      </c>
      <c r="BI154" s="59">
        <f ca="1">AVERAGE(OFFSET($BH$3,0,0,'Données projet'!$E$11+1,1))-AVERAGE(OFFSET($H$3,0,0,'Données projet'!$E$11+1,1))</f>
        <v>128.92423054779167</v>
      </c>
      <c r="BJ154" s="59">
        <f t="shared" si="146"/>
        <v>127.5443711972687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6.9413921612448881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6.9413921612448881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69.269661504800382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8.3249999999999993</v>
      </c>
      <c r="BY154" s="12">
        <f>IF('Données projet'!$A$114&gt;35,BY153+BX154-CG153,IF(A154&lt;'Données projet'!$A$114,$BV$205^A154,IF(A154='Données projet'!$A$114,'Données projet'!$B$114,BY153+BX154-CG153)))</f>
        <v>465.49500000000052</v>
      </c>
      <c r="BZ154" s="13">
        <f>BY154*VLOOKUP('Données projet'!$B$12,Paramètres!$A$1:$I$89,3,0)*VLOOKUP('Données projet'!$B$12,Paramètres!$A$1:$I$89,5,0)</f>
        <v>421.17987600000043</v>
      </c>
      <c r="CA154" s="13">
        <f t="shared" ref="CA154:CA203" si="170">EXP(-1.0587+0.8836*LN(BZ154)+0.284)</f>
        <v>96.057581330707137</v>
      </c>
      <c r="CB154" s="20">
        <f t="shared" ref="CB154:CB203" si="171">(BZ154+CA154)*0.475*44/12</f>
        <v>900.85523818431557</v>
      </c>
      <c r="CC154" s="59">
        <f t="shared" si="119"/>
        <v>1191.5106637019169</v>
      </c>
      <c r="CD154" s="59">
        <f ca="1">AVERAGE(OFFSET($CC$3,0,0,'Données projet'!$E$12+1,1))-AVERAGE(OFFSET($H$3,0,0,'Données projet'!$E$12+1,1))</f>
        <v>601.17090553269054</v>
      </c>
      <c r="CE154" s="59">
        <f t="shared" si="148"/>
        <v>279.37477930888042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60.33747677158928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60.33747677158928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69.269661504800382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-2.8421709430404007E-14</v>
      </c>
      <c r="CU154" s="17">
        <f>CT154*VLOOKUP('Données projet'!$B$13,Paramètres!$A$1:$I$89,3,0)*VLOOKUP('Données projet'!$B$13,Paramètres!$A$1:$I$89,5,0)</f>
        <v>-2.7046098693972454E-14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418.79317359649315</v>
      </c>
      <c r="CZ154" s="59">
        <f t="shared" si="150"/>
        <v>286.46514989661011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89.735680667742486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89.735680667742486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69.269661504800382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69.269661504800382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69.269661504800382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69.269661504800382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69.269661504800382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1.35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1.351583999999997</v>
      </c>
      <c r="D155" s="11">
        <f t="shared" si="140"/>
        <v>0.60140215054682322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5.051256825656246</v>
      </c>
      <c r="H155" s="67">
        <f t="shared" si="110"/>
        <v>227.39811754553571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69.282331244899837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8.3249999999999993</v>
      </c>
      <c r="N155" s="13">
        <f>IF('Données projet'!$A$36&gt;35,N154+M155-V154,IF(A155&lt;'Données projet'!$A$36,$K$205^A155,IF(A155='Données projet'!$A$36,'Données projet'!$B$36,N154+M155-V154)))</f>
        <v>473.8200000000005</v>
      </c>
      <c r="O155" s="13">
        <f>N155*VLOOKUP('Données projet'!$B$9,Paramètres!$A$1:$I$89,3,0)*VLOOKUP('Données projet'!$B$9,Paramètres!$A$1:$I$89,5,0)</f>
        <v>480.45348000000058</v>
      </c>
      <c r="P155" s="13">
        <f t="shared" si="141"/>
        <v>107.90937866146631</v>
      </c>
      <c r="Q155" s="20">
        <f t="shared" si="162"/>
        <v>1024.7319788353882</v>
      </c>
      <c r="R155" s="59">
        <f t="shared" si="109"/>
        <v>1315.4338600666877</v>
      </c>
      <c r="S155" s="59">
        <f ca="1">AVERAGE(OFFSET($R$3,0,0,'Données projet'!$E$9+1,1))-AVERAGE(OFFSET($H$3,0,0,'Données projet'!$E$9+1,1))</f>
        <v>665.7907881991157</v>
      </c>
      <c r="T155" s="59">
        <f t="shared" si="142"/>
        <v>306.76923535735227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66.293607198812893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66.293607198812893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69.282331244899837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-4.5474735088646412E-13</v>
      </c>
      <c r="AJ155" s="13">
        <f>AI155*VLOOKUP('Données projet'!$B$10,Paramètres!$A$1:$I$89,3,0)*VLOOKUP('Données projet'!$B$10,Paramètres!$A$1:$I$89,5,0)</f>
        <v>-2.1282176021486519E-13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370.42479501931444</v>
      </c>
      <c r="AO155" s="59">
        <f t="shared" si="144"/>
        <v>351.95632347830144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81.383152559181198</v>
      </c>
      <c r="AV155" s="21">
        <f>EXP(-LN(2)/25)*AV154+(1-EXP(-LN(2)/25))/(LN(2)/25)*Calculateur!AQ155*Calculateur!AS155*VLOOKUP('Données projet'!$B$10,Paramètres!$A$1:$I$89,3,0)*0.475*44/12</f>
        <v>22.891781154806385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104.27493371398758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69.282331244899837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7.1054273576010019E-14</v>
      </c>
      <c r="BE155" s="13">
        <f>BD155*VLOOKUP('Données projet'!$B$11,Paramètres!$A$1:$I$89,3,0)*VLOOKUP('Données projet'!$B$11,Paramètres!$A$1:$I$89,5,0)</f>
        <v>6.2073013396002357E-14</v>
      </c>
      <c r="BF155" s="13">
        <f t="shared" si="167"/>
        <v>9.8573687844725482E-13</v>
      </c>
      <c r="BG155" s="20">
        <f t="shared" si="168"/>
        <v>1.8249355616270061E-12</v>
      </c>
      <c r="BH155" s="59">
        <f t="shared" si="116"/>
        <v>290.70188123130123</v>
      </c>
      <c r="BI155" s="59">
        <f ca="1">AVERAGE(OFFSET($BH$3,0,0,'Données projet'!$E$11+1,1))-AVERAGE(OFFSET($H$3,0,0,'Données projet'!$E$11+1,1))</f>
        <v>128.92423054779167</v>
      </c>
      <c r="BJ155" s="59">
        <f t="shared" si="146"/>
        <v>127.5443711972687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6.8052756947940383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6.8052756947940383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69.282331244899837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8.3249999999999993</v>
      </c>
      <c r="BY155" s="12">
        <f>IF('Données projet'!$A$114&gt;35,BY154+BX155-CG154,IF(A155&lt;'Données projet'!$A$114,$BV$205^A155,IF(A155='Données projet'!$A$114,'Données projet'!$B$114,BY154+BX155-CG154)))</f>
        <v>473.8200000000005</v>
      </c>
      <c r="BZ155" s="13">
        <f>BY155*VLOOKUP('Données projet'!$B$12,Paramètres!$A$1:$I$89,3,0)*VLOOKUP('Données projet'!$B$12,Paramètres!$A$1:$I$89,5,0)</f>
        <v>428.71233600000051</v>
      </c>
      <c r="CA155" s="13">
        <f t="shared" si="170"/>
        <v>97.57395866550209</v>
      </c>
      <c r="CB155" s="20">
        <f t="shared" si="171"/>
        <v>916.61529654241701</v>
      </c>
      <c r="CC155" s="59">
        <f t="shared" si="119"/>
        <v>1207.3171777737164</v>
      </c>
      <c r="CD155" s="59">
        <f ca="1">AVERAGE(OFFSET($CC$3,0,0,'Données projet'!$E$12+1,1))-AVERAGE(OFFSET($H$3,0,0,'Données projet'!$E$12+1,1))</f>
        <v>601.17090553269054</v>
      </c>
      <c r="CE155" s="59">
        <f t="shared" si="148"/>
        <v>279.37477930888042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59.154295654325324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59.154295654325324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69.282331244899837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-2.8421709430404007E-14</v>
      </c>
      <c r="CU155" s="17">
        <f>CT155*VLOOKUP('Données projet'!$B$13,Paramètres!$A$1:$I$89,3,0)*VLOOKUP('Données projet'!$B$13,Paramètres!$A$1:$I$89,5,0)</f>
        <v>-2.7046098693972454E-14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418.79317359649315</v>
      </c>
      <c r="CZ155" s="59">
        <f t="shared" si="150"/>
        <v>286.46514989661011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87.976018703208794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87.976018703208794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69.282331244899837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69.282331244899837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69.282331244899837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69.282331244899837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69.282331244899837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1.35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1.3604759999999969</v>
      </c>
      <c r="D156" s="11">
        <f t="shared" si="140"/>
        <v>0.60489686085460648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5.052212992767724</v>
      </c>
      <c r="H156" s="67">
        <f t="shared" si="110"/>
        <v>227.41969106598845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69.294781193333847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8.3249999999999993</v>
      </c>
      <c r="N156" s="13">
        <f>IF('Données projet'!$A$36&gt;35,N155+M156-V155,IF(A156&lt;'Données projet'!$A$36,$K$205^A156,IF(A156='Données projet'!$A$36,'Données projet'!$B$36,N155+M156-V155)))</f>
        <v>482.14500000000049</v>
      </c>
      <c r="O156" s="13">
        <f>N156*VLOOKUP('Données projet'!$B$9,Paramètres!$A$1:$I$89,3,0)*VLOOKUP('Données projet'!$B$9,Paramètres!$A$1:$I$89,5,0)</f>
        <v>488.89503000000053</v>
      </c>
      <c r="P156" s="13">
        <f t="shared" si="141"/>
        <v>109.582950303247</v>
      </c>
      <c r="Q156" s="20">
        <f t="shared" si="162"/>
        <v>1042.349149028156</v>
      </c>
      <c r="R156" s="59">
        <f t="shared" si="109"/>
        <v>1333.0966800703802</v>
      </c>
      <c r="S156" s="59">
        <f ca="1">AVERAGE(OFFSET($R$3,0,0,'Données projet'!$E$9+1,1))-AVERAGE(OFFSET($H$3,0,0,'Données projet'!$E$9+1,1))</f>
        <v>665.7907881991157</v>
      </c>
      <c r="T156" s="59">
        <f t="shared" si="142"/>
        <v>306.76923535735227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64.993629996751935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64.993629996751935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69.294781193333847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-4.5474735088646412E-13</v>
      </c>
      <c r="AJ156" s="13">
        <f>AI156*VLOOKUP('Données projet'!$B$10,Paramètres!$A$1:$I$89,3,0)*VLOOKUP('Données projet'!$B$10,Paramètres!$A$1:$I$89,5,0)</f>
        <v>-2.1282176021486519E-13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370.42479501931444</v>
      </c>
      <c r="AO156" s="59">
        <f t="shared" si="144"/>
        <v>351.95632347830144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79.787278576317291</v>
      </c>
      <c r="AV156" s="21">
        <f>EXP(-LN(2)/25)*AV155+(1-EXP(-LN(2)/25))/(LN(2)/25)*Calculateur!AQ156*Calculateur!AS156*VLOOKUP('Données projet'!$B$10,Paramètres!$A$1:$I$89,3,0)*0.475*44/12</f>
        <v>22.265804195301754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102.05308277161905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69.294781193333847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7.1054273576010019E-14</v>
      </c>
      <c r="BE156" s="13">
        <f>BD156*VLOOKUP('Données projet'!$B$11,Paramètres!$A$1:$I$89,3,0)*VLOOKUP('Données projet'!$B$11,Paramètres!$A$1:$I$89,5,0)</f>
        <v>6.2073013396002357E-14</v>
      </c>
      <c r="BF156" s="13">
        <f t="shared" si="167"/>
        <v>9.8573687844725482E-13</v>
      </c>
      <c r="BG156" s="20">
        <f t="shared" si="168"/>
        <v>1.8249355616270061E-12</v>
      </c>
      <c r="BH156" s="59">
        <f t="shared" si="116"/>
        <v>290.74753104222594</v>
      </c>
      <c r="BI156" s="59">
        <f ca="1">AVERAGE(OFFSET($BH$3,0,0,'Données projet'!$E$11+1,1))-AVERAGE(OFFSET($H$3,0,0,'Données projet'!$E$11+1,1))</f>
        <v>128.92423054779167</v>
      </c>
      <c r="BJ156" s="59">
        <f t="shared" si="146"/>
        <v>127.5443711972687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6.6718283892274428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6.6718283892274428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69.294781193333847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8.3249999999999993</v>
      </c>
      <c r="BY156" s="12">
        <f>IF('Données projet'!$A$114&gt;35,BY155+BX156-CG155,IF(A156&lt;'Données projet'!$A$114,$BV$205^A156,IF(A156='Données projet'!$A$114,'Données projet'!$B$114,BY155+BX156-CG155)))</f>
        <v>482.14500000000049</v>
      </c>
      <c r="BZ156" s="13">
        <f>BY156*VLOOKUP('Données projet'!$B$12,Paramètres!$A$1:$I$89,3,0)*VLOOKUP('Données projet'!$B$12,Paramètres!$A$1:$I$89,5,0)</f>
        <v>436.24479600000041</v>
      </c>
      <c r="CA156" s="13">
        <f t="shared" si="170"/>
        <v>99.087237791231857</v>
      </c>
      <c r="CB156" s="20">
        <f t="shared" si="171"/>
        <v>932.36995885306271</v>
      </c>
      <c r="CC156" s="59">
        <f t="shared" si="119"/>
        <v>1223.1174898952868</v>
      </c>
      <c r="CD156" s="59">
        <f ca="1">AVERAGE(OFFSET($CC$3,0,0,'Données projet'!$E$12+1,1))-AVERAGE(OFFSET($H$3,0,0,'Données projet'!$E$12+1,1))</f>
        <v>601.17090553269054</v>
      </c>
      <c r="CE156" s="59">
        <f t="shared" si="148"/>
        <v>279.37477930888042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57.994315997101694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57.994315997101694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69.294781193333847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-2.8421709430404007E-14</v>
      </c>
      <c r="CU156" s="17">
        <f>CT156*VLOOKUP('Données projet'!$B$13,Paramètres!$A$1:$I$89,3,0)*VLOOKUP('Données projet'!$B$13,Paramètres!$A$1:$I$89,5,0)</f>
        <v>-2.7046098693972454E-14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418.79317359649315</v>
      </c>
      <c r="CZ156" s="59">
        <f t="shared" si="150"/>
        <v>286.46514989661011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86.250862636511783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86.250862636511783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69.294781193333847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69.294781193333847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69.294781193333847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69.294781193333847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69.294781193333847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1.35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1.3693679999999968</v>
      </c>
      <c r="D157" s="11">
        <f t="shared" si="140"/>
        <v>0.60838891343269053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5.0531689547211194</v>
      </c>
      <c r="H157" s="67">
        <f t="shared" si="110"/>
        <v>227.44125995756193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69.307015162996464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490.47</v>
      </c>
      <c r="L157" s="12">
        <f>VLOOKUP(A157,'Données projet'!$A$35:$I$55,9,0)</f>
        <v>8.3249999999999993</v>
      </c>
      <c r="M157" s="12">
        <f t="array" ref="M157">INDEX(L:L,MIN(IF(ISNUMBER(L157:L353),ROW(L157:L353),"")))</f>
        <v>8.3249999999999993</v>
      </c>
      <c r="N157" s="13">
        <f>IF('Données projet'!$A$36&gt;35,N156+M157-V156,IF(A157&lt;'Données projet'!$A$36,$K$205^A157,IF(A157='Données projet'!$A$36,'Données projet'!$B$36,N156+M157-V156)))</f>
        <v>490.47000000000048</v>
      </c>
      <c r="O157" s="13">
        <f>N157*VLOOKUP('Données projet'!$B$9,Paramètres!$A$1:$I$89,3,0)*VLOOKUP('Données projet'!$B$9,Paramètres!$A$1:$I$89,5,0)</f>
        <v>497.33658000000054</v>
      </c>
      <c r="P157" s="13">
        <f t="shared" si="141"/>
        <v>111.2531615500869</v>
      </c>
      <c r="Q157" s="20">
        <f t="shared" si="162"/>
        <v>1059.9604665330687</v>
      </c>
      <c r="R157" s="59">
        <f t="shared" si="109"/>
        <v>1350.7528554640558</v>
      </c>
      <c r="S157" s="59">
        <f ca="1">AVERAGE(OFFSET($R$3,0,0,'Données projet'!$E$9+1,1))-AVERAGE(OFFSET($H$3,0,0,'Données projet'!$E$9+1,1))</f>
        <v>665.7907881991157</v>
      </c>
      <c r="T157" s="59">
        <f t="shared" si="142"/>
        <v>306.76923535735227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55.13</v>
      </c>
      <c r="W157" s="16">
        <f>IF(ISNA(VLOOKUP(A157,'Données projet'!$A$35:$I$55,5,0)),0%,VLOOKUP(A157,'Données projet'!$A$35:$I$55,5,0)*VLOOKUP('Données projet'!$B$9,Paramètres!$A$1:$I$89,7,0))</f>
        <v>0.25800000000000001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79.662978547087107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79.662978547087107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69.307015162996464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-4.5474735088646412E-13</v>
      </c>
      <c r="AJ157" s="13">
        <f>AI157*VLOOKUP('Données projet'!$B$10,Paramètres!$A$1:$I$89,3,0)*VLOOKUP('Données projet'!$B$10,Paramètres!$A$1:$I$89,5,0)</f>
        <v>-2.1282176021486519E-13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370.42479501931444</v>
      </c>
      <c r="AO157" s="59">
        <f t="shared" si="144"/>
        <v>351.95632347830144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78.222698708870325</v>
      </c>
      <c r="AV157" s="21">
        <f>EXP(-LN(2)/25)*AV156+(1-EXP(-LN(2)/25))/(LN(2)/25)*Calculateur!AQ157*Calculateur!AS157*VLOOKUP('Données projet'!$B$10,Paramètres!$A$1:$I$89,3,0)*0.475*44/12</f>
        <v>21.656944608673474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99.879643317543795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69.307015162996464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7.1054273576010019E-14</v>
      </c>
      <c r="BE157" s="13">
        <f>BD157*VLOOKUP('Données projet'!$B$11,Paramètres!$A$1:$I$89,3,0)*VLOOKUP('Données projet'!$B$11,Paramètres!$A$1:$I$89,5,0)</f>
        <v>6.2073013396002357E-14</v>
      </c>
      <c r="BF157" s="13">
        <f t="shared" si="167"/>
        <v>9.8573687844725482E-13</v>
      </c>
      <c r="BG157" s="20">
        <f t="shared" si="168"/>
        <v>1.8249355616270061E-12</v>
      </c>
      <c r="BH157" s="59">
        <f t="shared" si="116"/>
        <v>290.79238893098886</v>
      </c>
      <c r="BI157" s="59">
        <f ca="1">AVERAGE(OFFSET($BH$3,0,0,'Données projet'!$E$11+1,1))-AVERAGE(OFFSET($H$3,0,0,'Données projet'!$E$11+1,1))</f>
        <v>128.92423054779167</v>
      </c>
      <c r="BJ157" s="59">
        <f t="shared" si="146"/>
        <v>127.5443711972687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6.5409979039281891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6.5409979039281891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69.307015162996464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490.47</v>
      </c>
      <c r="BW157" s="12">
        <f>VLOOKUP(A157,'Données projet'!$A$113:$I$133,9,0)</f>
        <v>8.3249999999999993</v>
      </c>
      <c r="BX157" s="12">
        <f t="array" ref="BX157">INDEX(BW:BW,MIN(IF(ISNUMBER(BW157:BW353),ROW(BW157:BW353),"")))</f>
        <v>8.3249999999999993</v>
      </c>
      <c r="BY157" s="12">
        <f>IF('Données projet'!$A$114&gt;35,BY156+BX157-CG156,IF(A157&lt;'Données projet'!$A$114,$BV$205^A157,IF(A157='Données projet'!$A$114,'Données projet'!$B$114,BY156+BX157-CG156)))</f>
        <v>490.47000000000048</v>
      </c>
      <c r="BZ157" s="13">
        <f>BY157*VLOOKUP('Données projet'!$B$12,Paramètres!$A$1:$I$89,3,0)*VLOOKUP('Données projet'!$B$12,Paramètres!$A$1:$I$89,5,0)</f>
        <v>443.77725600000048</v>
      </c>
      <c r="CA157" s="13">
        <f t="shared" si="170"/>
        <v>100.59747837627934</v>
      </c>
      <c r="CB157" s="20">
        <f t="shared" si="171"/>
        <v>948.11932903868717</v>
      </c>
      <c r="CC157" s="59">
        <f t="shared" si="119"/>
        <v>1238.9117179696741</v>
      </c>
      <c r="CD157" s="59">
        <f ca="1">AVERAGE(OFFSET($CC$3,0,0,'Données projet'!$E$12+1,1))-AVERAGE(OFFSET($H$3,0,0,'Données projet'!$E$12+1,1))</f>
        <v>601.17090553269054</v>
      </c>
      <c r="CE157" s="59">
        <f t="shared" si="148"/>
        <v>279.37477930888042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55.13</v>
      </c>
      <c r="CH157" s="16">
        <f>IF(ISNA(VLOOKUP(A157,'Données projet'!$A$113:$I$133,5,0)),0%,VLOOKUP(A157,'Données projet'!$A$113:$I$133,5,0)*VLOOKUP('Données projet'!$B$12,Paramètres!$A$1:$I$89,7,0))</f>
        <v>0.25800000000000001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71.083888549708462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71.083888549708462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69.307015162996464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-2.8421709430404007E-14</v>
      </c>
      <c r="CU157" s="17">
        <f>CT157*VLOOKUP('Données projet'!$B$13,Paramètres!$A$1:$I$89,3,0)*VLOOKUP('Données projet'!$B$13,Paramètres!$A$1:$I$89,5,0)</f>
        <v>-2.7046098693972454E-14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418.79317359649315</v>
      </c>
      <c r="CZ157" s="59">
        <f t="shared" si="150"/>
        <v>286.46514989661011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84.559535828041405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84.559535828041405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69.307015162996464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69.307015162996464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69.307015162996464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69.307015162996464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69.307015162996464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1.35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1.3782599999999967</v>
      </c>
      <c r="D158" s="11">
        <f t="shared" si="140"/>
        <v>0.61187832754088145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5.0541247130031559</v>
      </c>
      <c r="H158" s="67">
        <f t="shared" si="110"/>
        <v>227.46282425380036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69.319036900636476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8.4429999999999943</v>
      </c>
      <c r="N158" s="13">
        <f>IF('Données projet'!$A$36&gt;35,N157+M158-V157,IF(A158&lt;'Données projet'!$A$36,$K$205^A158,IF(A158='Données projet'!$A$36,'Données projet'!$B$36,N157+M158-V157)))</f>
        <v>443.78300000000047</v>
      </c>
      <c r="O158" s="13">
        <f>N158*VLOOKUP('Données projet'!$B$9,Paramètres!$A$1:$I$89,3,0)*VLOOKUP('Données projet'!$B$9,Paramètres!$A$1:$I$89,5,0)</f>
        <v>449.99596200000047</v>
      </c>
      <c r="P158" s="13">
        <f t="shared" si="141"/>
        <v>101.84206543885381</v>
      </c>
      <c r="Q158" s="20">
        <f t="shared" si="162"/>
        <v>961.1178977893378</v>
      </c>
      <c r="R158" s="59">
        <f t="shared" si="109"/>
        <v>1251.954366425005</v>
      </c>
      <c r="S158" s="59">
        <f ca="1">AVERAGE(OFFSET($R$3,0,0,'Données projet'!$E$9+1,1))-AVERAGE(OFFSET($H$3,0,0,'Données projet'!$E$9+1,1))</f>
        <v>665.7907881991157</v>
      </c>
      <c r="T158" s="59">
        <f t="shared" si="142"/>
        <v>306.76923535735227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78.100836127397812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78.100836127397812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69.319036900636476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-4.5474735088646412E-13</v>
      </c>
      <c r="AJ158" s="13">
        <f>AI158*VLOOKUP('Données projet'!$B$10,Paramètres!$A$1:$I$89,3,0)*VLOOKUP('Données projet'!$B$10,Paramètres!$A$1:$I$89,5,0)</f>
        <v>-2.1282176021486519E-13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370.42479501931444</v>
      </c>
      <c r="AO158" s="59">
        <f t="shared" si="144"/>
        <v>351.95632347830144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76.688799298324511</v>
      </c>
      <c r="AV158" s="21">
        <f>EXP(-LN(2)/25)*AV157+(1-EXP(-LN(2)/25))/(LN(2)/25)*Calculateur!AQ158*Calculateur!AS158*VLOOKUP('Données projet'!$B$10,Paramètres!$A$1:$I$89,3,0)*0.475*44/12</f>
        <v>21.064734319460079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97.753533617784598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69.319036900636476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7.1054273576010019E-14</v>
      </c>
      <c r="BE158" s="13">
        <f>BD158*VLOOKUP('Données projet'!$B$11,Paramètres!$A$1:$I$89,3,0)*VLOOKUP('Données projet'!$B$11,Paramètres!$A$1:$I$89,5,0)</f>
        <v>6.2073013396002357E-14</v>
      </c>
      <c r="BF158" s="13">
        <f t="shared" si="167"/>
        <v>9.8573687844725482E-13</v>
      </c>
      <c r="BG158" s="20">
        <f t="shared" si="168"/>
        <v>1.8249355616270061E-12</v>
      </c>
      <c r="BH158" s="59">
        <f t="shared" si="116"/>
        <v>290.83646863566889</v>
      </c>
      <c r="BI158" s="59">
        <f ca="1">AVERAGE(OFFSET($BH$3,0,0,'Données projet'!$E$11+1,1))-AVERAGE(OFFSET($H$3,0,0,'Données projet'!$E$11+1,1))</f>
        <v>128.92423054779167</v>
      </c>
      <c r="BJ158" s="59">
        <f t="shared" si="146"/>
        <v>127.5443711972687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6.4127329246469369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6.4127329246469369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69.319036900636476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8.4429999999999943</v>
      </c>
      <c r="BY158" s="12">
        <f>IF('Données projet'!$A$114&gt;35,BY157+BX158-CG157,IF(A158&lt;'Données projet'!$A$114,$BV$205^A158,IF(A158='Données projet'!$A$114,'Données projet'!$B$114,BY157+BX158-CG157)))</f>
        <v>443.78300000000047</v>
      </c>
      <c r="BZ158" s="13">
        <f>BY158*VLOOKUP('Données projet'!$B$12,Paramètres!$A$1:$I$89,3,0)*VLOOKUP('Données projet'!$B$12,Paramètres!$A$1:$I$89,5,0)</f>
        <v>401.53485840000047</v>
      </c>
      <c r="CA158" s="13">
        <f t="shared" si="170"/>
        <v>92.087764815279797</v>
      </c>
      <c r="CB158" s="20">
        <f t="shared" si="171"/>
        <v>859.72606876661303</v>
      </c>
      <c r="CC158" s="59">
        <f t="shared" si="119"/>
        <v>1150.5625374022802</v>
      </c>
      <c r="CD158" s="59">
        <f ca="1">AVERAGE(OFFSET($CC$3,0,0,'Données projet'!$E$12+1,1))-AVERAGE(OFFSET($H$3,0,0,'Données projet'!$E$12+1,1))</f>
        <v>601.17090553269054</v>
      </c>
      <c r="CE158" s="59">
        <f t="shared" si="148"/>
        <v>279.37477930888042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69.689976852139552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69.689976852139552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69.319036900636476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-2.8421709430404007E-14</v>
      </c>
      <c r="CU158" s="17">
        <f>CT158*VLOOKUP('Données projet'!$B$13,Paramètres!$A$1:$I$89,3,0)*VLOOKUP('Données projet'!$B$13,Paramètres!$A$1:$I$89,5,0)</f>
        <v>-2.7046098693972454E-14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418.79317359649315</v>
      </c>
      <c r="CZ158" s="59">
        <f t="shared" si="150"/>
        <v>286.46514989661011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82.901374906677646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82.901374906677646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69.319036900636476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69.319036900636476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69.319036900636476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69.319036900636476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69.319036900636476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1.35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1.3871519999999966</v>
      </c>
      <c r="D159" s="11">
        <f t="shared" si="140"/>
        <v>0.61536512217610229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5.0550802690802605</v>
      </c>
      <c r="H159" s="67">
        <f t="shared" si="110"/>
        <v>227.48438398779004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69.330850088005008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8.4429999999999943</v>
      </c>
      <c r="N159" s="13">
        <f>IF('Données projet'!$A$36&gt;35,N158+M159-V158,IF(A159&lt;'Données projet'!$A$36,$K$205^A159,IF(A159='Données projet'!$A$36,'Données projet'!$B$36,N158+M159-V158)))</f>
        <v>452.22600000000045</v>
      </c>
      <c r="O159" s="13">
        <f>N159*VLOOKUP('Données projet'!$B$9,Paramètres!$A$1:$I$89,3,0)*VLOOKUP('Données projet'!$B$9,Paramètres!$A$1:$I$89,5,0)</f>
        <v>458.55716400000051</v>
      </c>
      <c r="P159" s="13">
        <f t="shared" si="141"/>
        <v>103.55220386280693</v>
      </c>
      <c r="Q159" s="20">
        <f t="shared" si="162"/>
        <v>979.00714902772279</v>
      </c>
      <c r="R159" s="59">
        <f t="shared" si="109"/>
        <v>1269.8869326837412</v>
      </c>
      <c r="S159" s="59">
        <f ca="1">AVERAGE(OFFSET($R$3,0,0,'Données projet'!$E$9+1,1))-AVERAGE(OFFSET($H$3,0,0,'Données projet'!$E$9+1,1))</f>
        <v>665.7907881991157</v>
      </c>
      <c r="T159" s="59">
        <f t="shared" si="142"/>
        <v>306.76923535735227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76.56932636774583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76.56932636774583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69.330850088005008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-4.5474735088646412E-13</v>
      </c>
      <c r="AJ159" s="13">
        <f>AI159*VLOOKUP('Données projet'!$B$10,Paramètres!$A$1:$I$89,3,0)*VLOOKUP('Données projet'!$B$10,Paramètres!$A$1:$I$89,5,0)</f>
        <v>-2.1282176021486519E-13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370.42479501931444</v>
      </c>
      <c r="AO159" s="59">
        <f t="shared" si="144"/>
        <v>351.95632347830144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75.184978719633236</v>
      </c>
      <c r="AV159" s="21">
        <f>EXP(-LN(2)/25)*AV158+(1-EXP(-LN(2)/25))/(LN(2)/25)*Calculateur!AQ159*Calculateur!AS159*VLOOKUP('Données projet'!$B$10,Paramètres!$A$1:$I$89,3,0)*0.475*44/12</f>
        <v>20.488718051748211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95.673696771381444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69.330850088005008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7.1054273576010019E-14</v>
      </c>
      <c r="BE159" s="13">
        <f>BD159*VLOOKUP('Données projet'!$B$11,Paramètres!$A$1:$I$89,3,0)*VLOOKUP('Données projet'!$B$11,Paramètres!$A$1:$I$89,5,0)</f>
        <v>6.2073013396002357E-14</v>
      </c>
      <c r="BF159" s="13">
        <f t="shared" si="167"/>
        <v>9.8573687844725482E-13</v>
      </c>
      <c r="BG159" s="20">
        <f t="shared" si="168"/>
        <v>1.8249355616270061E-12</v>
      </c>
      <c r="BH159" s="59">
        <f t="shared" si="116"/>
        <v>290.87978365602015</v>
      </c>
      <c r="BI159" s="59">
        <f ca="1">AVERAGE(OFFSET($BH$3,0,0,'Données projet'!$E$11+1,1))-AVERAGE(OFFSET($H$3,0,0,'Données projet'!$E$11+1,1))</f>
        <v>128.92423054779167</v>
      </c>
      <c r="BJ159" s="59">
        <f t="shared" si="146"/>
        <v>127.5443711972687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6.2869831433754779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6.2869831433754779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69.330850088005008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8.4429999999999943</v>
      </c>
      <c r="BY159" s="12">
        <f>IF('Données projet'!$A$114&gt;35,BY158+BX159-CG158,IF(A159&lt;'Données projet'!$A$114,$BV$205^A159,IF(A159='Données projet'!$A$114,'Données projet'!$B$114,BY158+BX159-CG158)))</f>
        <v>452.22600000000045</v>
      </c>
      <c r="BZ159" s="13">
        <f>BY159*VLOOKUP('Données projet'!$B$12,Paramètres!$A$1:$I$89,3,0)*VLOOKUP('Données projet'!$B$12,Paramètres!$A$1:$I$89,5,0)</f>
        <v>409.1740848000004</v>
      </c>
      <c r="CA159" s="13">
        <f t="shared" si="170"/>
        <v>93.634108404325715</v>
      </c>
      <c r="CB159" s="20">
        <f t="shared" si="171"/>
        <v>875.72426983086791</v>
      </c>
      <c r="CC159" s="59">
        <f t="shared" si="119"/>
        <v>1166.6040534868862</v>
      </c>
      <c r="CD159" s="59">
        <f ca="1">AVERAGE(OFFSET($CC$3,0,0,'Données projet'!$E$12+1,1))-AVERAGE(OFFSET($H$3,0,0,'Données projet'!$E$12+1,1))</f>
        <v>601.17090553269054</v>
      </c>
      <c r="CE159" s="59">
        <f t="shared" si="148"/>
        <v>279.37477930888042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68.323398912757781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68.323398912757781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69.330850088005008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-2.8421709430404007E-14</v>
      </c>
      <c r="CU159" s="17">
        <f>CT159*VLOOKUP('Données projet'!$B$13,Paramètres!$A$1:$I$89,3,0)*VLOOKUP('Données projet'!$B$13,Paramètres!$A$1:$I$89,5,0)</f>
        <v>-2.7046098693972454E-14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418.79317359649315</v>
      </c>
      <c r="CZ159" s="59">
        <f t="shared" si="150"/>
        <v>286.46514989661011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81.275729509603522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81.275729509603522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69.330850088005008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69.330850088005008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69.330850088005008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69.330850088005008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69.330850088005008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1.35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1.3960439999999965</v>
      </c>
      <c r="D160" s="11">
        <f t="shared" si="140"/>
        <v>0.6188493160776416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5.0560356243989757</v>
      </c>
      <c r="H160" s="67">
        <f t="shared" si="110"/>
        <v>227.50593919216857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69.342458342983036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8.4429999999999943</v>
      </c>
      <c r="N160" s="13">
        <f>IF('Données projet'!$A$36&gt;35,N159+M160-V159,IF(A160&lt;'Données projet'!$A$36,$K$205^A160,IF(A160='Données projet'!$A$36,'Données projet'!$B$36,N159+M160-V159)))</f>
        <v>460.66900000000044</v>
      </c>
      <c r="O160" s="13">
        <f>N160*VLOOKUP('Données projet'!$B$9,Paramètres!$A$1:$I$89,3,0)*VLOOKUP('Données projet'!$B$9,Paramètres!$A$1:$I$89,5,0)</f>
        <v>467.11836600000044</v>
      </c>
      <c r="P160" s="13">
        <f t="shared" si="141"/>
        <v>105.25862966790358</v>
      </c>
      <c r="Q160" s="20">
        <f t="shared" si="162"/>
        <v>996.88993412159937</v>
      </c>
      <c r="R160" s="59">
        <f t="shared" si="109"/>
        <v>1287.8122813792038</v>
      </c>
      <c r="S160" s="59">
        <f ca="1">AVERAGE(OFFSET($R$3,0,0,'Données projet'!$E$9+1,1))-AVERAGE(OFFSET($H$3,0,0,'Données projet'!$E$9+1,1))</f>
        <v>665.7907881991157</v>
      </c>
      <c r="T160" s="59">
        <f t="shared" si="142"/>
        <v>306.76923535735227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75.067848580351907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75.067848580351907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69.342458342983036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-4.5474735088646412E-13</v>
      </c>
      <c r="AJ160" s="13">
        <f>AI160*VLOOKUP('Données projet'!$B$10,Paramètres!$A$1:$I$89,3,0)*VLOOKUP('Données projet'!$B$10,Paramètres!$A$1:$I$89,5,0)</f>
        <v>-2.1282176021486519E-13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370.42479501931444</v>
      </c>
      <c r="AO160" s="59">
        <f t="shared" si="144"/>
        <v>351.95632347830144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73.710647145250121</v>
      </c>
      <c r="AV160" s="21">
        <f>EXP(-LN(2)/25)*AV159+(1-EXP(-LN(2)/25))/(LN(2)/25)*Calculateur!AQ160*Calculateur!AS160*VLOOKUP('Données projet'!$B$10,Paramètres!$A$1:$I$89,3,0)*0.475*44/12</f>
        <v>19.928452979168302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93.63910012441842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69.342458342983036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7.1054273576010019E-14</v>
      </c>
      <c r="BE160" s="13">
        <f>BD160*VLOOKUP('Données projet'!$B$11,Paramètres!$A$1:$I$89,3,0)*VLOOKUP('Données projet'!$B$11,Paramètres!$A$1:$I$89,5,0)</f>
        <v>6.2073013396002357E-14</v>
      </c>
      <c r="BF160" s="13">
        <f t="shared" si="167"/>
        <v>9.8573687844725482E-13</v>
      </c>
      <c r="BG160" s="20">
        <f t="shared" si="168"/>
        <v>1.8249355616270061E-12</v>
      </c>
      <c r="BH160" s="59">
        <f t="shared" si="116"/>
        <v>290.9223472576063</v>
      </c>
      <c r="BI160" s="59">
        <f ca="1">AVERAGE(OFFSET($BH$3,0,0,'Données projet'!$E$11+1,1))-AVERAGE(OFFSET($H$3,0,0,'Données projet'!$E$11+1,1))</f>
        <v>128.92423054779167</v>
      </c>
      <c r="BJ160" s="59">
        <f t="shared" si="146"/>
        <v>127.5443711972687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6.1636992386149592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6.1636992386149592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69.342458342983036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8.4429999999999943</v>
      </c>
      <c r="BY160" s="12">
        <f>IF('Données projet'!$A$114&gt;35,BY159+BX160-CG159,IF(A160&lt;'Données projet'!$A$114,$BV$205^A160,IF(A160='Données projet'!$A$114,'Données projet'!$B$114,BY159+BX160-CG159)))</f>
        <v>460.66900000000044</v>
      </c>
      <c r="BZ160" s="13">
        <f>BY160*VLOOKUP('Données projet'!$B$12,Paramètres!$A$1:$I$89,3,0)*VLOOKUP('Données projet'!$B$12,Paramètres!$A$1:$I$89,5,0)</f>
        <v>416.81331120000038</v>
      </c>
      <c r="CA160" s="13">
        <f t="shared" si="170"/>
        <v>95.177094964322421</v>
      </c>
      <c r="CB160" s="20">
        <f t="shared" si="171"/>
        <v>891.71662406952885</v>
      </c>
      <c r="CC160" s="59">
        <f t="shared" si="119"/>
        <v>1182.6389713271333</v>
      </c>
      <c r="CD160" s="59">
        <f ca="1">AVERAGE(OFFSET($CC$3,0,0,'Données projet'!$E$12+1,1))-AVERAGE(OFFSET($H$3,0,0,'Données projet'!$E$12+1,1))</f>
        <v>601.17090553269054</v>
      </c>
      <c r="CE160" s="59">
        <f t="shared" si="148"/>
        <v>279.37477930888042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66.983618733237051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66.983618733237051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69.342458342983036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-2.8421709430404007E-14</v>
      </c>
      <c r="CU160" s="17">
        <f>CT160*VLOOKUP('Données projet'!$B$13,Paramètres!$A$1:$I$89,3,0)*VLOOKUP('Données projet'!$B$13,Paramètres!$A$1:$I$89,5,0)</f>
        <v>-2.7046098693972454E-14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418.79317359649315</v>
      </c>
      <c r="CZ160" s="59">
        <f t="shared" si="150"/>
        <v>286.46514989661011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79.681962027220237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79.681962027220237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69.342458342983036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69.342458342983036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69.342458342983036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69.342458342983036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69.342458342983036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1.35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1.4049359999999964</v>
      </c>
      <c r="D161" s="11">
        <f t="shared" si="140"/>
        <v>0.62233092773226617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5.0569907803863501</v>
      </c>
      <c r="H161" s="67">
        <f t="shared" si="110"/>
        <v>227.52748989913368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69.353865220689372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8.4429999999999943</v>
      </c>
      <c r="N161" s="13">
        <f>IF('Données projet'!$A$36&gt;35,N160+M161-V160,IF(A161&lt;'Données projet'!$A$36,$K$205^A161,IF(A161='Données projet'!$A$36,'Données projet'!$B$36,N160+M161-V160)))</f>
        <v>469.11200000000042</v>
      </c>
      <c r="O161" s="13">
        <f>N161*VLOOKUP('Données projet'!$B$9,Paramètres!$A$1:$I$89,3,0)*VLOOKUP('Données projet'!$B$9,Paramètres!$A$1:$I$89,5,0)</f>
        <v>475.67956800000047</v>
      </c>
      <c r="P161" s="13">
        <f t="shared" si="141"/>
        <v>106.96141874577063</v>
      </c>
      <c r="Q161" s="20">
        <f t="shared" si="162"/>
        <v>1014.7663852488846</v>
      </c>
      <c r="R161" s="59">
        <f t="shared" si="109"/>
        <v>1305.7305577247457</v>
      </c>
      <c r="S161" s="59">
        <f ca="1">AVERAGE(OFFSET($R$3,0,0,'Données projet'!$E$9+1,1))-AVERAGE(OFFSET($H$3,0,0,'Données projet'!$E$9+1,1))</f>
        <v>665.7907881991157</v>
      </c>
      <c r="T161" s="59">
        <f t="shared" si="142"/>
        <v>306.76923535735227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73.595813856557768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73.595813856557768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69.353865220689372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-4.5474735088646412E-13</v>
      </c>
      <c r="AJ161" s="13">
        <f>AI161*VLOOKUP('Données projet'!$B$10,Paramètres!$A$1:$I$89,3,0)*VLOOKUP('Données projet'!$B$10,Paramètres!$A$1:$I$89,5,0)</f>
        <v>-2.1282176021486519E-13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370.42479501931444</v>
      </c>
      <c r="AO161" s="59">
        <f t="shared" si="144"/>
        <v>351.95632347830144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72.265226313787181</v>
      </c>
      <c r="AV161" s="21">
        <f>EXP(-LN(2)/25)*AV160+(1-EXP(-LN(2)/25))/(LN(2)/25)*Calculateur!AQ161*Calculateur!AS161*VLOOKUP('Données projet'!$B$10,Paramètres!$A$1:$I$89,3,0)*0.475*44/12</f>
        <v>19.383508384461148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91.648734698248333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69.353865220689372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7.1054273576010019E-14</v>
      </c>
      <c r="BE161" s="13">
        <f>BD161*VLOOKUP('Données projet'!$B$11,Paramètres!$A$1:$I$89,3,0)*VLOOKUP('Données projet'!$B$11,Paramètres!$A$1:$I$89,5,0)</f>
        <v>6.2073013396002357E-14</v>
      </c>
      <c r="BF161" s="13">
        <f t="shared" si="167"/>
        <v>9.8573687844725482E-13</v>
      </c>
      <c r="BG161" s="20">
        <f t="shared" si="168"/>
        <v>1.8249355616270061E-12</v>
      </c>
      <c r="BH161" s="59">
        <f t="shared" si="116"/>
        <v>290.96417247586288</v>
      </c>
      <c r="BI161" s="59">
        <f ca="1">AVERAGE(OFFSET($BH$3,0,0,'Données projet'!$E$11+1,1))-AVERAGE(OFFSET($H$3,0,0,'Données projet'!$E$11+1,1))</f>
        <v>128.92423054779167</v>
      </c>
      <c r="BJ161" s="59">
        <f t="shared" si="146"/>
        <v>127.5443711972687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6.0428328560310369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6.0428328560310369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69.353865220689372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8.4429999999999943</v>
      </c>
      <c r="BY161" s="12">
        <f>IF('Données projet'!$A$114&gt;35,BY160+BX161-CG160,IF(A161&lt;'Données projet'!$A$114,$BV$205^A161,IF(A161='Données projet'!$A$114,'Données projet'!$B$114,BY160+BX161-CG160)))</f>
        <v>469.11200000000042</v>
      </c>
      <c r="BZ161" s="13">
        <f>BY161*VLOOKUP('Données projet'!$B$12,Paramètres!$A$1:$I$89,3,0)*VLOOKUP('Données projet'!$B$12,Paramètres!$A$1:$I$89,5,0)</f>
        <v>424.45253760000043</v>
      </c>
      <c r="CA161" s="13">
        <f t="shared" si="170"/>
        <v>96.716793118095666</v>
      </c>
      <c r="CB161" s="20">
        <f t="shared" si="171"/>
        <v>907.70325100068385</v>
      </c>
      <c r="CC161" s="59">
        <f t="shared" si="119"/>
        <v>1198.6674234765449</v>
      </c>
      <c r="CD161" s="59">
        <f ca="1">AVERAGE(OFFSET($CC$3,0,0,'Données projet'!$E$12+1,1))-AVERAGE(OFFSET($H$3,0,0,'Données projet'!$E$12+1,1))</f>
        <v>601.17090553269054</v>
      </c>
      <c r="CE161" s="59">
        <f t="shared" si="148"/>
        <v>279.37477930888042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65.670110825851509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65.670110825851509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69.353865220689372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-2.8421709430404007E-14</v>
      </c>
      <c r="CU161" s="17">
        <f>CT161*VLOOKUP('Données projet'!$B$13,Paramètres!$A$1:$I$89,3,0)*VLOOKUP('Données projet'!$B$13,Paramètres!$A$1:$I$89,5,0)</f>
        <v>-2.7046098693972454E-14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418.79317359649315</v>
      </c>
      <c r="CZ161" s="59">
        <f t="shared" si="150"/>
        <v>286.46514989661011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78.119447353064317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78.119447353064317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69.353865220689372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69.353865220689372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69.353865220689372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69.353865220689372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69.353865220689372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1.35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1.4138279999999963</v>
      </c>
      <c r="D162" s="11">
        <f t="shared" si="140"/>
        <v>0.62580997537920013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5.0579457384503241</v>
      </c>
      <c r="H162" s="67">
        <f t="shared" si="110"/>
        <v>227.5490361404521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69.365074214569447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8.4429999999999943</v>
      </c>
      <c r="N162" s="13">
        <f>IF('Données projet'!$A$36&gt;35,N161+M162-V161,IF(A162&lt;'Données projet'!$A$36,$K$205^A162,IF(A162='Données projet'!$A$36,'Données projet'!$B$36,N161+M162-V161)))</f>
        <v>477.5550000000004</v>
      </c>
      <c r="O162" s="13">
        <f>N162*VLOOKUP('Données projet'!$B$9,Paramètres!$A$1:$I$89,3,0)*VLOOKUP('Données projet'!$B$9,Paramètres!$A$1:$I$89,5,0)</f>
        <v>484.24077000000045</v>
      </c>
      <c r="P162" s="13">
        <f t="shared" si="141"/>
        <v>108.66064409983538</v>
      </c>
      <c r="Q162" s="20">
        <f t="shared" si="162"/>
        <v>1032.6366295572141</v>
      </c>
      <c r="R162" s="59">
        <f t="shared" si="109"/>
        <v>1323.641901677302</v>
      </c>
      <c r="S162" s="59">
        <f ca="1">AVERAGE(OFFSET($R$3,0,0,'Données projet'!$E$9+1,1))-AVERAGE(OFFSET($H$3,0,0,'Données projet'!$E$9+1,1))</f>
        <v>665.7907881991157</v>
      </c>
      <c r="T162" s="59">
        <f t="shared" si="142"/>
        <v>306.76923535735227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72.152644835844697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72.152644835844697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69.365074214569447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-4.5474735088646412E-13</v>
      </c>
      <c r="AJ162" s="13">
        <f>AI162*VLOOKUP('Données projet'!$B$10,Paramètres!$A$1:$I$89,3,0)*VLOOKUP('Données projet'!$B$10,Paramètres!$A$1:$I$89,5,0)</f>
        <v>-2.1282176021486519E-13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370.42479501931444</v>
      </c>
      <c r="AO162" s="59">
        <f t="shared" si="144"/>
        <v>351.95632347830144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70.848149303209581</v>
      </c>
      <c r="AV162" s="21">
        <f>EXP(-LN(2)/25)*AV161+(1-EXP(-LN(2)/25))/(LN(2)/25)*Calculateur!AQ162*Calculateur!AS162*VLOOKUP('Données projet'!$B$10,Paramètres!$A$1:$I$89,3,0)*0.475*44/12</f>
        <v>18.853465328353654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89.701614631563231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69.365074214569447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7.1054273576010019E-14</v>
      </c>
      <c r="BE162" s="13">
        <f>BD162*VLOOKUP('Données projet'!$B$11,Paramètres!$A$1:$I$89,3,0)*VLOOKUP('Données projet'!$B$11,Paramètres!$A$1:$I$89,5,0)</f>
        <v>6.2073013396002357E-14</v>
      </c>
      <c r="BF162" s="13">
        <f t="shared" si="167"/>
        <v>9.8573687844725482E-13</v>
      </c>
      <c r="BG162" s="20">
        <f t="shared" si="168"/>
        <v>1.8249355616270061E-12</v>
      </c>
      <c r="BH162" s="59">
        <f t="shared" si="116"/>
        <v>291.00527212008978</v>
      </c>
      <c r="BI162" s="59">
        <f ca="1">AVERAGE(OFFSET($BH$3,0,0,'Données projet'!$E$11+1,1))-AVERAGE(OFFSET($H$3,0,0,'Données projet'!$E$11+1,1))</f>
        <v>128.92423054779167</v>
      </c>
      <c r="BJ162" s="59">
        <f t="shared" si="146"/>
        <v>127.5443711972687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5.9243365894883713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5.9243365894883713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69.365074214569447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8.4429999999999943</v>
      </c>
      <c r="BY162" s="12">
        <f>IF('Données projet'!$A$114&gt;35,BY161+BX162-CG161,IF(A162&lt;'Données projet'!$A$114,$BV$205^A162,IF(A162='Données projet'!$A$114,'Données projet'!$B$114,BY161+BX162-CG161)))</f>
        <v>477.5550000000004</v>
      </c>
      <c r="BZ162" s="13">
        <f>BY162*VLOOKUP('Données projet'!$B$12,Paramètres!$A$1:$I$89,3,0)*VLOOKUP('Données projet'!$B$12,Paramètres!$A$1:$I$89,5,0)</f>
        <v>432.09176400000035</v>
      </c>
      <c r="CA162" s="13">
        <f t="shared" si="170"/>
        <v>98.253268876899142</v>
      </c>
      <c r="CB162" s="20">
        <f t="shared" si="171"/>
        <v>923.68426559393322</v>
      </c>
      <c r="CC162" s="59">
        <f t="shared" si="119"/>
        <v>1214.6895377140213</v>
      </c>
      <c r="CD162" s="59">
        <f ca="1">AVERAGE(OFFSET($CC$3,0,0,'Données projet'!$E$12+1,1))-AVERAGE(OFFSET($H$3,0,0,'Données projet'!$E$12+1,1))</f>
        <v>601.17090553269054</v>
      </c>
      <c r="CE162" s="59">
        <f t="shared" si="148"/>
        <v>279.37477930888042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64.382360007369087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64.382360007369087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69.365074214569447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-2.8421709430404007E-14</v>
      </c>
      <c r="CU162" s="17">
        <f>CT162*VLOOKUP('Données projet'!$B$13,Paramètres!$A$1:$I$89,3,0)*VLOOKUP('Données projet'!$B$13,Paramètres!$A$1:$I$89,5,0)</f>
        <v>-2.7046098693972454E-14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418.79317359649315</v>
      </c>
      <c r="CZ162" s="59">
        <f t="shared" si="150"/>
        <v>286.46514989661011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76.587572638628743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76.587572638628743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69.365074214569447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69.365074214569447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69.365074214569447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69.365074214569447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69.365074214569447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1.35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1.4227199999999962</v>
      </c>
      <c r="D163" s="11">
        <f t="shared" si="140"/>
        <v>0.62928647701497498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5.058900499980103</v>
      </c>
      <c r="H163" s="67">
        <f t="shared" si="110"/>
        <v>227.57057794746774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69.376088757465268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8.4429999999999943</v>
      </c>
      <c r="N163" s="13">
        <f>IF('Données projet'!$A$36&gt;35,N162+M163-V162,IF(A163&lt;'Données projet'!$A$36,$K$205^A163,IF(A163='Données projet'!$A$36,'Données projet'!$B$36,N162+M163-V162)))</f>
        <v>485.99800000000039</v>
      </c>
      <c r="O163" s="13">
        <f>N163*VLOOKUP('Données projet'!$B$9,Paramètres!$A$1:$I$89,3,0)*VLOOKUP('Données projet'!$B$9,Paramètres!$A$1:$I$89,5,0)</f>
        <v>492.80197200000038</v>
      </c>
      <c r="P163" s="13">
        <f t="shared" si="141"/>
        <v>110.35637600432534</v>
      </c>
      <c r="Q163" s="20">
        <f t="shared" si="162"/>
        <v>1050.5007894408673</v>
      </c>
      <c r="R163" s="59">
        <f t="shared" si="109"/>
        <v>1341.5464482182399</v>
      </c>
      <c r="S163" s="59">
        <f ca="1">AVERAGE(OFFSET($R$3,0,0,'Données projet'!$E$9+1,1))-AVERAGE(OFFSET($H$3,0,0,'Données projet'!$E$9+1,1))</f>
        <v>665.7907881991157</v>
      </c>
      <c r="T163" s="59">
        <f t="shared" si="142"/>
        <v>306.76923535735227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70.737775479381625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70.737775479381625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69.376088757465268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-4.5474735088646412E-13</v>
      </c>
      <c r="AJ163" s="13">
        <f>AI163*VLOOKUP('Données projet'!$B$10,Paramètres!$A$1:$I$89,3,0)*VLOOKUP('Données projet'!$B$10,Paramètres!$A$1:$I$89,5,0)</f>
        <v>-2.1282176021486519E-13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370.42479501931444</v>
      </c>
      <c r="AO163" s="59">
        <f t="shared" si="144"/>
        <v>351.95632347830144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69.458860308477782</v>
      </c>
      <c r="AV163" s="21">
        <f>EXP(-LN(2)/25)*AV162+(1-EXP(-LN(2)/25))/(LN(2)/25)*Calculateur!AQ163*Calculateur!AS163*VLOOKUP('Données projet'!$B$10,Paramètres!$A$1:$I$89,3,0)*0.475*44/12</f>
        <v>18.337916327489172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87.79677663596695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69.376088757465268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7.1054273576010019E-14</v>
      </c>
      <c r="BE163" s="13">
        <f>BD163*VLOOKUP('Données projet'!$B$11,Paramètres!$A$1:$I$89,3,0)*VLOOKUP('Données projet'!$B$11,Paramètres!$A$1:$I$89,5,0)</f>
        <v>6.2073013396002357E-14</v>
      </c>
      <c r="BF163" s="13">
        <f t="shared" si="167"/>
        <v>9.8573687844725482E-13</v>
      </c>
      <c r="BG163" s="20">
        <f t="shared" si="168"/>
        <v>1.8249355616270061E-12</v>
      </c>
      <c r="BH163" s="59">
        <f t="shared" si="116"/>
        <v>291.04565877737446</v>
      </c>
      <c r="BI163" s="59">
        <f ca="1">AVERAGE(OFFSET($BH$3,0,0,'Données projet'!$E$11+1,1))-AVERAGE(OFFSET($H$3,0,0,'Données projet'!$E$11+1,1))</f>
        <v>128.92423054779167</v>
      </c>
      <c r="BJ163" s="59">
        <f t="shared" si="146"/>
        <v>127.5443711972687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5.8081639624570212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5.8081639624570212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69.376088757465268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8.4429999999999943</v>
      </c>
      <c r="BY163" s="12">
        <f>IF('Données projet'!$A$114&gt;35,BY162+BX163-CG162,IF(A163&lt;'Données projet'!$A$114,$BV$205^A163,IF(A163='Données projet'!$A$114,'Données projet'!$B$114,BY162+BX163-CG162)))</f>
        <v>485.99800000000039</v>
      </c>
      <c r="BZ163" s="13">
        <f>BY163*VLOOKUP('Données projet'!$B$12,Paramètres!$A$1:$I$89,3,0)*VLOOKUP('Données projet'!$B$12,Paramètres!$A$1:$I$89,5,0)</f>
        <v>439.73099040000034</v>
      </c>
      <c r="CA163" s="13">
        <f t="shared" si="170"/>
        <v>99.786585784186272</v>
      </c>
      <c r="CB163" s="20">
        <f t="shared" si="171"/>
        <v>939.65977852079175</v>
      </c>
      <c r="CC163" s="59">
        <f t="shared" si="119"/>
        <v>1230.7054372981643</v>
      </c>
      <c r="CD163" s="59">
        <f ca="1">AVERAGE(OFFSET($CC$3,0,0,'Données projet'!$E$12+1,1))-AVERAGE(OFFSET($H$3,0,0,'Données projet'!$E$12+1,1))</f>
        <v>601.17090553269054</v>
      </c>
      <c r="CE163" s="59">
        <f t="shared" si="148"/>
        <v>279.37477930888042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63.119861196986655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63.119861196986655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69.376088757465268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-2.8421709430404007E-14</v>
      </c>
      <c r="CU163" s="17">
        <f>CT163*VLOOKUP('Données projet'!$B$13,Paramètres!$A$1:$I$89,3,0)*VLOOKUP('Données projet'!$B$13,Paramètres!$A$1:$I$89,5,0)</f>
        <v>-2.7046098693972454E-14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418.79317359649315</v>
      </c>
      <c r="CZ163" s="59">
        <f t="shared" si="150"/>
        <v>286.46514989661011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75.085737052991931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75.085737052991931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69.376088757465268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69.376088757465268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69.376088757465268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69.376088757465268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69.376088757465268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1.35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1.4316119999999961</v>
      </c>
      <c r="D164" s="11">
        <f t="shared" si="140"/>
        <v>0.63276045039815521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5.0598550663465236</v>
      </c>
      <c r="H164" s="67">
        <f t="shared" si="110"/>
        <v>227.59211535111012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69.386912222666666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8.4429999999999943</v>
      </c>
      <c r="N164" s="13">
        <f>IF('Données projet'!$A$36&gt;35,N163+M164-V163,IF(A164&lt;'Données projet'!$A$36,$K$205^A164,IF(A164='Données projet'!$A$36,'Données projet'!$B$36,N163+M164-V163)))</f>
        <v>494.44100000000037</v>
      </c>
      <c r="O164" s="13">
        <f>N164*VLOOKUP('Données projet'!$B$9,Paramètres!$A$1:$I$89,3,0)*VLOOKUP('Données projet'!$B$9,Paramètres!$A$1:$I$89,5,0)</f>
        <v>501.36317400000041</v>
      </c>
      <c r="P164" s="13">
        <f t="shared" si="141"/>
        <v>112.04868215190658</v>
      </c>
      <c r="Q164" s="20">
        <f t="shared" si="162"/>
        <v>1068.3589827979044</v>
      </c>
      <c r="R164" s="59">
        <f t="shared" si="109"/>
        <v>1359.4443276143488</v>
      </c>
      <c r="S164" s="59">
        <f ca="1">AVERAGE(OFFSET($R$3,0,0,'Données projet'!$E$9+1,1))-AVERAGE(OFFSET($H$3,0,0,'Données projet'!$E$9+1,1))</f>
        <v>665.7907881991157</v>
      </c>
      <c r="T164" s="59">
        <f t="shared" si="142"/>
        <v>306.76923535735227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69.3506508480137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69.3506508480137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69.386912222666666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-4.5474735088646412E-13</v>
      </c>
      <c r="AJ164" s="13">
        <f>AI164*VLOOKUP('Données projet'!$B$10,Paramètres!$A$1:$I$89,3,0)*VLOOKUP('Données projet'!$B$10,Paramètres!$A$1:$I$89,5,0)</f>
        <v>-2.1282176021486519E-13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370.42479501931444</v>
      </c>
      <c r="AO164" s="59">
        <f t="shared" si="144"/>
        <v>351.95632347830144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68.096814423550057</v>
      </c>
      <c r="AV164" s="21">
        <f>EXP(-LN(2)/25)*AV163+(1-EXP(-LN(2)/25))/(LN(2)/25)*Calculateur!AQ164*Calculateur!AS164*VLOOKUP('Données projet'!$B$10,Paramètres!$A$1:$I$89,3,0)*0.475*44/12</f>
        <v>17.836465041164871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85.933279464714929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69.386912222666666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7.1054273576010019E-14</v>
      </c>
      <c r="BE164" s="13">
        <f>BD164*VLOOKUP('Données projet'!$B$11,Paramètres!$A$1:$I$89,3,0)*VLOOKUP('Données projet'!$B$11,Paramètres!$A$1:$I$89,5,0)</f>
        <v>6.2073013396002357E-14</v>
      </c>
      <c r="BF164" s="13">
        <f t="shared" si="167"/>
        <v>9.8573687844725482E-13</v>
      </c>
      <c r="BG164" s="20">
        <f t="shared" si="168"/>
        <v>1.8249355616270061E-12</v>
      </c>
      <c r="BH164" s="59">
        <f t="shared" si="116"/>
        <v>291.08534481644625</v>
      </c>
      <c r="BI164" s="59">
        <f ca="1">AVERAGE(OFFSET($BH$3,0,0,'Données projet'!$E$11+1,1))-AVERAGE(OFFSET($H$3,0,0,'Données projet'!$E$11+1,1))</f>
        <v>128.92423054779167</v>
      </c>
      <c r="BJ164" s="59">
        <f t="shared" si="146"/>
        <v>127.5443711972687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5.6942694097834501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5.6942694097834501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69.386912222666666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8.4429999999999943</v>
      </c>
      <c r="BY164" s="12">
        <f>IF('Données projet'!$A$114&gt;35,BY163+BX164-CG163,IF(A164&lt;'Données projet'!$A$114,$BV$205^A164,IF(A164='Données projet'!$A$114,'Données projet'!$B$114,BY163+BX164-CG163)))</f>
        <v>494.44100000000037</v>
      </c>
      <c r="BZ164" s="13">
        <f>BY164*VLOOKUP('Données projet'!$B$12,Paramètres!$A$1:$I$89,3,0)*VLOOKUP('Données projet'!$B$12,Paramètres!$A$1:$I$89,5,0)</f>
        <v>447.37021680000026</v>
      </c>
      <c r="CA164" s="13">
        <f t="shared" si="170"/>
        <v>101.3168050491076</v>
      </c>
      <c r="CB164" s="20">
        <f t="shared" si="171"/>
        <v>955.62989638719603</v>
      </c>
      <c r="CC164" s="59">
        <f t="shared" si="119"/>
        <v>1246.7152412036405</v>
      </c>
      <c r="CD164" s="59">
        <f ca="1">AVERAGE(OFFSET($CC$3,0,0,'Données projet'!$E$12+1,1))-AVERAGE(OFFSET($H$3,0,0,'Données projet'!$E$12+1,1))</f>
        <v>601.17090553269054</v>
      </c>
      <c r="CE164" s="59">
        <f t="shared" si="148"/>
        <v>279.37477930888042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61.882119218227587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61.882119218227587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69.386912222666666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-2.8421709430404007E-14</v>
      </c>
      <c r="CU164" s="17">
        <f>CT164*VLOOKUP('Données projet'!$B$13,Paramètres!$A$1:$I$89,3,0)*VLOOKUP('Données projet'!$B$13,Paramètres!$A$1:$I$89,5,0)</f>
        <v>-2.7046098693972454E-14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418.79317359649315</v>
      </c>
      <c r="CZ164" s="59">
        <f t="shared" si="150"/>
        <v>286.46514989661011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73.613351547160207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73.613351547160207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69.386912222666666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69.386912222666666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69.386912222666666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69.386912222666666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69.386912222666666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1.35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1.440503999999996</v>
      </c>
      <c r="D165" s="11">
        <f t="shared" si="140"/>
        <v>0.63623191305394255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5.0608094389024094</v>
      </c>
      <c r="H165" s="67">
        <f t="shared" si="110"/>
        <v>227.61364838190227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69.397547924944476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8.4429999999999943</v>
      </c>
      <c r="N165" s="13">
        <f>IF('Données projet'!$A$36&gt;35,N164+M165-V164,IF(A165&lt;'Données projet'!$A$36,$K$205^A165,IF(A165='Données projet'!$A$36,'Données projet'!$B$36,N164+M165-V164)))</f>
        <v>502.88400000000036</v>
      </c>
      <c r="O165" s="13">
        <f>N165*VLOOKUP('Données projet'!$B$9,Paramètres!$A$1:$I$89,3,0)*VLOOKUP('Données projet'!$B$9,Paramètres!$A$1:$I$89,5,0)</f>
        <v>509.92437600000034</v>
      </c>
      <c r="P165" s="13">
        <f t="shared" si="141"/>
        <v>113.73762779095213</v>
      </c>
      <c r="Q165" s="20">
        <f t="shared" si="162"/>
        <v>1086.211323269242</v>
      </c>
      <c r="R165" s="59">
        <f t="shared" si="109"/>
        <v>1377.3356656607052</v>
      </c>
      <c r="S165" s="59">
        <f ca="1">AVERAGE(OFFSET($R$3,0,0,'Données projet'!$E$9+1,1))-AVERAGE(OFFSET($H$3,0,0,'Données projet'!$E$9+1,1))</f>
        <v>665.7907881991157</v>
      </c>
      <c r="T165" s="59">
        <f t="shared" si="142"/>
        <v>306.76923535735227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67.990726884604413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67.990726884604413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69.397547924944476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-4.5474735088646412E-13</v>
      </c>
      <c r="AJ165" s="13">
        <f>AI165*VLOOKUP('Données projet'!$B$10,Paramètres!$A$1:$I$89,3,0)*VLOOKUP('Données projet'!$B$10,Paramètres!$A$1:$I$89,5,0)</f>
        <v>-2.1282176021486519E-13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370.42479501931444</v>
      </c>
      <c r="AO165" s="59">
        <f t="shared" si="144"/>
        <v>351.95632347830144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66.761477427659798</v>
      </c>
      <c r="AV165" s="21">
        <f>EXP(-LN(2)/25)*AV164+(1-EXP(-LN(2)/25))/(LN(2)/25)*Calculateur!AQ165*Calculateur!AS165*VLOOKUP('Données projet'!$B$10,Paramètres!$A$1:$I$89,3,0)*0.475*44/12</f>
        <v>17.348725966635286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84.110203394295084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69.397547924944476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7.1054273576010019E-14</v>
      </c>
      <c r="BE165" s="13">
        <f>BD165*VLOOKUP('Données projet'!$B$11,Paramètres!$A$1:$I$89,3,0)*VLOOKUP('Données projet'!$B$11,Paramètres!$A$1:$I$89,5,0)</f>
        <v>6.2073013396002357E-14</v>
      </c>
      <c r="BF165" s="13">
        <f t="shared" si="167"/>
        <v>9.8573687844725482E-13</v>
      </c>
      <c r="BG165" s="20">
        <f t="shared" si="168"/>
        <v>1.8249355616270061E-12</v>
      </c>
      <c r="BH165" s="59">
        <f t="shared" si="116"/>
        <v>291.12434239146489</v>
      </c>
      <c r="BI165" s="59">
        <f ca="1">AVERAGE(OFFSET($BH$3,0,0,'Données projet'!$E$11+1,1))-AVERAGE(OFFSET($H$3,0,0,'Données projet'!$E$11+1,1))</f>
        <v>128.92423054779167</v>
      </c>
      <c r="BJ165" s="59">
        <f t="shared" si="146"/>
        <v>127.5443711972687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5.5826082598189908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5.5826082598189908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69.397547924944476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8.4429999999999943</v>
      </c>
      <c r="BY165" s="12">
        <f>IF('Données projet'!$A$114&gt;35,BY164+BX165-CG164,IF(A165&lt;'Données projet'!$A$114,$BV$205^A165,IF(A165='Données projet'!$A$114,'Données projet'!$B$114,BY164+BX165-CG164)))</f>
        <v>502.88400000000036</v>
      </c>
      <c r="BZ165" s="13">
        <f>BY165*VLOOKUP('Données projet'!$B$12,Paramètres!$A$1:$I$89,3,0)*VLOOKUP('Données projet'!$B$12,Paramètres!$A$1:$I$89,5,0)</f>
        <v>455.00944320000031</v>
      </c>
      <c r="CA165" s="13">
        <f t="shared" si="170"/>
        <v>102.84398567063174</v>
      </c>
      <c r="CB165" s="20">
        <f t="shared" si="171"/>
        <v>971.59472194968396</v>
      </c>
      <c r="CC165" s="59">
        <f t="shared" si="119"/>
        <v>1262.719064341147</v>
      </c>
      <c r="CD165" s="59">
        <f ca="1">AVERAGE(OFFSET($CC$3,0,0,'Données projet'!$E$12+1,1))-AVERAGE(OFFSET($H$3,0,0,'Données projet'!$E$12+1,1))</f>
        <v>601.17090553269054</v>
      </c>
      <c r="CE165" s="59">
        <f t="shared" si="148"/>
        <v>279.37477930888042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60.66864860472392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60.66864860472392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69.397547924944476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-2.8421709430404007E-14</v>
      </c>
      <c r="CU165" s="17">
        <f>CT165*VLOOKUP('Données projet'!$B$13,Paramètres!$A$1:$I$89,3,0)*VLOOKUP('Données projet'!$B$13,Paramètres!$A$1:$I$89,5,0)</f>
        <v>-2.7046098693972454E-14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418.79317359649315</v>
      </c>
      <c r="CZ165" s="59">
        <f t="shared" si="150"/>
        <v>286.46514989661011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72.169838623031367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72.169838623031367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69.397547924944476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69.397547924944476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69.397547924944476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69.397547924944476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69.397547924944476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1.35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1.4493959999999959</v>
      </c>
      <c r="D166" s="11">
        <f t="shared" si="140"/>
        <v>0.63970088227866406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5.0617636189829138</v>
      </c>
      <c r="H166" s="67">
        <f t="shared" si="110"/>
        <v>227.63517706996868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69.407999121565624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8.4429999999999943</v>
      </c>
      <c r="N166" s="13">
        <f>IF('Données projet'!$A$36&gt;35,N165+M166-V165,IF(A166&lt;'Données projet'!$A$36,$K$205^A166,IF(A166='Données projet'!$A$36,'Données projet'!$B$36,N165+M166-V165)))</f>
        <v>511.32700000000034</v>
      </c>
      <c r="O166" s="13">
        <f>N166*VLOOKUP('Données projet'!$B$9,Paramètres!$A$1:$I$89,3,0)*VLOOKUP('Données projet'!$B$9,Paramètres!$A$1:$I$89,5,0)</f>
        <v>518.48557800000037</v>
      </c>
      <c r="P166" s="13">
        <f t="shared" si="141"/>
        <v>115.42327585333055</v>
      </c>
      <c r="Q166" s="20">
        <f t="shared" si="162"/>
        <v>1104.0579204612179</v>
      </c>
      <c r="R166" s="59">
        <f t="shared" si="109"/>
        <v>1395.2205839069586</v>
      </c>
      <c r="S166" s="59">
        <f ca="1">AVERAGE(OFFSET($R$3,0,0,'Données projet'!$E$9+1,1))-AVERAGE(OFFSET($H$3,0,0,'Données projet'!$E$9+1,1))</f>
        <v>665.7907881991157</v>
      </c>
      <c r="T166" s="59">
        <f t="shared" si="142"/>
        <v>306.76923535735227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66.657470200645875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66.657470200645875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69.407999121565624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-4.5474735088646412E-13</v>
      </c>
      <c r="AJ166" s="13">
        <f>AI166*VLOOKUP('Données projet'!$B$10,Paramètres!$A$1:$I$89,3,0)*VLOOKUP('Données projet'!$B$10,Paramètres!$A$1:$I$89,5,0)</f>
        <v>-2.1282176021486519E-13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370.42479501931444</v>
      </c>
      <c r="AO166" s="59">
        <f t="shared" si="144"/>
        <v>351.95632347830144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65.452325575783803</v>
      </c>
      <c r="AV166" s="21">
        <f>EXP(-LN(2)/25)*AV165+(1-EXP(-LN(2)/25))/(LN(2)/25)*Calculateur!AQ166*Calculateur!AS166*VLOOKUP('Données projet'!$B$10,Paramètres!$A$1:$I$89,3,0)*0.475*44/12</f>
        <v>16.874324142747795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82.326649718531598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69.407999121565624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7.1054273576010019E-14</v>
      </c>
      <c r="BE166" s="13">
        <f>BD166*VLOOKUP('Données projet'!$B$11,Paramètres!$A$1:$I$89,3,0)*VLOOKUP('Données projet'!$B$11,Paramètres!$A$1:$I$89,5,0)</f>
        <v>6.2073013396002357E-14</v>
      </c>
      <c r="BF166" s="13">
        <f t="shared" si="167"/>
        <v>9.8573687844725482E-13</v>
      </c>
      <c r="BG166" s="20">
        <f t="shared" si="168"/>
        <v>1.8249355616270061E-12</v>
      </c>
      <c r="BH166" s="59">
        <f t="shared" si="116"/>
        <v>291.16266344574245</v>
      </c>
      <c r="BI166" s="59">
        <f ca="1">AVERAGE(OFFSET($BH$3,0,0,'Données projet'!$E$11+1,1))-AVERAGE(OFFSET($H$3,0,0,'Données projet'!$E$11+1,1))</f>
        <v>128.92423054779167</v>
      </c>
      <c r="BJ166" s="59">
        <f t="shared" si="146"/>
        <v>127.5443711972687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5.4731367168987575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5.4731367168987575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69.407999121565624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8.4429999999999943</v>
      </c>
      <c r="BY166" s="12">
        <f>IF('Données projet'!$A$114&gt;35,BY165+BX166-CG165,IF(A166&lt;'Données projet'!$A$114,$BV$205^A166,IF(A166='Données projet'!$A$114,'Données projet'!$B$114,BY165+BX166-CG165)))</f>
        <v>511.32700000000034</v>
      </c>
      <c r="BZ166" s="13">
        <f>BY166*VLOOKUP('Données projet'!$B$12,Paramètres!$A$1:$I$89,3,0)*VLOOKUP('Données projet'!$B$12,Paramètres!$A$1:$I$89,5,0)</f>
        <v>462.64866960000029</v>
      </c>
      <c r="CA166" s="13">
        <f t="shared" si="170"/>
        <v>104.36818455309495</v>
      </c>
      <c r="CB166" s="20">
        <f t="shared" si="171"/>
        <v>987.5543543166408</v>
      </c>
      <c r="CC166" s="59">
        <f t="shared" si="119"/>
        <v>1278.7170177623814</v>
      </c>
      <c r="CD166" s="59">
        <f ca="1">AVERAGE(OFFSET($CC$3,0,0,'Données projet'!$E$12+1,1))-AVERAGE(OFFSET($H$3,0,0,'Données projet'!$E$12+1,1))</f>
        <v>601.17090553269054</v>
      </c>
      <c r="CE166" s="59">
        <f t="shared" si="148"/>
        <v>279.37477930888042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59.478973409807068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59.478973409807068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69.407999121565624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-2.8421709430404007E-14</v>
      </c>
      <c r="CU166" s="17">
        <f>CT166*VLOOKUP('Données projet'!$B$13,Paramètres!$A$1:$I$89,3,0)*VLOOKUP('Données projet'!$B$13,Paramètres!$A$1:$I$89,5,0)</f>
        <v>-2.7046098693972454E-14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418.79317359649315</v>
      </c>
      <c r="CZ166" s="59">
        <f t="shared" si="150"/>
        <v>286.46514989661011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70.754632106888735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70.754632106888735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69.407999121565624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69.407999121565624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69.407999121565624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69.407999121565624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69.407999121565624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1.35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1.4582879999999958</v>
      </c>
      <c r="D167" s="11">
        <f t="shared" si="140"/>
        <v>0.64316737514414657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5.0627176079058636</v>
      </c>
      <c r="H167" s="67">
        <f t="shared" si="110"/>
        <v>227.65670144504273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69.418269013290768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519.77</v>
      </c>
      <c r="L167" s="12">
        <f>VLOOKUP(A167,'Données projet'!$A$35:$I$55,9,0)</f>
        <v>8.4429999999999943</v>
      </c>
      <c r="M167" s="12">
        <f t="array" ref="M167">INDEX(L:L,MIN(IF(ISNUMBER(L167:L363),ROW(L167:L363),"")))</f>
        <v>8.4429999999999943</v>
      </c>
      <c r="N167" s="13">
        <f>IF('Données projet'!$A$36&gt;35,N166+M167-V166,IF(A167&lt;'Données projet'!$A$36,$K$205^A167,IF(A167='Données projet'!$A$36,'Données projet'!$B$36,N166+M167-V166)))</f>
        <v>519.77000000000032</v>
      </c>
      <c r="O167" s="13">
        <f>N167*VLOOKUP('Données projet'!$B$9,Paramètres!$A$1:$I$89,3,0)*VLOOKUP('Données projet'!$B$9,Paramètres!$A$1:$I$89,5,0)</f>
        <v>527.04678000000035</v>
      </c>
      <c r="P167" s="13">
        <f t="shared" si="141"/>
        <v>117.10568707351568</v>
      </c>
      <c r="Q167" s="20">
        <f t="shared" si="162"/>
        <v>1121.8988801530404</v>
      </c>
      <c r="R167" s="59">
        <f t="shared" si="109"/>
        <v>1413.0991998684399</v>
      </c>
      <c r="S167" s="59">
        <f ca="1">AVERAGE(OFFSET($R$3,0,0,'Données projet'!$E$9+1,1))-AVERAGE(OFFSET($H$3,0,0,'Données projet'!$E$9+1,1))</f>
        <v>665.7907881991157</v>
      </c>
      <c r="T167" s="59">
        <f t="shared" si="142"/>
        <v>306.76923535735227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59.58</v>
      </c>
      <c r="W167" s="16">
        <f>IF(ISNA(VLOOKUP(A167,'Données projet'!$A$35:$I$55,5,0)),0%,VLOOKUP(A167,'Données projet'!$A$35:$I$55,5,0)*VLOOKUP('Données projet'!$B$9,Paramètres!$A$1:$I$89,7,0))</f>
        <v>0.25800000000000001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82.581151069765184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82.581151069765184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69.418269013290768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-4.5474735088646412E-13</v>
      </c>
      <c r="AJ167" s="13">
        <f>AI167*VLOOKUP('Données projet'!$B$10,Paramètres!$A$1:$I$89,3,0)*VLOOKUP('Données projet'!$B$10,Paramètres!$A$1:$I$89,5,0)</f>
        <v>-2.1282176021486519E-13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370.42479501931444</v>
      </c>
      <c r="AO167" s="59">
        <f t="shared" si="144"/>
        <v>351.95632347830144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64.168845393219314</v>
      </c>
      <c r="AV167" s="21">
        <f>EXP(-LN(2)/25)*AV166+(1-EXP(-LN(2)/25))/(LN(2)/25)*Calculateur!AQ167*Calculateur!AS167*VLOOKUP('Données projet'!$B$10,Paramètres!$A$1:$I$89,3,0)*0.475*44/12</f>
        <v>16.412894861682219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80.581740254901533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69.418269013290768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7.1054273576010019E-14</v>
      </c>
      <c r="BE167" s="13">
        <f>BD167*VLOOKUP('Données projet'!$B$11,Paramètres!$A$1:$I$89,3,0)*VLOOKUP('Données projet'!$B$11,Paramètres!$A$1:$I$89,5,0)</f>
        <v>6.2073013396002357E-14</v>
      </c>
      <c r="BF167" s="13">
        <f t="shared" si="167"/>
        <v>9.8573687844725482E-13</v>
      </c>
      <c r="BG167" s="20">
        <f t="shared" si="168"/>
        <v>1.8249355616270061E-12</v>
      </c>
      <c r="BH167" s="59">
        <f t="shared" si="116"/>
        <v>291.20031971540129</v>
      </c>
      <c r="BI167" s="59">
        <f ca="1">AVERAGE(OFFSET($BH$3,0,0,'Données projet'!$E$11+1,1))-AVERAGE(OFFSET($H$3,0,0,'Données projet'!$E$11+1,1))</f>
        <v>128.92423054779167</v>
      </c>
      <c r="BJ167" s="59">
        <f t="shared" si="146"/>
        <v>127.5443711972687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5.365811844164142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5.365811844164142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69.418269013290768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519.77</v>
      </c>
      <c r="BW167" s="12">
        <f>VLOOKUP(A167,'Données projet'!$A$113:$I$133,9,0)</f>
        <v>8.4429999999999943</v>
      </c>
      <c r="BX167" s="12">
        <f t="array" ref="BX167">INDEX(BW:BW,MIN(IF(ISNUMBER(BW167:BW363),ROW(BW167:BW363),"")))</f>
        <v>8.4429999999999943</v>
      </c>
      <c r="BY167" s="12">
        <f>IF('Données projet'!$A$114&gt;35,BY166+BX167-CG166,IF(A167&lt;'Données projet'!$A$114,$BV$205^A167,IF(A167='Données projet'!$A$114,'Données projet'!$B$114,BY166+BX167-CG166)))</f>
        <v>519.77000000000032</v>
      </c>
      <c r="BZ167" s="13">
        <f>BY167*VLOOKUP('Données projet'!$B$12,Paramètres!$A$1:$I$89,3,0)*VLOOKUP('Données projet'!$B$12,Paramètres!$A$1:$I$89,5,0)</f>
        <v>470.28789600000022</v>
      </c>
      <c r="CA167" s="13">
        <f t="shared" si="170"/>
        <v>105.88945661390174</v>
      </c>
      <c r="CB167" s="20">
        <f t="shared" si="171"/>
        <v>1003.5088891358791</v>
      </c>
      <c r="CC167" s="59">
        <f t="shared" si="119"/>
        <v>1294.7092088512786</v>
      </c>
      <c r="CD167" s="59">
        <f ca="1">AVERAGE(OFFSET($CC$3,0,0,'Données projet'!$E$12+1,1))-AVERAGE(OFFSET($H$3,0,0,'Données projet'!$E$12+1,1))</f>
        <v>601.17090553269054</v>
      </c>
      <c r="CE167" s="59">
        <f t="shared" si="148"/>
        <v>279.37477930888042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59.58</v>
      </c>
      <c r="CH167" s="16">
        <f>IF(ISNA(VLOOKUP(A167,'Données projet'!$A$113:$I$133,5,0)),0%,VLOOKUP(A167,'Données projet'!$A$113:$I$133,5,0)*VLOOKUP('Données projet'!$B$12,Paramètres!$A$1:$I$89,7,0))</f>
        <v>0.25800000000000001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73.687796339175065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73.687796339175065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69.418269013290768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-2.8421709430404007E-14</v>
      </c>
      <c r="CU167" s="17">
        <f>CT167*VLOOKUP('Données projet'!$B$13,Paramètres!$A$1:$I$89,3,0)*VLOOKUP('Données projet'!$B$13,Paramètres!$A$1:$I$89,5,0)</f>
        <v>-2.7046098693972454E-14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418.79317359649315</v>
      </c>
      <c r="CZ167" s="59">
        <f t="shared" si="150"/>
        <v>286.46514989661011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69.367176927336928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69.367176927336928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69.418269013290768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69.418269013290768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69.418269013290768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69.418269013290768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69.418269013290768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1.35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1.4671799999999957</v>
      </c>
      <c r="D168" s="11">
        <f t="shared" si="140"/>
        <v>0.6466314085019812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5.0636714069720821</v>
      </c>
      <c r="H168" s="67">
        <f t="shared" si="110"/>
        <v>227.67822153647427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69.428360745354524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8.5459999999999976</v>
      </c>
      <c r="N168" s="13">
        <f>IF('Données projet'!$A$36&gt;35,N167+M168-V167,IF(A168&lt;'Données projet'!$A$36,$K$205^A168,IF(A168='Données projet'!$A$36,'Données projet'!$B$36,N167+M168-V167)))</f>
        <v>468.73600000000039</v>
      </c>
      <c r="O168" s="13">
        <f>N168*VLOOKUP('Données projet'!$B$9,Paramètres!$A$1:$I$89,3,0)*VLOOKUP('Données projet'!$B$9,Paramètres!$A$1:$I$89,5,0)</f>
        <v>475.29830400000037</v>
      </c>
      <c r="P168" s="13">
        <f t="shared" si="141"/>
        <v>106.88566320039537</v>
      </c>
      <c r="Q168" s="20">
        <f t="shared" si="162"/>
        <v>1013.9704095406892</v>
      </c>
      <c r="R168" s="59">
        <f t="shared" si="109"/>
        <v>1305.2077322736557</v>
      </c>
      <c r="S168" s="59">
        <f ca="1">AVERAGE(OFFSET($R$3,0,0,'Données projet'!$E$9+1,1))-AVERAGE(OFFSET($H$3,0,0,'Données projet'!$E$9+1,1))</f>
        <v>665.7907881991157</v>
      </c>
      <c r="T168" s="59">
        <f t="shared" si="142"/>
        <v>306.76923535735227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80.961785066815665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80.961785066815665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69.428360745354524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-4.5474735088646412E-13</v>
      </c>
      <c r="AJ168" s="13">
        <f>AI168*VLOOKUP('Données projet'!$B$10,Paramètres!$A$1:$I$89,3,0)*VLOOKUP('Données projet'!$B$10,Paramètres!$A$1:$I$89,5,0)</f>
        <v>-2.1282176021486519E-13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370.42479501931444</v>
      </c>
      <c r="AO168" s="59">
        <f t="shared" si="144"/>
        <v>351.95632347830144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62.910533474189307</v>
      </c>
      <c r="AV168" s="21">
        <f>EXP(-LN(2)/25)*AV167+(1-EXP(-LN(2)/25))/(LN(2)/25)*Calculateur!AQ168*Calculateur!AS168*VLOOKUP('Données projet'!$B$10,Paramètres!$A$1:$I$89,3,0)*0.475*44/12</f>
        <v>15.96408338857289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78.874616862762196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69.428360745354524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7.1054273576010019E-14</v>
      </c>
      <c r="BE168" s="13">
        <f>BD168*VLOOKUP('Données projet'!$B$11,Paramètres!$A$1:$I$89,3,0)*VLOOKUP('Données projet'!$B$11,Paramètres!$A$1:$I$89,5,0)</f>
        <v>6.2073013396002357E-14</v>
      </c>
      <c r="BF168" s="13">
        <f t="shared" si="167"/>
        <v>9.8573687844725482E-13</v>
      </c>
      <c r="BG168" s="20">
        <f t="shared" si="168"/>
        <v>1.8249355616270061E-12</v>
      </c>
      <c r="BH168" s="59">
        <f t="shared" si="116"/>
        <v>291.23732273296838</v>
      </c>
      <c r="BI168" s="59">
        <f ca="1">AVERAGE(OFFSET($BH$3,0,0,'Données projet'!$E$11+1,1))-AVERAGE(OFFSET($H$3,0,0,'Données projet'!$E$11+1,1))</f>
        <v>128.92423054779167</v>
      </c>
      <c r="BJ168" s="59">
        <f t="shared" si="146"/>
        <v>127.5443711972687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5.2605915467221438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5.2605915467221438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69.428360745354524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8.5459999999999976</v>
      </c>
      <c r="BY168" s="12">
        <f>IF('Données projet'!$A$114&gt;35,BY167+BX168-CG167,IF(A168&lt;'Données projet'!$A$114,$BV$205^A168,IF(A168='Données projet'!$A$114,'Données projet'!$B$114,BY167+BX168-CG167)))</f>
        <v>468.73600000000039</v>
      </c>
      <c r="BZ168" s="13">
        <f>BY168*VLOOKUP('Données projet'!$B$12,Paramètres!$A$1:$I$89,3,0)*VLOOKUP('Données projet'!$B$12,Paramètres!$A$1:$I$89,5,0)</f>
        <v>424.11233280000033</v>
      </c>
      <c r="CA168" s="13">
        <f t="shared" si="170"/>
        <v>96.648293340367189</v>
      </c>
      <c r="CB168" s="20">
        <f t="shared" si="171"/>
        <v>906.99142386114011</v>
      </c>
      <c r="CC168" s="59">
        <f t="shared" si="119"/>
        <v>1198.2287465941067</v>
      </c>
      <c r="CD168" s="59">
        <f ca="1">AVERAGE(OFFSET($CC$3,0,0,'Données projet'!$E$12+1,1))-AVERAGE(OFFSET($H$3,0,0,'Données projet'!$E$12+1,1))</f>
        <v>601.17090553269054</v>
      </c>
      <c r="CE168" s="59">
        <f t="shared" si="148"/>
        <v>279.37477930888042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72.242823598081642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72.242823598081642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69.428360745354524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-2.8421709430404007E-14</v>
      </c>
      <c r="CU168" s="17">
        <f>CT168*VLOOKUP('Données projet'!$B$13,Paramètres!$A$1:$I$89,3,0)*VLOOKUP('Données projet'!$B$13,Paramètres!$A$1:$I$89,5,0)</f>
        <v>-2.7046098693972454E-14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418.79317359649315</v>
      </c>
      <c r="CZ168" s="59">
        <f t="shared" si="150"/>
        <v>286.46514989661011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68.006928897592033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68.006928897592033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69.428360745354524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69.428360745354524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69.428360745354524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69.428360745354524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69.428360745354524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1.35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1.4760719999999956</v>
      </c>
      <c r="D169" s="11">
        <f t="shared" si="140"/>
        <v>0.65009299898768158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5.0646250174657155</v>
      </c>
      <c r="H169" s="67">
        <f t="shared" si="110"/>
        <v>227.69973737323687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69.438277408428718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8.5459999999999976</v>
      </c>
      <c r="N169" s="13">
        <f>IF('Données projet'!$A$36&gt;35,N168+M169-V168,IF(A169&lt;'Données projet'!$A$36,$K$205^A169,IF(A169='Données projet'!$A$36,'Données projet'!$B$36,N168+M169-V168)))</f>
        <v>477.28200000000038</v>
      </c>
      <c r="O169" s="13">
        <f>N169*VLOOKUP('Données projet'!$B$9,Paramètres!$A$1:$I$89,3,0)*VLOOKUP('Données projet'!$B$9,Paramètres!$A$1:$I$89,5,0)</f>
        <v>483.96394800000041</v>
      </c>
      <c r="P169" s="13">
        <f t="shared" si="141"/>
        <v>108.6057555590847</v>
      </c>
      <c r="Q169" s="20">
        <f t="shared" si="162"/>
        <v>1032.0589003654065</v>
      </c>
      <c r="R169" s="59">
        <f t="shared" si="109"/>
        <v>1323.3325841963119</v>
      </c>
      <c r="S169" s="59">
        <f ca="1">AVERAGE(OFFSET($R$3,0,0,'Données projet'!$E$9+1,1))-AVERAGE(OFFSET($H$3,0,0,'Données projet'!$E$9+1,1))</f>
        <v>665.7907881991157</v>
      </c>
      <c r="T169" s="59">
        <f t="shared" si="142"/>
        <v>306.76923535735227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79.374173843468256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79.374173843468256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69.438277408428718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-4.5474735088646412E-13</v>
      </c>
      <c r="AJ169" s="13">
        <f>AI169*VLOOKUP('Données projet'!$B$10,Paramètres!$A$1:$I$89,3,0)*VLOOKUP('Données projet'!$B$10,Paramètres!$A$1:$I$89,5,0)</f>
        <v>-2.1282176021486519E-13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370.42479501931444</v>
      </c>
      <c r="AO169" s="59">
        <f t="shared" si="144"/>
        <v>351.95632347830144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61.676896284396989</v>
      </c>
      <c r="AV169" s="21">
        <f>EXP(-LN(2)/25)*AV168+(1-EXP(-LN(2)/25))/(LN(2)/25)*Calculateur!AQ169*Calculateur!AS169*VLOOKUP('Données projet'!$B$10,Paramètres!$A$1:$I$89,3,0)*0.475*44/12</f>
        <v>15.527544688797706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77.204440973194693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69.438277408428718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7.1054273576010019E-14</v>
      </c>
      <c r="BE169" s="13">
        <f>BD169*VLOOKUP('Données projet'!$B$11,Paramètres!$A$1:$I$89,3,0)*VLOOKUP('Données projet'!$B$11,Paramètres!$A$1:$I$89,5,0)</f>
        <v>6.2073013396002357E-14</v>
      </c>
      <c r="BF169" s="13">
        <f t="shared" si="167"/>
        <v>9.8573687844725482E-13</v>
      </c>
      <c r="BG169" s="20">
        <f t="shared" si="168"/>
        <v>1.8249355616270061E-12</v>
      </c>
      <c r="BH169" s="59">
        <f t="shared" si="116"/>
        <v>291.27368383090715</v>
      </c>
      <c r="BI169" s="59">
        <f ca="1">AVERAGE(OFFSET($BH$3,0,0,'Données projet'!$E$11+1,1))-AVERAGE(OFFSET($H$3,0,0,'Données projet'!$E$11+1,1))</f>
        <v>128.92423054779167</v>
      </c>
      <c r="BJ169" s="59">
        <f t="shared" si="146"/>
        <v>127.5443711972687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5.1574345551349392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5.1574345551349392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69.438277408428718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8.5459999999999976</v>
      </c>
      <c r="BY169" s="12">
        <f>IF('Données projet'!$A$114&gt;35,BY168+BX169-CG168,IF(A169&lt;'Données projet'!$A$114,$BV$205^A169,IF(A169='Données projet'!$A$114,'Données projet'!$B$114,BY168+BX169-CG168)))</f>
        <v>477.28200000000038</v>
      </c>
      <c r="BZ169" s="13">
        <f>BY169*VLOOKUP('Données projet'!$B$12,Paramètres!$A$1:$I$89,3,0)*VLOOKUP('Données projet'!$B$12,Paramètres!$A$1:$I$89,5,0)</f>
        <v>431.84475360000033</v>
      </c>
      <c r="CA169" s="13">
        <f t="shared" si="170"/>
        <v>98.203637489221336</v>
      </c>
      <c r="CB169" s="20">
        <f t="shared" si="171"/>
        <v>923.16761448039449</v>
      </c>
      <c r="CC169" s="59">
        <f t="shared" si="119"/>
        <v>1214.4412983112998</v>
      </c>
      <c r="CD169" s="59">
        <f ca="1">AVERAGE(OFFSET($CC$3,0,0,'Données projet'!$E$12+1,1))-AVERAGE(OFFSET($H$3,0,0,'Données projet'!$E$12+1,1))</f>
        <v>601.17090553269054</v>
      </c>
      <c r="CE169" s="59">
        <f t="shared" si="148"/>
        <v>279.37477930888042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70.826185891094724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70.826185891094724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69.438277408428718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-2.8421709430404007E-14</v>
      </c>
      <c r="CU169" s="17">
        <f>CT169*VLOOKUP('Données projet'!$B$13,Paramètres!$A$1:$I$89,3,0)*VLOOKUP('Données projet'!$B$13,Paramètres!$A$1:$I$89,5,0)</f>
        <v>-2.7046098693972454E-14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418.79317359649315</v>
      </c>
      <c r="CZ169" s="59">
        <f t="shared" si="150"/>
        <v>286.46514989661011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66.673354502041065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66.673354502041065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69.438277408428718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69.438277408428718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69.438277408428718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69.438277408428718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69.438277408428718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1.35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1.4849639999999955</v>
      </c>
      <c r="D170" s="11">
        <f t="shared" si="140"/>
        <v>0.65355216302473906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5.0655784406545408</v>
      </c>
      <c r="H170" s="67">
        <f t="shared" si="110"/>
        <v>227.72124898393474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69.448022039568897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8.5459999999999976</v>
      </c>
      <c r="N170" s="13">
        <f>IF('Données projet'!$A$36&gt;35,N169+M170-V169,IF(A170&lt;'Données projet'!$A$36,$K$205^A170,IF(A170='Données projet'!$A$36,'Données projet'!$B$36,N169+M170-V169)))</f>
        <v>485.82800000000037</v>
      </c>
      <c r="O170" s="13">
        <f>N170*VLOOKUP('Données projet'!$B$9,Paramètres!$A$1:$I$89,3,0)*VLOOKUP('Données projet'!$B$9,Paramètres!$A$1:$I$89,5,0)</f>
        <v>492.6295920000004</v>
      </c>
      <c r="P170" s="13">
        <f t="shared" si="141"/>
        <v>110.3222664206035</v>
      </c>
      <c r="Q170" s="20">
        <f t="shared" si="162"/>
        <v>1050.1411534158851</v>
      </c>
      <c r="R170" s="59">
        <f t="shared" si="109"/>
        <v>1341.4505675609712</v>
      </c>
      <c r="S170" s="59">
        <f ca="1">AVERAGE(OFFSET($R$3,0,0,'Données projet'!$E$9+1,1))-AVERAGE(OFFSET($H$3,0,0,'Données projet'!$E$9+1,1))</f>
        <v>665.7907881991157</v>
      </c>
      <c r="T170" s="59">
        <f t="shared" si="142"/>
        <v>306.76923535735227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77.817694707863453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77.817694707863453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69.448022039568897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-4.5474735088646412E-13</v>
      </c>
      <c r="AJ170" s="13">
        <f>AI170*VLOOKUP('Données projet'!$B$10,Paramètres!$A$1:$I$89,3,0)*VLOOKUP('Données projet'!$B$10,Paramètres!$A$1:$I$89,5,0)</f>
        <v>-2.1282176021486519E-13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370.42479501931444</v>
      </c>
      <c r="AO170" s="59">
        <f t="shared" si="144"/>
        <v>351.95632347830144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60.467449967452112</v>
      </c>
      <c r="AV170" s="21">
        <f>EXP(-LN(2)/25)*AV169+(1-EXP(-LN(2)/25))/(LN(2)/25)*Calculateur!AQ170*Calculateur!AS170*VLOOKUP('Données projet'!$B$10,Paramètres!$A$1:$I$89,3,0)*0.475*44/12</f>
        <v>15.102943162724445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75.570393130176555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69.448022039568897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7.1054273576010019E-14</v>
      </c>
      <c r="BE170" s="13">
        <f>BD170*VLOOKUP('Données projet'!$B$11,Paramètres!$A$1:$I$89,3,0)*VLOOKUP('Données projet'!$B$11,Paramètres!$A$1:$I$89,5,0)</f>
        <v>6.2073013396002357E-14</v>
      </c>
      <c r="BF170" s="13">
        <f t="shared" si="167"/>
        <v>9.8573687844725482E-13</v>
      </c>
      <c r="BG170" s="20">
        <f t="shared" si="168"/>
        <v>1.8249355616270061E-12</v>
      </c>
      <c r="BH170" s="59">
        <f t="shared" si="116"/>
        <v>291.30941414508777</v>
      </c>
      <c r="BI170" s="59">
        <f ca="1">AVERAGE(OFFSET($BH$3,0,0,'Données projet'!$E$11+1,1))-AVERAGE(OFFSET($H$3,0,0,'Données projet'!$E$11+1,1))</f>
        <v>128.92423054779167</v>
      </c>
      <c r="BJ170" s="59">
        <f t="shared" si="146"/>
        <v>127.5443711972687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5.0563004092332076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5.0563004092332076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69.448022039568897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8.5459999999999976</v>
      </c>
      <c r="BY170" s="12">
        <f>IF('Données projet'!$A$114&gt;35,BY169+BX170-CG169,IF(A170&lt;'Données projet'!$A$114,$BV$205^A170,IF(A170='Données projet'!$A$114,'Données projet'!$B$114,BY169+BX170-CG169)))</f>
        <v>485.82800000000037</v>
      </c>
      <c r="BZ170" s="13">
        <f>BY170*VLOOKUP('Données projet'!$B$12,Paramètres!$A$1:$I$89,3,0)*VLOOKUP('Données projet'!$B$12,Paramètres!$A$1:$I$89,5,0)</f>
        <v>439.57717440000033</v>
      </c>
      <c r="CA170" s="13">
        <f t="shared" si="170"/>
        <v>99.755743172047673</v>
      </c>
      <c r="CB170" s="20">
        <f t="shared" si="171"/>
        <v>939.33816477131688</v>
      </c>
      <c r="CC170" s="59">
        <f t="shared" si="119"/>
        <v>1230.6475789164028</v>
      </c>
      <c r="CD170" s="59">
        <f ca="1">AVERAGE(OFFSET($CC$3,0,0,'Données projet'!$E$12+1,1))-AVERAGE(OFFSET($H$3,0,0,'Données projet'!$E$12+1,1))</f>
        <v>601.17090553269054</v>
      </c>
      <c r="CE170" s="59">
        <f t="shared" si="148"/>
        <v>279.37477930888042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69.43732758547813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69.43732758547813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69.448022039568897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-2.8421709430404007E-14</v>
      </c>
      <c r="CU170" s="17">
        <f>CT170*VLOOKUP('Données projet'!$B$13,Paramètres!$A$1:$I$89,3,0)*VLOOKUP('Données projet'!$B$13,Paramètres!$A$1:$I$89,5,0)</f>
        <v>-2.7046098693972454E-14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418.79317359649315</v>
      </c>
      <c r="CZ170" s="59">
        <f t="shared" si="150"/>
        <v>286.46514989661011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65.365930686986786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65.365930686986786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69.448022039568897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69.448022039568897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69.448022039568897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69.448022039568897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69.448022039568897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1.35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1.4938559999999954</v>
      </c>
      <c r="D171" s="11">
        <f t="shared" si="140"/>
        <v>0.65700891682857798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5.0665316777902758</v>
      </c>
      <c r="H171" s="67">
        <f t="shared" si="110"/>
        <v>227.74275639680977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69.457597623144522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8.5459999999999976</v>
      </c>
      <c r="N171" s="13">
        <f>IF('Données projet'!$A$36&gt;35,N170+M171-V170,IF(A171&lt;'Données projet'!$A$36,$K$205^A171,IF(A171='Données projet'!$A$36,'Données projet'!$B$36,N170+M171-V170)))</f>
        <v>494.37400000000036</v>
      </c>
      <c r="O171" s="13">
        <f>N171*VLOOKUP('Données projet'!$B$9,Paramètres!$A$1:$I$89,3,0)*VLOOKUP('Données projet'!$B$9,Paramètres!$A$1:$I$89,5,0)</f>
        <v>501.29523600000039</v>
      </c>
      <c r="P171" s="13">
        <f t="shared" si="141"/>
        <v>112.03526605421492</v>
      </c>
      <c r="Q171" s="20">
        <f t="shared" si="162"/>
        <v>1068.2172910777583</v>
      </c>
      <c r="R171" s="59">
        <f t="shared" si="109"/>
        <v>1359.5618156959549</v>
      </c>
      <c r="S171" s="59">
        <f ca="1">AVERAGE(OFFSET($R$3,0,0,'Données projet'!$E$9+1,1))-AVERAGE(OFFSET($H$3,0,0,'Données projet'!$E$9+1,1))</f>
        <v>665.7907881991157</v>
      </c>
      <c r="T171" s="59">
        <f t="shared" si="142"/>
        <v>306.76923535735227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76.291737178749329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76.291737178749329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69.457597623144522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-4.5474735088646412E-13</v>
      </c>
      <c r="AJ171" s="13">
        <f>AI171*VLOOKUP('Données projet'!$B$10,Paramètres!$A$1:$I$89,3,0)*VLOOKUP('Données projet'!$B$10,Paramètres!$A$1:$I$89,5,0)</f>
        <v>-2.1282176021486519E-13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370.42479501931444</v>
      </c>
      <c r="AO171" s="59">
        <f t="shared" si="144"/>
        <v>351.95632347830144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59.281720155093112</v>
      </c>
      <c r="AV171" s="21">
        <f>EXP(-LN(2)/25)*AV170+(1-EXP(-LN(2)/25))/(LN(2)/25)*Calculateur!AQ171*Calculateur!AS171*VLOOKUP('Données projet'!$B$10,Paramètres!$A$1:$I$89,3,0)*0.475*44/12</f>
        <v>14.689952387710482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73.971672542803589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69.457597623144522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7.1054273576010019E-14</v>
      </c>
      <c r="BE171" s="13">
        <f>BD171*VLOOKUP('Données projet'!$B$11,Paramètres!$A$1:$I$89,3,0)*VLOOKUP('Données projet'!$B$11,Paramètres!$A$1:$I$89,5,0)</f>
        <v>6.2073013396002357E-14</v>
      </c>
      <c r="BF171" s="13">
        <f t="shared" si="167"/>
        <v>9.8573687844725482E-13</v>
      </c>
      <c r="BG171" s="20">
        <f t="shared" si="168"/>
        <v>1.8249355616270061E-12</v>
      </c>
      <c r="BH171" s="59">
        <f t="shared" si="116"/>
        <v>291.34452461819842</v>
      </c>
      <c r="BI171" s="59">
        <f ca="1">AVERAGE(OFFSET($BH$3,0,0,'Données projet'!$E$11+1,1))-AVERAGE(OFFSET($H$3,0,0,'Données projet'!$E$11+1,1))</f>
        <v>128.92423054779167</v>
      </c>
      <c r="BJ171" s="59">
        <f t="shared" si="146"/>
        <v>127.5443711972687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4.9571494422468705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4.9571494422468705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69.457597623144522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8.5459999999999976</v>
      </c>
      <c r="BY171" s="12">
        <f>IF('Données projet'!$A$114&gt;35,BY170+BX171-CG170,IF(A171&lt;'Données projet'!$A$114,$BV$205^A171,IF(A171='Données projet'!$A$114,'Données projet'!$B$114,BY170+BX171-CG170)))</f>
        <v>494.37400000000036</v>
      </c>
      <c r="BZ171" s="13">
        <f>BY171*VLOOKUP('Données projet'!$B$12,Paramètres!$A$1:$I$89,3,0)*VLOOKUP('Données projet'!$B$12,Paramètres!$A$1:$I$89,5,0)</f>
        <v>447.30959520000027</v>
      </c>
      <c r="CA171" s="13">
        <f t="shared" si="170"/>
        <v>101.30467392781068</v>
      </c>
      <c r="CB171" s="20">
        <f t="shared" si="171"/>
        <v>955.50318539760417</v>
      </c>
      <c r="CC171" s="59">
        <f t="shared" si="119"/>
        <v>1246.8477100158007</v>
      </c>
      <c r="CD171" s="59">
        <f ca="1">AVERAGE(OFFSET($CC$3,0,0,'Données projet'!$E$12+1,1))-AVERAGE(OFFSET($H$3,0,0,'Données projet'!$E$12+1,1))</f>
        <v>601.17090553269054</v>
      </c>
      <c r="CE171" s="59">
        <f t="shared" si="148"/>
        <v>279.37477930888042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68.075703944114764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68.075703944114764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69.457597623144522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-2.8421709430404007E-14</v>
      </c>
      <c r="CU171" s="17">
        <f>CT171*VLOOKUP('Données projet'!$B$13,Paramètres!$A$1:$I$89,3,0)*VLOOKUP('Données projet'!$B$13,Paramètres!$A$1:$I$89,5,0)</f>
        <v>-2.7046098693972454E-14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418.79317359649315</v>
      </c>
      <c r="CZ171" s="59">
        <f t="shared" si="150"/>
        <v>286.46514989661011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64.084144655495933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64.084144655495933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69.457597623144522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69.457597623144522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69.457597623144522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69.457597623144522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69.457597623144522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1.35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1.5027479999999953</v>
      </c>
      <c r="D172" s="11">
        <f t="shared" si="140"/>
        <v>0.66046327641041447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5.0674847301088741</v>
      </c>
      <c r="H172" s="67">
        <f t="shared" si="110"/>
        <v>227.76425963974813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69.467007091752919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8.5459999999999976</v>
      </c>
      <c r="N172" s="13">
        <f>IF('Données projet'!$A$36&gt;35,N171+M172-V171,IF(A172&lt;'Données projet'!$A$36,$K$205^A172,IF(A172='Données projet'!$A$36,'Données projet'!$B$36,N171+M172-V171)))</f>
        <v>502.92000000000036</v>
      </c>
      <c r="O172" s="13">
        <f>N172*VLOOKUP('Données projet'!$B$9,Paramètres!$A$1:$I$89,3,0)*VLOOKUP('Données projet'!$B$9,Paramètres!$A$1:$I$89,5,0)</f>
        <v>509.96088000000043</v>
      </c>
      <c r="P172" s="13">
        <f t="shared" si="141"/>
        <v>113.74482216057152</v>
      </c>
      <c r="Q172" s="20">
        <f t="shared" si="162"/>
        <v>1086.2874312629961</v>
      </c>
      <c r="R172" s="59">
        <f t="shared" si="109"/>
        <v>1377.66645726609</v>
      </c>
      <c r="S172" s="59">
        <f ca="1">AVERAGE(OFFSET($R$3,0,0,'Données projet'!$E$9+1,1))-AVERAGE(OFFSET($H$3,0,0,'Données projet'!$E$9+1,1))</f>
        <v>665.7907881991157</v>
      </c>
      <c r="T172" s="59">
        <f t="shared" si="142"/>
        <v>306.76923535735227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74.795702746038941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74.795702746038941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69.467007091752919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-4.5474735088646412E-13</v>
      </c>
      <c r="AJ172" s="13">
        <f>AI172*VLOOKUP('Données projet'!$B$10,Paramètres!$A$1:$I$89,3,0)*VLOOKUP('Données projet'!$B$10,Paramètres!$A$1:$I$89,5,0)</f>
        <v>-2.1282176021486519E-13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370.42479501931444</v>
      </c>
      <c r="AO172" s="59">
        <f t="shared" si="144"/>
        <v>351.95632347830144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58.119241781130697</v>
      </c>
      <c r="AV172" s="21">
        <f>EXP(-LN(2)/25)*AV171+(1-EXP(-LN(2)/25))/(LN(2)/25)*Calculateur!AQ172*Calculateur!AS172*VLOOKUP('Données projet'!$B$10,Paramètres!$A$1:$I$89,3,0)*0.475*44/12</f>
        <v>14.288254867157518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72.407496648288216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69.467007091752919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7.1054273576010019E-14</v>
      </c>
      <c r="BE172" s="13">
        <f>BD172*VLOOKUP('Données projet'!$B$11,Paramètres!$A$1:$I$89,3,0)*VLOOKUP('Données projet'!$B$11,Paramètres!$A$1:$I$89,5,0)</f>
        <v>6.2073013396002357E-14</v>
      </c>
      <c r="BF172" s="13">
        <f t="shared" si="167"/>
        <v>9.8573687844725482E-13</v>
      </c>
      <c r="BG172" s="20">
        <f t="shared" si="168"/>
        <v>1.8249355616270061E-12</v>
      </c>
      <c r="BH172" s="59">
        <f t="shared" si="116"/>
        <v>291.37902600309582</v>
      </c>
      <c r="BI172" s="59">
        <f ca="1">AVERAGE(OFFSET($BH$3,0,0,'Données projet'!$E$11+1,1))-AVERAGE(OFFSET($H$3,0,0,'Données projet'!$E$11+1,1))</f>
        <v>128.92423054779167</v>
      </c>
      <c r="BJ172" s="59">
        <f t="shared" si="146"/>
        <v>127.5443711972687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4.8599427652470171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4.8599427652470171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69.467007091752919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8.5459999999999976</v>
      </c>
      <c r="BY172" s="12">
        <f>IF('Données projet'!$A$114&gt;35,BY171+BX172-CG171,IF(A172&lt;'Données projet'!$A$114,$BV$205^A172,IF(A172='Données projet'!$A$114,'Données projet'!$B$114,BY171+BX172-CG171)))</f>
        <v>502.92000000000036</v>
      </c>
      <c r="BZ172" s="13">
        <f>BY172*VLOOKUP('Données projet'!$B$12,Paramètres!$A$1:$I$89,3,0)*VLOOKUP('Données projet'!$B$12,Paramètres!$A$1:$I$89,5,0)</f>
        <v>455.04201600000027</v>
      </c>
      <c r="CA172" s="13">
        <f t="shared" si="170"/>
        <v>102.85049097288233</v>
      </c>
      <c r="CB172" s="20">
        <f t="shared" si="171"/>
        <v>971.66278297777069</v>
      </c>
      <c r="CC172" s="59">
        <f t="shared" si="119"/>
        <v>1263.0418089808647</v>
      </c>
      <c r="CD172" s="59">
        <f ca="1">AVERAGE(OFFSET($CC$3,0,0,'Données projet'!$E$12+1,1))-AVERAGE(OFFSET($H$3,0,0,'Données projet'!$E$12+1,1))</f>
        <v>601.17090553269054</v>
      </c>
      <c r="CE172" s="59">
        <f t="shared" si="148"/>
        <v>279.37477930888042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66.740780911850109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66.740780911850109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69.467007091752919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-2.8421709430404007E-14</v>
      </c>
      <c r="CU172" s="17">
        <f>CT172*VLOOKUP('Données projet'!$B$13,Paramètres!$A$1:$I$89,3,0)*VLOOKUP('Données projet'!$B$13,Paramètres!$A$1:$I$89,5,0)</f>
        <v>-2.7046098693972454E-14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418.79317359649315</v>
      </c>
      <c r="CZ172" s="59">
        <f t="shared" si="150"/>
        <v>286.46514989661011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62.827493666270328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62.827493666270328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69.467007091752919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69.467007091752919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69.467007091752919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69.467007091752919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69.467007091752919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1.35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1.5116399999999952</v>
      </c>
      <c r="D173" s="11">
        <f t="shared" si="140"/>
        <v>0.6639152575810201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5.0684375988308155</v>
      </c>
      <c r="H173" s="67">
        <f t="shared" si="110"/>
        <v>227.78575874028695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69.476253327117377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8.5459999999999976</v>
      </c>
      <c r="N173" s="13">
        <f>IF('Données projet'!$A$36&gt;35,N172+M173-V172,IF(A173&lt;'Données projet'!$A$36,$K$205^A173,IF(A173='Données projet'!$A$36,'Données projet'!$B$36,N172+M173-V172)))</f>
        <v>511.46600000000035</v>
      </c>
      <c r="O173" s="13">
        <f>N173*VLOOKUP('Données projet'!$B$9,Paramètres!$A$1:$I$89,3,0)*VLOOKUP('Données projet'!$B$9,Paramètres!$A$1:$I$89,5,0)</f>
        <v>518.62652400000036</v>
      </c>
      <c r="P173" s="13">
        <f t="shared" si="141"/>
        <v>115.45100000763091</v>
      </c>
      <c r="Q173" s="20">
        <f t="shared" si="162"/>
        <v>1104.3516876466244</v>
      </c>
      <c r="R173" s="59">
        <f t="shared" si="109"/>
        <v>1395.7646165127214</v>
      </c>
      <c r="S173" s="59">
        <f ca="1">AVERAGE(OFFSET($R$3,0,0,'Données projet'!$E$9+1,1))-AVERAGE(OFFSET($H$3,0,0,'Données projet'!$E$9+1,1))</f>
        <v>665.7907881991157</v>
      </c>
      <c r="T173" s="59">
        <f t="shared" si="142"/>
        <v>306.76923535735227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73.329004636063104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73.329004636063104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69.476253327117377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-4.5474735088646412E-13</v>
      </c>
      <c r="AJ173" s="13">
        <f>AI173*VLOOKUP('Données projet'!$B$10,Paramètres!$A$1:$I$89,3,0)*VLOOKUP('Données projet'!$B$10,Paramètres!$A$1:$I$89,5,0)</f>
        <v>-2.1282176021486519E-13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370.42479501931444</v>
      </c>
      <c r="AO173" s="59">
        <f t="shared" si="144"/>
        <v>351.95632347830144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56.979558899039887</v>
      </c>
      <c r="AV173" s="21">
        <f>EXP(-LN(2)/25)*AV172+(1-EXP(-LN(2)/25))/(LN(2)/25)*Calculateur!AQ173*Calculateur!AS173*VLOOKUP('Données projet'!$B$10,Paramètres!$A$1:$I$89,3,0)*0.475*44/12</f>
        <v>13.897541786428429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70.877100685468321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69.476253327117377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7.1054273576010019E-14</v>
      </c>
      <c r="BE173" s="13">
        <f>BD173*VLOOKUP('Données projet'!$B$11,Paramètres!$A$1:$I$89,3,0)*VLOOKUP('Données projet'!$B$11,Paramètres!$A$1:$I$89,5,0)</f>
        <v>6.2073013396002357E-14</v>
      </c>
      <c r="BF173" s="13">
        <f t="shared" si="167"/>
        <v>9.8573687844725482E-13</v>
      </c>
      <c r="BG173" s="20">
        <f t="shared" si="168"/>
        <v>1.8249355616270061E-12</v>
      </c>
      <c r="BH173" s="59">
        <f t="shared" si="116"/>
        <v>291.41292886609887</v>
      </c>
      <c r="BI173" s="59">
        <f ca="1">AVERAGE(OFFSET($BH$3,0,0,'Données projet'!$E$11+1,1))-AVERAGE(OFFSET($H$3,0,0,'Données projet'!$E$11+1,1))</f>
        <v>128.92423054779167</v>
      </c>
      <c r="BJ173" s="59">
        <f t="shared" si="146"/>
        <v>127.5443711972687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4.7646422518929121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4.7646422518929121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69.476253327117377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8.5459999999999976</v>
      </c>
      <c r="BY173" s="12">
        <f>IF('Données projet'!$A$114&gt;35,BY172+BX173-CG172,IF(A173&lt;'Données projet'!$A$114,$BV$205^A173,IF(A173='Données projet'!$A$114,'Données projet'!$B$114,BY172+BX173-CG172)))</f>
        <v>511.46600000000035</v>
      </c>
      <c r="BZ173" s="13">
        <f>BY173*VLOOKUP('Données projet'!$B$12,Paramètres!$A$1:$I$89,3,0)*VLOOKUP('Données projet'!$B$12,Paramètres!$A$1:$I$89,5,0)</f>
        <v>462.77443680000027</v>
      </c>
      <c r="CA173" s="13">
        <f t="shared" si="170"/>
        <v>104.39325332394039</v>
      </c>
      <c r="CB173" s="20">
        <f t="shared" si="171"/>
        <v>987.81706029919678</v>
      </c>
      <c r="CC173" s="59">
        <f t="shared" si="119"/>
        <v>1279.2299891652938</v>
      </c>
      <c r="CD173" s="59">
        <f ca="1">AVERAGE(OFFSET($CC$3,0,0,'Données projet'!$E$12+1,1))-AVERAGE(OFFSET($H$3,0,0,'Données projet'!$E$12+1,1))</f>
        <v>601.17090553269054</v>
      </c>
      <c r="CE173" s="59">
        <f t="shared" si="148"/>
        <v>279.37477930888042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65.432034906025521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65.432034906025521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69.476253327117377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-2.8421709430404007E-14</v>
      </c>
      <c r="CU173" s="17">
        <f>CT173*VLOOKUP('Données projet'!$B$13,Paramètres!$A$1:$I$89,3,0)*VLOOKUP('Données projet'!$B$13,Paramètres!$A$1:$I$89,5,0)</f>
        <v>-2.7046098693972454E-14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418.79317359649315</v>
      </c>
      <c r="CZ173" s="59">
        <f t="shared" si="150"/>
        <v>286.46514989661011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61.59548483646202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61.59548483646202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69.476253327117377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69.476253327117377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69.476253327117377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69.476253327117377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69.476253327117377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1.35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1.5205319999999951</v>
      </c>
      <c r="D174" s="11">
        <f t="shared" si="140"/>
        <v>0.66736487595439575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5.0693902851613917</v>
      </c>
      <c r="H174" s="67">
        <f t="shared" si="110"/>
        <v>227.80725372562057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69.485339160969744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8.5459999999999976</v>
      </c>
      <c r="N174" s="13">
        <f>IF('Données projet'!$A$36&gt;35,N173+M174-V173,IF(A174&lt;'Données projet'!$A$36,$K$205^A174,IF(A174='Données projet'!$A$36,'Données projet'!$B$36,N173+M174-V173)))</f>
        <v>520.0120000000004</v>
      </c>
      <c r="O174" s="13">
        <f>N174*VLOOKUP('Données projet'!$B$9,Paramètres!$A$1:$I$89,3,0)*VLOOKUP('Données projet'!$B$9,Paramètres!$A$1:$I$89,5,0)</f>
        <v>527.2921680000004</v>
      </c>
      <c r="P174" s="13">
        <f t="shared" si="141"/>
        <v>117.15386255722979</v>
      </c>
      <c r="Q174" s="20">
        <f t="shared" si="162"/>
        <v>1122.4101698871759</v>
      </c>
      <c r="R174" s="59">
        <f t="shared" si="109"/>
        <v>1413.8564134773983</v>
      </c>
      <c r="S174" s="59">
        <f ca="1">AVERAGE(OFFSET($R$3,0,0,'Données projet'!$E$9+1,1))-AVERAGE(OFFSET($H$3,0,0,'Données projet'!$E$9+1,1))</f>
        <v>665.7907881991157</v>
      </c>
      <c r="T174" s="59">
        <f t="shared" si="142"/>
        <v>306.76923535735227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71.891067581426384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71.891067581426384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69.485339160969744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-4.5474735088646412E-13</v>
      </c>
      <c r="AJ174" s="13">
        <f>AI174*VLOOKUP('Données projet'!$B$10,Paramètres!$A$1:$I$89,3,0)*VLOOKUP('Données projet'!$B$10,Paramètres!$A$1:$I$89,5,0)</f>
        <v>-2.1282176021486519E-13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370.42479501931444</v>
      </c>
      <c r="AO174" s="59">
        <f t="shared" si="144"/>
        <v>351.95632347830144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55.862224503128964</v>
      </c>
      <c r="AV174" s="21">
        <f>EXP(-LN(2)/25)*AV173+(1-EXP(-LN(2)/25))/(LN(2)/25)*Calculateur!AQ174*Calculateur!AS174*VLOOKUP('Données projet'!$B$10,Paramètres!$A$1:$I$89,3,0)*0.475*44/12</f>
        <v>13.517512775438584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69.379737278567546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69.485339160969744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7.1054273576010019E-14</v>
      </c>
      <c r="BE174" s="13">
        <f>BD174*VLOOKUP('Données projet'!$B$11,Paramètres!$A$1:$I$89,3,0)*VLOOKUP('Données projet'!$B$11,Paramètres!$A$1:$I$89,5,0)</f>
        <v>6.2073013396002357E-14</v>
      </c>
      <c r="BF174" s="13">
        <f t="shared" si="167"/>
        <v>9.8573687844725482E-13</v>
      </c>
      <c r="BG174" s="20">
        <f t="shared" si="168"/>
        <v>1.8249355616270061E-12</v>
      </c>
      <c r="BH174" s="59">
        <f t="shared" si="116"/>
        <v>291.44624359022424</v>
      </c>
      <c r="BI174" s="59">
        <f ca="1">AVERAGE(OFFSET($BH$3,0,0,'Données projet'!$E$11+1,1))-AVERAGE(OFFSET($H$3,0,0,'Données projet'!$E$11+1,1))</f>
        <v>128.92423054779167</v>
      </c>
      <c r="BJ174" s="59">
        <f t="shared" si="146"/>
        <v>127.5443711972687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4.6712105234781074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4.6712105234781074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69.485339160969744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8.5459999999999976</v>
      </c>
      <c r="BY174" s="12">
        <f>IF('Données projet'!$A$114&gt;35,BY173+BX174-CG173,IF(A174&lt;'Données projet'!$A$114,$BV$205^A174,IF(A174='Données projet'!$A$114,'Données projet'!$B$114,BY173+BX174-CG173)))</f>
        <v>520.0120000000004</v>
      </c>
      <c r="BZ174" s="13">
        <f>BY174*VLOOKUP('Données projet'!$B$12,Paramètres!$A$1:$I$89,3,0)*VLOOKUP('Données projet'!$B$12,Paramètres!$A$1:$I$89,5,0)</f>
        <v>470.50685760000033</v>
      </c>
      <c r="CA174" s="13">
        <f t="shared" si="170"/>
        <v>105.93301791241842</v>
      </c>
      <c r="CB174" s="20">
        <f t="shared" si="171"/>
        <v>1003.9661165174626</v>
      </c>
      <c r="CC174" s="59">
        <f t="shared" si="119"/>
        <v>1295.4123601076851</v>
      </c>
      <c r="CD174" s="59">
        <f ca="1">AVERAGE(OFFSET($CC$3,0,0,'Données projet'!$E$12+1,1))-AVERAGE(OFFSET($H$3,0,0,'Données projet'!$E$12+1,1))</f>
        <v>601.17090553269054</v>
      </c>
      <c r="CE174" s="59">
        <f t="shared" si="148"/>
        <v>279.37477930888042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64.148952611118901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64.148952611118901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69.485339160969744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-2.8421709430404007E-14</v>
      </c>
      <c r="CU174" s="17">
        <f>CT174*VLOOKUP('Données projet'!$B$13,Paramètres!$A$1:$I$89,3,0)*VLOOKUP('Données projet'!$B$13,Paramètres!$A$1:$I$89,5,0)</f>
        <v>-2.7046098693972454E-14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418.79317359649315</v>
      </c>
      <c r="CZ174" s="59">
        <f t="shared" si="150"/>
        <v>286.46514989661011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60.387634948355064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60.387634948355064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69.485339160969744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69.485339160969744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69.485339160969744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69.485339160969744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69.485339160969744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1.35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1.529423999999995</v>
      </c>
      <c r="D175" s="11">
        <f t="shared" si="140"/>
        <v>0.67081214695135671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5.0703427902909812</v>
      </c>
      <c r="H175" s="67">
        <f t="shared" si="110"/>
        <v>227.82874462260693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69.494267375917659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8.5459999999999976</v>
      </c>
      <c r="N175" s="13">
        <f>IF('Données projet'!$A$36&gt;35,N174+M175-V174,IF(A175&lt;'Données projet'!$A$36,$K$205^A175,IF(A175='Données projet'!$A$36,'Données projet'!$B$36,N174+M175-V174)))</f>
        <v>528.55800000000045</v>
      </c>
      <c r="O175" s="13">
        <f>N175*VLOOKUP('Données projet'!$B$9,Paramètres!$A$1:$I$89,3,0)*VLOOKUP('Données projet'!$B$9,Paramètres!$A$1:$I$89,5,0)</f>
        <v>535.95781200000044</v>
      </c>
      <c r="P175" s="13">
        <f t="shared" si="141"/>
        <v>118.85347058310219</v>
      </c>
      <c r="Q175" s="20">
        <f t="shared" si="162"/>
        <v>1140.4629838322371</v>
      </c>
      <c r="R175" s="59">
        <f t="shared" si="109"/>
        <v>1431.9419642106018</v>
      </c>
      <c r="S175" s="59">
        <f ca="1">AVERAGE(OFFSET($R$3,0,0,'Données projet'!$E$9+1,1))-AVERAGE(OFFSET($H$3,0,0,'Données projet'!$E$9+1,1))</f>
        <v>665.7907881991157</v>
      </c>
      <c r="T175" s="59">
        <f t="shared" si="142"/>
        <v>306.76923535735227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70.481327595376086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70.481327595376086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69.494267375917659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-4.5474735088646412E-13</v>
      </c>
      <c r="AJ175" s="13">
        <f>AI175*VLOOKUP('Données projet'!$B$10,Paramètres!$A$1:$I$89,3,0)*VLOOKUP('Données projet'!$B$10,Paramètres!$A$1:$I$89,5,0)</f>
        <v>-2.1282176021486519E-13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370.42479501931444</v>
      </c>
      <c r="AO175" s="59">
        <f t="shared" si="144"/>
        <v>351.95632347830144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54.76680035321516</v>
      </c>
      <c r="AV175" s="21">
        <f>EXP(-LN(2)/25)*AV174+(1-EXP(-LN(2)/25))/(LN(2)/25)*Calculateur!AQ175*Calculateur!AS175*VLOOKUP('Données projet'!$B$10,Paramètres!$A$1:$I$89,3,0)*0.475*44/12</f>
        <v>13.147875677739114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67.914676030954269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69.494267375917659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7.1054273576010019E-14</v>
      </c>
      <c r="BE175" s="13">
        <f>BD175*VLOOKUP('Données projet'!$B$11,Paramètres!$A$1:$I$89,3,0)*VLOOKUP('Données projet'!$B$11,Paramètres!$A$1:$I$89,5,0)</f>
        <v>6.2073013396002357E-14</v>
      </c>
      <c r="BF175" s="13">
        <f t="shared" si="167"/>
        <v>9.8573687844725482E-13</v>
      </c>
      <c r="BG175" s="20">
        <f t="shared" si="168"/>
        <v>1.8249355616270061E-12</v>
      </c>
      <c r="BH175" s="59">
        <f t="shared" si="116"/>
        <v>291.47898037836654</v>
      </c>
      <c r="BI175" s="59">
        <f ca="1">AVERAGE(OFFSET($BH$3,0,0,'Données projet'!$E$11+1,1))-AVERAGE(OFFSET($H$3,0,0,'Données projet'!$E$11+1,1))</f>
        <v>128.92423054779167</v>
      </c>
      <c r="BJ175" s="59">
        <f t="shared" si="146"/>
        <v>127.5443711972687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4.5796109342697902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4.5796109342697902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69.494267375917659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8.5459999999999976</v>
      </c>
      <c r="BY175" s="12">
        <f>IF('Données projet'!$A$114&gt;35,BY174+BX175-CG174,IF(A175&lt;'Données projet'!$A$114,$BV$205^A175,IF(A175='Données projet'!$A$114,'Données projet'!$B$114,BY174+BX175-CG174)))</f>
        <v>528.55800000000045</v>
      </c>
      <c r="BZ175" s="13">
        <f>BY175*VLOOKUP('Données projet'!$B$12,Paramètres!$A$1:$I$89,3,0)*VLOOKUP('Données projet'!$B$12,Paramètres!$A$1:$I$89,5,0)</f>
        <v>478.23927840000039</v>
      </c>
      <c r="CA175" s="13">
        <f t="shared" si="170"/>
        <v>107.46983969122122</v>
      </c>
      <c r="CB175" s="20">
        <f t="shared" si="171"/>
        <v>1020.110047342211</v>
      </c>
      <c r="CC175" s="59">
        <f t="shared" si="119"/>
        <v>1311.5890277205758</v>
      </c>
      <c r="CD175" s="59">
        <f ca="1">AVERAGE(OFFSET($CC$3,0,0,'Données projet'!$E$12+1,1))-AVERAGE(OFFSET($H$3,0,0,'Données projet'!$E$12+1,1))</f>
        <v>601.17090553269054</v>
      </c>
      <c r="CE175" s="59">
        <f t="shared" si="148"/>
        <v>279.37477930888042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62.891030777412482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62.891030777412482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69.494267375917659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-2.8421709430404007E-14</v>
      </c>
      <c r="CU175" s="17">
        <f>CT175*VLOOKUP('Données projet'!$B$13,Paramètres!$A$1:$I$89,3,0)*VLOOKUP('Données projet'!$B$13,Paramètres!$A$1:$I$89,5,0)</f>
        <v>-2.7046098693972454E-14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418.79317359649315</v>
      </c>
      <c r="CZ175" s="59">
        <f t="shared" si="150"/>
        <v>286.46514989661011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59.203470259838198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59.203470259838198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69.494267375917659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69.494267375917659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69.494267375917659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69.494267375917659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69.494267375917659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1.35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1.5383159999999949</v>
      </c>
      <c r="D176" s="11">
        <f t="shared" si="140"/>
        <v>0.67425708580303145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5.071295115395321</v>
      </c>
      <c r="H176" s="67">
        <f t="shared" si="110"/>
        <v>227.85023145777362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69.50304070629673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8.5459999999999976</v>
      </c>
      <c r="N176" s="13">
        <f>IF('Données projet'!$A$36&gt;35,N175+M176-V175,IF(A176&lt;'Données projet'!$A$36,$K$205^A176,IF(A176='Données projet'!$A$36,'Données projet'!$B$36,N175+M176-V175)))</f>
        <v>537.1040000000005</v>
      </c>
      <c r="O176" s="13">
        <f>N176*VLOOKUP('Données projet'!$B$9,Paramètres!$A$1:$I$89,3,0)*VLOOKUP('Données projet'!$B$9,Paramètres!$A$1:$I$89,5,0)</f>
        <v>544.62345600000049</v>
      </c>
      <c r="P176" s="13">
        <f t="shared" si="141"/>
        <v>120.54988278104692</v>
      </c>
      <c r="Q176" s="20">
        <f t="shared" si="162"/>
        <v>1158.510231710324</v>
      </c>
      <c r="R176" s="59">
        <f t="shared" si="109"/>
        <v>1450.0213809667453</v>
      </c>
      <c r="S176" s="59">
        <f ca="1">AVERAGE(OFFSET($R$3,0,0,'Données projet'!$E$9+1,1))-AVERAGE(OFFSET($H$3,0,0,'Données projet'!$E$9+1,1))</f>
        <v>665.7907881991157</v>
      </c>
      <c r="T176" s="59">
        <f t="shared" si="142"/>
        <v>306.76923535735227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69.099231750595749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69.099231750595749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69.50304070629673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-4.5474735088646412E-13</v>
      </c>
      <c r="AJ176" s="13">
        <f>AI176*VLOOKUP('Données projet'!$B$10,Paramètres!$A$1:$I$89,3,0)*VLOOKUP('Données projet'!$B$10,Paramètres!$A$1:$I$89,5,0)</f>
        <v>-2.1282176021486519E-13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370.42479501931444</v>
      </c>
      <c r="AO176" s="59">
        <f t="shared" si="144"/>
        <v>351.95632347830144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53.692856802738412</v>
      </c>
      <c r="AV176" s="21">
        <f>EXP(-LN(2)/25)*AV175+(1-EXP(-LN(2)/25))/(LN(2)/25)*Calculateur!AQ176*Calculateur!AS176*VLOOKUP('Données projet'!$B$10,Paramètres!$A$1:$I$89,3,0)*0.475*44/12</f>
        <v>12.788346325914606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66.481203128653021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69.50304070629673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7.1054273576010019E-14</v>
      </c>
      <c r="BE176" s="13">
        <f>BD176*VLOOKUP('Données projet'!$B$11,Paramètres!$A$1:$I$89,3,0)*VLOOKUP('Données projet'!$B$11,Paramètres!$A$1:$I$89,5,0)</f>
        <v>6.2073013396002357E-14</v>
      </c>
      <c r="BF176" s="13">
        <f t="shared" si="167"/>
        <v>9.8573687844725482E-13</v>
      </c>
      <c r="BG176" s="20">
        <f t="shared" si="168"/>
        <v>1.8249355616270061E-12</v>
      </c>
      <c r="BH176" s="59">
        <f t="shared" si="116"/>
        <v>291.51114925642315</v>
      </c>
      <c r="BI176" s="59">
        <f ca="1">AVERAGE(OFFSET($BH$3,0,0,'Données projet'!$E$11+1,1))-AVERAGE(OFFSET($H$3,0,0,'Données projet'!$E$11+1,1))</f>
        <v>128.92423054779167</v>
      </c>
      <c r="BJ176" s="59">
        <f t="shared" si="146"/>
        <v>127.5443711972687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4.4898075571356157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4.4898075571356157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69.50304070629673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8.5459999999999976</v>
      </c>
      <c r="BY176" s="12">
        <f>IF('Données projet'!$A$114&gt;35,BY175+BX176-CG175,IF(A176&lt;'Données projet'!$A$114,$BV$205^A176,IF(A176='Données projet'!$A$114,'Données projet'!$B$114,BY175+BX176-CG175)))</f>
        <v>537.1040000000005</v>
      </c>
      <c r="BZ176" s="13">
        <f>BY176*VLOOKUP('Données projet'!$B$12,Paramètres!$A$1:$I$89,3,0)*VLOOKUP('Données projet'!$B$12,Paramètres!$A$1:$I$89,5,0)</f>
        <v>485.97169920000039</v>
      </c>
      <c r="CA176" s="13">
        <f t="shared" si="170"/>
        <v>109.00377173434057</v>
      </c>
      <c r="CB176" s="20">
        <f t="shared" si="171"/>
        <v>1036.2489452106438</v>
      </c>
      <c r="CC176" s="59">
        <f t="shared" si="119"/>
        <v>1327.7600944670651</v>
      </c>
      <c r="CD176" s="59">
        <f ca="1">AVERAGE(OFFSET($CC$3,0,0,'Données projet'!$E$12+1,1))-AVERAGE(OFFSET($H$3,0,0,'Données projet'!$E$12+1,1))</f>
        <v>601.17090553269054</v>
      </c>
      <c r="CE176" s="59">
        <f t="shared" si="148"/>
        <v>279.37477930888042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61.657776023608484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61.657776023608484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69.50304070629673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-2.8421709430404007E-14</v>
      </c>
      <c r="CU176" s="17">
        <f>CT176*VLOOKUP('Données projet'!$B$13,Paramètres!$A$1:$I$89,3,0)*VLOOKUP('Données projet'!$B$13,Paramètres!$A$1:$I$89,5,0)</f>
        <v>-2.7046098693972454E-14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418.79317359649315</v>
      </c>
      <c r="CZ176" s="59">
        <f t="shared" si="150"/>
        <v>286.46514989661011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58.042526318594007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58.042526318594007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69.50304070629673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69.50304070629673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69.50304070629673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69.50304070629673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69.50304070629673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1.35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1.5472079999999948</v>
      </c>
      <c r="D177" s="11">
        <f t="shared" si="140"/>
        <v>0.67769970755427733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5.0722472616357681</v>
      </c>
      <c r="H177" s="67">
        <f t="shared" si="110"/>
        <v>227.8717142573237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69.511661839007942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545.65</v>
      </c>
      <c r="L177" s="12">
        <f>VLOOKUP(A177,'Données projet'!$A$35:$I$55,9,0)</f>
        <v>8.5459999999999976</v>
      </c>
      <c r="M177" s="12">
        <f t="array" ref="M177">INDEX(L:L,MIN(IF(ISNUMBER(L177:L373),ROW(L177:L373),"")))</f>
        <v>8.5459999999999976</v>
      </c>
      <c r="N177" s="13">
        <f>IF('Données projet'!$A$36&gt;35,N176+M177-V176,IF(A177&lt;'Données projet'!$A$36,$K$205^A177,IF(A177='Données projet'!$A$36,'Données projet'!$B$36,N176+M177-V176)))</f>
        <v>545.65000000000055</v>
      </c>
      <c r="O177" s="13">
        <f>N177*VLOOKUP('Données projet'!$B$9,Paramètres!$A$1:$I$89,3,0)*VLOOKUP('Données projet'!$B$9,Paramètres!$A$1:$I$89,5,0)</f>
        <v>553.28910000000053</v>
      </c>
      <c r="P177" s="13">
        <f t="shared" si="141"/>
        <v>122.24315587188718</v>
      </c>
      <c r="Q177" s="20">
        <f t="shared" si="162"/>
        <v>1176.5520123102044</v>
      </c>
      <c r="R177" s="59">
        <f t="shared" si="109"/>
        <v>1468.094772386567</v>
      </c>
      <c r="S177" s="59">
        <f ca="1">AVERAGE(OFFSET($R$3,0,0,'Données projet'!$E$9+1,1))-AVERAGE(OFFSET($H$3,0,0,'Données projet'!$E$9+1,1))</f>
        <v>665.7907881991157</v>
      </c>
      <c r="T177" s="59">
        <f t="shared" si="142"/>
        <v>306.76923535735227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214.77</v>
      </c>
      <c r="W177" s="16">
        <f>IF(ISNA(VLOOKUP(A177,'Données projet'!$A$35:$I$55,5,0)),0%,VLOOKUP(A177,'Données projet'!$A$35:$I$55,5,0)*VLOOKUP('Données projet'!$B$9,Paramètres!$A$1:$I$89,7,0))</f>
        <v>0.25800000000000001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129.85664910947281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129.85664910947281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69.511661839007942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-4.5474735088646412E-13</v>
      </c>
      <c r="AJ177" s="13">
        <f>AI177*VLOOKUP('Données projet'!$B$10,Paramètres!$A$1:$I$89,3,0)*VLOOKUP('Données projet'!$B$10,Paramètres!$A$1:$I$89,5,0)</f>
        <v>-2.1282176021486519E-13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370.42479501931444</v>
      </c>
      <c r="AO177" s="59">
        <f t="shared" si="144"/>
        <v>351.95632347830144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52.639972630245623</v>
      </c>
      <c r="AV177" s="21">
        <f>EXP(-LN(2)/25)*AV176+(1-EXP(-LN(2)/25))/(LN(2)/25)*Calculateur!AQ177*Calculateur!AS177*VLOOKUP('Données projet'!$B$10,Paramètres!$A$1:$I$89,3,0)*0.475*44/12</f>
        <v>12.438648323122566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65.078620953368187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69.511661839007942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7.1054273576010019E-14</v>
      </c>
      <c r="BE177" s="13">
        <f>BD177*VLOOKUP('Données projet'!$B$11,Paramètres!$A$1:$I$89,3,0)*VLOOKUP('Données projet'!$B$11,Paramètres!$A$1:$I$89,5,0)</f>
        <v>6.2073013396002357E-14</v>
      </c>
      <c r="BF177" s="13">
        <f t="shared" si="167"/>
        <v>9.8573687844725482E-13</v>
      </c>
      <c r="BG177" s="20">
        <f t="shared" si="168"/>
        <v>1.8249355616270061E-12</v>
      </c>
      <c r="BH177" s="59">
        <f t="shared" si="116"/>
        <v>291.54276007636429</v>
      </c>
      <c r="BI177" s="59">
        <f ca="1">AVERAGE(OFFSET($BH$3,0,0,'Données projet'!$E$11+1,1))-AVERAGE(OFFSET($H$3,0,0,'Données projet'!$E$11+1,1))</f>
        <v>128.92423054779167</v>
      </c>
      <c r="BJ177" s="59">
        <f t="shared" si="146"/>
        <v>127.5443711972687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4.4017651694523909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4.4017651694523909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69.511661839007942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545.65</v>
      </c>
      <c r="BW177" s="12">
        <f>VLOOKUP(A177,'Données projet'!$A$113:$I$133,9,0)</f>
        <v>8.5459999999999976</v>
      </c>
      <c r="BX177" s="12">
        <f t="array" ref="BX177">INDEX(BW:BW,MIN(IF(ISNUMBER(BW177:BW373),ROW(BW177:BW373),"")))</f>
        <v>8.5459999999999976</v>
      </c>
      <c r="BY177" s="12">
        <f>IF('Données projet'!$A$114&gt;35,BY176+BX177-CG176,IF(A177&lt;'Données projet'!$A$114,$BV$205^A177,IF(A177='Données projet'!$A$114,'Données projet'!$B$114,BY176+BX177-CG176)))</f>
        <v>545.65000000000055</v>
      </c>
      <c r="BZ177" s="13">
        <f>BY177*VLOOKUP('Données projet'!$B$12,Paramètres!$A$1:$I$89,3,0)*VLOOKUP('Données projet'!$B$12,Paramètres!$A$1:$I$89,5,0)</f>
        <v>493.7041200000005</v>
      </c>
      <c r="CA177" s="13">
        <f t="shared" si="170"/>
        <v>110.53486532995269</v>
      </c>
      <c r="CB177" s="20">
        <f t="shared" si="171"/>
        <v>1052.3828994496685</v>
      </c>
      <c r="CC177" s="59">
        <f t="shared" si="119"/>
        <v>1343.9256595260308</v>
      </c>
      <c r="CD177" s="59">
        <f ca="1">AVERAGE(OFFSET($CC$3,0,0,'Données projet'!$E$12+1,1))-AVERAGE(OFFSET($H$3,0,0,'Données projet'!$E$12+1,1))</f>
        <v>601.17090553269054</v>
      </c>
      <c r="CE177" s="59">
        <f t="shared" si="148"/>
        <v>279.37477930888042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214.77</v>
      </c>
      <c r="CH177" s="16">
        <f>IF(ISNA(VLOOKUP(A177,'Données projet'!$A$113:$I$133,5,0)),0%,VLOOKUP(A177,'Données projet'!$A$113:$I$133,5,0)*VLOOKUP('Données projet'!$B$12,Paramètres!$A$1:$I$89,7,0))</f>
        <v>0.25800000000000001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115.87208689768337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115.87208689768337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69.511661839007942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-2.8421709430404007E-14</v>
      </c>
      <c r="CU177" s="17">
        <f>CT177*VLOOKUP('Données projet'!$B$13,Paramètres!$A$1:$I$89,3,0)*VLOOKUP('Données projet'!$B$13,Paramètres!$A$1:$I$89,5,0)</f>
        <v>-2.7046098693972454E-14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418.79317359649315</v>
      </c>
      <c r="CZ177" s="59">
        <f t="shared" si="150"/>
        <v>286.46514989661011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56.904347779931733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56.904347779931733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69.511661839007942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69.511661839007942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69.511661839007942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69.511661839007942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69.511661839007942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1.35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1.5560999999999947</v>
      </c>
      <c r="D178" s="11">
        <f t="shared" si="140"/>
        <v>0.68114002706701615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5.0731992301595588</v>
      </c>
      <c r="H178" s="67">
        <f t="shared" si="110"/>
        <v>227.89319304714172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69.520133414340577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5.3866666666666747</v>
      </c>
      <c r="N178" s="13">
        <f>IF('Données projet'!$A$36&gt;35,N177+M178-V177,IF(A178&lt;'Données projet'!$A$36,$K$205^A178,IF(A178='Données projet'!$A$36,'Données projet'!$B$36,N177+M178-V177)))</f>
        <v>336.26666666666722</v>
      </c>
      <c r="O178" s="13">
        <f>N178*VLOOKUP('Données projet'!$B$9,Paramètres!$A$1:$I$89,3,0)*VLOOKUP('Données projet'!$B$9,Paramètres!$A$1:$I$89,5,0)</f>
        <v>340.97440000000057</v>
      </c>
      <c r="P178" s="13">
        <f t="shared" si="141"/>
        <v>79.70123008824433</v>
      </c>
      <c r="Q178" s="20">
        <f t="shared" si="162"/>
        <v>732.67672240369313</v>
      </c>
      <c r="R178" s="59">
        <f t="shared" si="109"/>
        <v>1024.250544922942</v>
      </c>
      <c r="S178" s="59">
        <f ca="1">AVERAGE(OFFSET($R$3,0,0,'Données projet'!$E$9+1,1))-AVERAGE(OFFSET($H$3,0,0,'Données projet'!$E$9+1,1))</f>
        <v>665.7907881991157</v>
      </c>
      <c r="T178" s="59">
        <f t="shared" si="142"/>
        <v>306.76923535735227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127.31023942517119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127.31023942517119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69.520133414340577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-4.5474735088646412E-13</v>
      </c>
      <c r="AJ178" s="13">
        <f>AI178*VLOOKUP('Données projet'!$B$10,Paramètres!$A$1:$I$89,3,0)*VLOOKUP('Données projet'!$B$10,Paramètres!$A$1:$I$89,5,0)</f>
        <v>-2.1282176021486519E-13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370.42479501931444</v>
      </c>
      <c r="AO178" s="59">
        <f t="shared" si="144"/>
        <v>351.95632347830144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51.607734874179485</v>
      </c>
      <c r="AV178" s="21">
        <f>EXP(-LN(2)/25)*AV177+(1-EXP(-LN(2)/25))/(LN(2)/25)*Calculateur!AQ178*Calculateur!AS178*VLOOKUP('Données projet'!$B$10,Paramètres!$A$1:$I$89,3,0)*0.475*44/12</f>
        <v>12.098512830606692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63.706247704786179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69.520133414340577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7.1054273576010019E-14</v>
      </c>
      <c r="BE178" s="13">
        <f>BD178*VLOOKUP('Données projet'!$B$11,Paramètres!$A$1:$I$89,3,0)*VLOOKUP('Données projet'!$B$11,Paramètres!$A$1:$I$89,5,0)</f>
        <v>6.2073013396002357E-14</v>
      </c>
      <c r="BF178" s="13">
        <f t="shared" si="167"/>
        <v>9.8573687844725482E-13</v>
      </c>
      <c r="BG178" s="20">
        <f t="shared" si="168"/>
        <v>1.8249355616270061E-12</v>
      </c>
      <c r="BH178" s="59">
        <f t="shared" si="116"/>
        <v>291.5738225192506</v>
      </c>
      <c r="BI178" s="59">
        <f ca="1">AVERAGE(OFFSET($BH$3,0,0,'Données projet'!$E$11+1,1))-AVERAGE(OFFSET($H$3,0,0,'Données projet'!$E$11+1,1))</f>
        <v>128.92423054779167</v>
      </c>
      <c r="BJ178" s="59">
        <f t="shared" si="146"/>
        <v>127.5443711972687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4.3154492392910795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4.3154492392910795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69.520133414340577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5.3866666666666747</v>
      </c>
      <c r="BY178" s="12">
        <f>IF('Données projet'!$A$114&gt;35,BY177+BX178-CG177,IF(A178&lt;'Données projet'!$A$114,$BV$205^A178,IF(A178='Données projet'!$A$114,'Données projet'!$B$114,BY177+BX178-CG177)))</f>
        <v>336.26666666666722</v>
      </c>
      <c r="BZ178" s="13">
        <f>BY178*VLOOKUP('Données projet'!$B$12,Paramètres!$A$1:$I$89,3,0)*VLOOKUP('Données projet'!$B$12,Paramètres!$A$1:$I$89,5,0)</f>
        <v>304.2540800000005</v>
      </c>
      <c r="CA178" s="13">
        <f t="shared" si="170"/>
        <v>72.067549889405967</v>
      </c>
      <c r="CB178" s="20">
        <f t="shared" si="171"/>
        <v>655.42683872404962</v>
      </c>
      <c r="CC178" s="59">
        <f t="shared" si="119"/>
        <v>947.0006612432984</v>
      </c>
      <c r="CD178" s="59">
        <f ca="1">AVERAGE(OFFSET($CC$3,0,0,'Données projet'!$E$12+1,1))-AVERAGE(OFFSET($H$3,0,0,'Données projet'!$E$12+1,1))</f>
        <v>601.17090553269054</v>
      </c>
      <c r="CE178" s="59">
        <f t="shared" si="148"/>
        <v>279.37477930888042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113.59990594861424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113.59990594861424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69.520133414340577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-2.8421709430404007E-14</v>
      </c>
      <c r="CU178" s="17">
        <f>CT178*VLOOKUP('Données projet'!$B$13,Paramètres!$A$1:$I$89,3,0)*VLOOKUP('Données projet'!$B$13,Paramètres!$A$1:$I$89,5,0)</f>
        <v>-2.7046098693972454E-14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418.79317359649315</v>
      </c>
      <c r="CZ178" s="59">
        <f t="shared" si="150"/>
        <v>286.46514989661011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55.788488228192264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55.788488228192264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69.520133414340577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69.520133414340577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69.520133414340577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69.520133414340577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69.520133414340577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1.35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1.5649919999999946</v>
      </c>
      <c r="D179" s="11">
        <f t="shared" si="140"/>
        <v>0.68457805902349123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5.0741510221000583</v>
      </c>
      <c r="H179" s="67">
        <f t="shared" si="110"/>
        <v>227.91466785279925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69.528458026780811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5.3866666666666747</v>
      </c>
      <c r="N179" s="13">
        <f>IF('Données projet'!$A$36&gt;35,N178+M179-V178,IF(A179&lt;'Données projet'!$A$36,$K$205^A179,IF(A179='Données projet'!$A$36,'Données projet'!$B$36,N178+M179-V178)))</f>
        <v>341.65333333333388</v>
      </c>
      <c r="O179" s="13">
        <f>N179*VLOOKUP('Données projet'!$B$9,Paramètres!$A$1:$I$89,3,0)*VLOOKUP('Données projet'!$B$9,Paramètres!$A$1:$I$89,5,0)</f>
        <v>346.43648000000053</v>
      </c>
      <c r="P179" s="13">
        <f t="shared" si="141"/>
        <v>80.828309002667666</v>
      </c>
      <c r="Q179" s="20">
        <f t="shared" si="162"/>
        <v>744.15284084631367</v>
      </c>
      <c r="R179" s="59">
        <f t="shared" si="109"/>
        <v>1035.7571869445101</v>
      </c>
      <c r="S179" s="59">
        <f ca="1">AVERAGE(OFFSET($R$3,0,0,'Données projet'!$E$9+1,1))-AVERAGE(OFFSET($H$3,0,0,'Données projet'!$E$9+1,1))</f>
        <v>665.7907881991157</v>
      </c>
      <c r="T179" s="59">
        <f t="shared" si="142"/>
        <v>306.76923535735227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124.81376328162217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124.81376328162217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69.528458026780811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-4.5474735088646412E-13</v>
      </c>
      <c r="AJ179" s="13">
        <f>AI179*VLOOKUP('Données projet'!$B$10,Paramètres!$A$1:$I$89,3,0)*VLOOKUP('Données projet'!$B$10,Paramètres!$A$1:$I$89,5,0)</f>
        <v>-2.1282176021486519E-13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370.42479501931444</v>
      </c>
      <c r="AO179" s="59">
        <f t="shared" si="144"/>
        <v>351.95632347830144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50.59573867090694</v>
      </c>
      <c r="AV179" s="21">
        <f>EXP(-LN(2)/25)*AV178+(1-EXP(-LN(2)/25))/(LN(2)/25)*Calculateur!AQ179*Calculateur!AS179*VLOOKUP('Données projet'!$B$10,Paramètres!$A$1:$I$89,3,0)*0.475*44/12</f>
        <v>11.767678361020614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62.363417031927554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69.528458026780811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7.1054273576010019E-14</v>
      </c>
      <c r="BE179" s="13">
        <f>BD179*VLOOKUP('Données projet'!$B$11,Paramètres!$A$1:$I$89,3,0)*VLOOKUP('Données projet'!$B$11,Paramètres!$A$1:$I$89,5,0)</f>
        <v>6.2073013396002357E-14</v>
      </c>
      <c r="BF179" s="13">
        <f t="shared" si="167"/>
        <v>9.8573687844725482E-13</v>
      </c>
      <c r="BG179" s="20">
        <f t="shared" si="168"/>
        <v>1.8249355616270061E-12</v>
      </c>
      <c r="BH179" s="59">
        <f t="shared" si="116"/>
        <v>291.60434609819816</v>
      </c>
      <c r="BI179" s="59">
        <f ca="1">AVERAGE(OFFSET($BH$3,0,0,'Données projet'!$E$11+1,1))-AVERAGE(OFFSET($H$3,0,0,'Données projet'!$E$11+1,1))</f>
        <v>128.92423054779167</v>
      </c>
      <c r="BJ179" s="59">
        <f t="shared" si="146"/>
        <v>127.5443711972687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4.2308259118727127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4.2308259118727127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69.528458026780811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5.3866666666666747</v>
      </c>
      <c r="BY179" s="12">
        <f>IF('Données projet'!$A$114&gt;35,BY178+BX179-CG178,IF(A179&lt;'Données projet'!$A$114,$BV$205^A179,IF(A179='Données projet'!$A$114,'Données projet'!$B$114,BY178+BX179-CG178)))</f>
        <v>341.65333333333388</v>
      </c>
      <c r="BZ179" s="13">
        <f>BY179*VLOOKUP('Données projet'!$B$12,Paramètres!$A$1:$I$89,3,0)*VLOOKUP('Données projet'!$B$12,Paramètres!$A$1:$I$89,5,0)</f>
        <v>309.12793600000049</v>
      </c>
      <c r="CA179" s="13">
        <f t="shared" si="170"/>
        <v>73.086678650713282</v>
      </c>
      <c r="CB179" s="20">
        <f t="shared" si="171"/>
        <v>665.6904538499931</v>
      </c>
      <c r="CC179" s="59">
        <f t="shared" si="119"/>
        <v>957.29479994818939</v>
      </c>
      <c r="CD179" s="59">
        <f ca="1">AVERAGE(OFFSET($CC$3,0,0,'Données projet'!$E$12+1,1))-AVERAGE(OFFSET($H$3,0,0,'Données projet'!$E$12+1,1))</f>
        <v>601.17090553269054</v>
      </c>
      <c r="CE179" s="59">
        <f t="shared" si="148"/>
        <v>279.37477930888042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111.37228108206281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111.37228108206281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69.528458026780811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-2.8421709430404007E-14</v>
      </c>
      <c r="CU179" s="17">
        <f>CT179*VLOOKUP('Données projet'!$B$13,Paramètres!$A$1:$I$89,3,0)*VLOOKUP('Données projet'!$B$13,Paramètres!$A$1:$I$89,5,0)</f>
        <v>-2.7046098693972454E-14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418.79317359649315</v>
      </c>
      <c r="CZ179" s="59">
        <f t="shared" si="150"/>
        <v>286.46514989661011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54.694510001655281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54.694510001655281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69.528458026780811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69.528458026780811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69.528458026780811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69.528458026780811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69.528458026780811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1.35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1.5738839999999945</v>
      </c>
      <c r="D180" s="11">
        <f t="shared" si="140"/>
        <v>0.68801381792944694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5.0751026385770093</v>
      </c>
      <c r="H180" s="67">
        <f t="shared" si="110"/>
        <v>227.93613869956044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69.536638225806243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347.04</v>
      </c>
      <c r="L180" s="12">
        <f>VLOOKUP(A180,'Données projet'!$A$35:$I$55,9,0)</f>
        <v>5.3866666666666747</v>
      </c>
      <c r="M180" s="12">
        <f t="array" ref="M180">INDEX(L:L,MIN(IF(ISNUMBER(L180:L376),ROW(L180:L376),"")))</f>
        <v>5.3866666666666747</v>
      </c>
      <c r="N180" s="13">
        <f>IF('Données projet'!$A$36&gt;35,N179+M180-V179,IF(A180&lt;'Données projet'!$A$36,$K$205^A180,IF(A180='Données projet'!$A$36,'Données projet'!$B$36,N179+M180-V179)))</f>
        <v>347.04000000000053</v>
      </c>
      <c r="O180" s="13">
        <f>N180*VLOOKUP('Données projet'!$B$9,Paramètres!$A$1:$I$89,3,0)*VLOOKUP('Données projet'!$B$9,Paramètres!$A$1:$I$89,5,0)</f>
        <v>351.8985600000006</v>
      </c>
      <c r="P180" s="13">
        <f t="shared" si="141"/>
        <v>81.953321289050805</v>
      </c>
      <c r="Q180" s="20">
        <f t="shared" si="162"/>
        <v>755.62535991176446</v>
      </c>
      <c r="R180" s="59">
        <f t="shared" si="109"/>
        <v>1047.2597000730541</v>
      </c>
      <c r="S180" s="59">
        <f ca="1">AVERAGE(OFFSET($R$3,0,0,'Données projet'!$E$9+1,1))-AVERAGE(OFFSET($H$3,0,0,'Données projet'!$E$9+1,1))</f>
        <v>665.7907881991157</v>
      </c>
      <c r="T180" s="59">
        <f t="shared" si="142"/>
        <v>306.76923535735227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115.19</v>
      </c>
      <c r="W180" s="16">
        <f>IF(ISNA(VLOOKUP(A180,'Données projet'!$A$35:$I$55,5,0)),0%,VLOOKUP(A180,'Données projet'!$A$35:$I$55,5,0)*VLOOKUP('Données projet'!$B$9,Paramètres!$A$1:$I$89,7,0))</f>
        <v>0.25800000000000001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155.67968677975784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155.67968677975784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69.536638225806243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-4.5474735088646412E-13</v>
      </c>
      <c r="AJ180" s="13">
        <f>AI180*VLOOKUP('Données projet'!$B$10,Paramètres!$A$1:$I$89,3,0)*VLOOKUP('Données projet'!$B$10,Paramètres!$A$1:$I$89,5,0)</f>
        <v>-2.1282176021486519E-13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370.42479501931444</v>
      </c>
      <c r="AO180" s="59">
        <f t="shared" si="144"/>
        <v>351.95632347830144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49.603587095923835</v>
      </c>
      <c r="AV180" s="21">
        <f>EXP(-LN(2)/25)*AV179+(1-EXP(-LN(2)/25))/(LN(2)/25)*Calculateur!AQ180*Calculateur!AS180*VLOOKUP('Données projet'!$B$10,Paramètres!$A$1:$I$89,3,0)*0.475*44/12</f>
        <v>11.445890577403196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61.049477673327033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69.536638225806243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7.1054273576010019E-14</v>
      </c>
      <c r="BE180" s="13">
        <f>BD180*VLOOKUP('Données projet'!$B$11,Paramètres!$A$1:$I$89,3,0)*VLOOKUP('Données projet'!$B$11,Paramètres!$A$1:$I$89,5,0)</f>
        <v>6.2073013396002357E-14</v>
      </c>
      <c r="BF180" s="13">
        <f t="shared" si="167"/>
        <v>9.8573687844725482E-13</v>
      </c>
      <c r="BG180" s="20">
        <f t="shared" si="168"/>
        <v>1.8249355616270061E-12</v>
      </c>
      <c r="BH180" s="59">
        <f t="shared" si="116"/>
        <v>291.63434016129139</v>
      </c>
      <c r="BI180" s="59">
        <f ca="1">AVERAGE(OFFSET($BH$3,0,0,'Données projet'!$E$11+1,1))-AVERAGE(OFFSET($H$3,0,0,'Données projet'!$E$11+1,1))</f>
        <v>128.92423054779167</v>
      </c>
      <c r="BJ180" s="59">
        <f t="shared" si="146"/>
        <v>127.5443711972687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4.1478619962898868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4.1478619962898868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69.536638225806243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347.04</v>
      </c>
      <c r="BW180" s="12">
        <f>VLOOKUP(A180,'Données projet'!$A$113:$I$133,9,0)</f>
        <v>5.3866666666666747</v>
      </c>
      <c r="BX180" s="12">
        <f t="array" ref="BX180">INDEX(BW:BW,MIN(IF(ISNUMBER(BW180:BW376),ROW(BW180:BW376),"")))</f>
        <v>5.3866666666666747</v>
      </c>
      <c r="BY180" s="12">
        <f>IF('Données projet'!$A$114&gt;35,BY179+BX180-CG179,IF(A180&lt;'Données projet'!$A$114,$BV$205^A180,IF(A180='Données projet'!$A$114,'Données projet'!$B$114,BY179+BX180-CG179)))</f>
        <v>347.04000000000053</v>
      </c>
      <c r="BZ180" s="13">
        <f>BY180*VLOOKUP('Données projet'!$B$12,Paramètres!$A$1:$I$89,3,0)*VLOOKUP('Données projet'!$B$12,Paramètres!$A$1:$I$89,5,0)</f>
        <v>314.00179200000048</v>
      </c>
      <c r="CA180" s="13">
        <f t="shared" si="170"/>
        <v>74.103938722927282</v>
      </c>
      <c r="CB180" s="20">
        <f t="shared" si="171"/>
        <v>675.95081434243241</v>
      </c>
      <c r="CC180" s="59">
        <f t="shared" si="119"/>
        <v>967.58515450372192</v>
      </c>
      <c r="CD180" s="59">
        <f ca="1">AVERAGE(OFFSET($CC$3,0,0,'Données projet'!$E$12+1,1))-AVERAGE(OFFSET($H$3,0,0,'Données projet'!$E$12+1,1))</f>
        <v>601.17090553269054</v>
      </c>
      <c r="CE180" s="59">
        <f t="shared" si="148"/>
        <v>279.37477930888042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115.19</v>
      </c>
      <c r="CH180" s="16">
        <f>IF(ISNA(VLOOKUP(A180,'Données projet'!$A$113:$I$133,5,0)),0%,VLOOKUP(A180,'Données projet'!$A$113:$I$133,5,0)*VLOOKUP('Données projet'!$B$12,Paramètres!$A$1:$I$89,7,0))</f>
        <v>0.25800000000000001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138.91418204963006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138.91418204963006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69.536638225806243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-2.8421709430404007E-14</v>
      </c>
      <c r="CU180" s="17">
        <f>CT180*VLOOKUP('Données projet'!$B$13,Paramètres!$A$1:$I$89,3,0)*VLOOKUP('Données projet'!$B$13,Paramètres!$A$1:$I$89,5,0)</f>
        <v>-2.7046098693972454E-14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418.79317359649315</v>
      </c>
      <c r="CZ180" s="59">
        <f t="shared" si="150"/>
        <v>286.46514989661011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53.621984020879857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53.621984020879857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69.536638225806243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69.536638225806243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69.536638225806243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69.536638225806243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69.536638225806243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1.35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1.5827759999999944</v>
      </c>
      <c r="D181" s="11">
        <f t="shared" si="140"/>
        <v>0.69144731811723581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5.0760540806967684</v>
      </c>
      <c r="H181" s="67">
        <f t="shared" si="110"/>
        <v>227.95760561238751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69.544676516666769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3.2566666666666606</v>
      </c>
      <c r="N181" s="13">
        <f>IF('Données projet'!$A$36&gt;35,N180+M181-V180,IF(A181&lt;'Données projet'!$A$36,$K$205^A181,IF(A181='Données projet'!$A$36,'Données projet'!$B$36,N180+M181-V180)))</f>
        <v>235.10666666666719</v>
      </c>
      <c r="O181" s="13">
        <f>N181*VLOOKUP('Données projet'!$B$9,Paramètres!$A$1:$I$89,3,0)*VLOOKUP('Données projet'!$B$9,Paramètres!$A$1:$I$89,5,0)</f>
        <v>238.39816000000053</v>
      </c>
      <c r="P181" s="13">
        <f t="shared" si="141"/>
        <v>58.09475259380514</v>
      </c>
      <c r="Q181" s="20">
        <f t="shared" si="162"/>
        <v>516.39182276754491</v>
      </c>
      <c r="R181" s="59">
        <f t="shared" si="109"/>
        <v>808.05563666198964</v>
      </c>
      <c r="S181" s="59">
        <f ca="1">AVERAGE(OFFSET($R$3,0,0,'Données projet'!$E$9+1,1))-AVERAGE(OFFSET($H$3,0,0,'Données projet'!$E$9+1,1))</f>
        <v>665.7907881991157</v>
      </c>
      <c r="T181" s="59">
        <f t="shared" si="142"/>
        <v>306.76923535735227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152.62690307723969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152.62690307723969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69.544676516666769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-4.5474735088646412E-13</v>
      </c>
      <c r="AJ181" s="13">
        <f>AI181*VLOOKUP('Données projet'!$B$10,Paramètres!$A$1:$I$89,3,0)*VLOOKUP('Données projet'!$B$10,Paramètres!$A$1:$I$89,5,0)</f>
        <v>-2.1282176021486519E-13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370.42479501931444</v>
      </c>
      <c r="AO181" s="59">
        <f t="shared" si="144"/>
        <v>351.95632347830144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48.630891008173442</v>
      </c>
      <c r="AV181" s="21">
        <f>EXP(-LN(2)/25)*AV180+(1-EXP(-LN(2)/25))/(LN(2)/25)*Calculateur!AQ181*Calculateur!AS181*VLOOKUP('Données projet'!$B$10,Paramètres!$A$1:$I$89,3,0)*0.475*44/12</f>
        <v>11.132902097650881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59.76379310582432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69.544676516666769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7.1054273576010019E-14</v>
      </c>
      <c r="BE181" s="13">
        <f>BD181*VLOOKUP('Données projet'!$B$11,Paramètres!$A$1:$I$89,3,0)*VLOOKUP('Données projet'!$B$11,Paramètres!$A$1:$I$89,5,0)</f>
        <v>6.2073013396002357E-14</v>
      </c>
      <c r="BF181" s="13">
        <f t="shared" si="167"/>
        <v>9.8573687844725482E-13</v>
      </c>
      <c r="BG181" s="20">
        <f t="shared" si="168"/>
        <v>1.8249355616270061E-12</v>
      </c>
      <c r="BH181" s="59">
        <f t="shared" si="116"/>
        <v>291.6638138944466</v>
      </c>
      <c r="BI181" s="59">
        <f ca="1">AVERAGE(OFFSET($BH$3,0,0,'Données projet'!$E$11+1,1))-AVERAGE(OFFSET($H$3,0,0,'Données projet'!$E$11+1,1))</f>
        <v>128.92423054779167</v>
      </c>
      <c r="BJ181" s="59">
        <f t="shared" si="146"/>
        <v>127.5443711972687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4.0665249524886482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4.0665249524886482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69.544676516666769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3.2566666666666606</v>
      </c>
      <c r="BY181" s="12">
        <f>IF('Données projet'!$A$114&gt;35,BY180+BX181-CG180,IF(A181&lt;'Données projet'!$A$114,$BV$205^A181,IF(A181='Données projet'!$A$114,'Données projet'!$B$114,BY180+BX181-CG180)))</f>
        <v>235.10666666666719</v>
      </c>
      <c r="BZ181" s="13">
        <f>BY181*VLOOKUP('Données projet'!$B$12,Paramètres!$A$1:$I$89,3,0)*VLOOKUP('Données projet'!$B$12,Paramètres!$A$1:$I$89,5,0)</f>
        <v>212.72451200000049</v>
      </c>
      <c r="CA181" s="13">
        <f t="shared" si="170"/>
        <v>52.530512718953382</v>
      </c>
      <c r="CB181" s="20">
        <f t="shared" si="171"/>
        <v>461.98583471884461</v>
      </c>
      <c r="CC181" s="59">
        <f t="shared" si="119"/>
        <v>753.6496486132894</v>
      </c>
      <c r="CD181" s="59">
        <f ca="1">AVERAGE(OFFSET($CC$3,0,0,'Données projet'!$E$12+1,1))-AVERAGE(OFFSET($H$3,0,0,'Données projet'!$E$12+1,1))</f>
        <v>601.17090553269054</v>
      </c>
      <c r="CE181" s="59">
        <f t="shared" si="148"/>
        <v>279.37477930888042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136.19015966892155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136.19015966892155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69.544676516666769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-2.8421709430404007E-14</v>
      </c>
      <c r="CU181" s="17">
        <f>CT181*VLOOKUP('Données projet'!$B$13,Paramètres!$A$1:$I$89,3,0)*VLOOKUP('Données projet'!$B$13,Paramètres!$A$1:$I$89,5,0)</f>
        <v>-2.7046098693972454E-14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418.79317359649315</v>
      </c>
      <c r="CZ181" s="59">
        <f t="shared" si="150"/>
        <v>286.46514989661011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52.570489620411188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52.570489620411188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69.544676516666769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69.544676516666769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69.544676516666769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69.544676516666769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69.544676516666769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1.35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1.5916679999999943</v>
      </c>
      <c r="D182" s="11">
        <f t="shared" si="140"/>
        <v>0.69487857374885387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5.0770053495525431</v>
      </c>
      <c r="H182" s="67">
        <f t="shared" si="110"/>
        <v>227.97906861594592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69.552575361151781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3.2566666666666606</v>
      </c>
      <c r="N182" s="13">
        <f>IF('Données projet'!$A$36&gt;35,N181+M182-V181,IF(A182&lt;'Données projet'!$A$36,$K$205^A182,IF(A182='Données projet'!$A$36,'Données projet'!$B$36,N181+M182-V181)))</f>
        <v>238.36333333333386</v>
      </c>
      <c r="O182" s="13">
        <f>N182*VLOOKUP('Données projet'!$B$9,Paramètres!$A$1:$I$89,3,0)*VLOOKUP('Données projet'!$B$9,Paramètres!$A$1:$I$89,5,0)</f>
        <v>241.70042000000055</v>
      </c>
      <c r="P182" s="13">
        <f t="shared" si="141"/>
        <v>58.805233664472574</v>
      </c>
      <c r="Q182" s="20">
        <f t="shared" si="162"/>
        <v>523.38068013229065</v>
      </c>
      <c r="R182" s="59">
        <f t="shared" si="109"/>
        <v>815.0734564565139</v>
      </c>
      <c r="S182" s="59">
        <f ca="1">AVERAGE(OFFSET($R$3,0,0,'Données projet'!$E$9+1,1))-AVERAGE(OFFSET($H$3,0,0,'Données projet'!$E$9+1,1))</f>
        <v>665.7907881991157</v>
      </c>
      <c r="T182" s="59">
        <f t="shared" si="142"/>
        <v>306.76923535735227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149.6339826011137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149.6339826011137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69.552575361151781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-4.5474735088646412E-13</v>
      </c>
      <c r="AJ182" s="13">
        <f>AI182*VLOOKUP('Données projet'!$B$10,Paramètres!$A$1:$I$89,3,0)*VLOOKUP('Données projet'!$B$10,Paramètres!$A$1:$I$89,5,0)</f>
        <v>-2.1282176021486519E-13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370.42479501931444</v>
      </c>
      <c r="AO182" s="59">
        <f t="shared" si="144"/>
        <v>351.95632347830144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47.677268897417804</v>
      </c>
      <c r="AV182" s="21">
        <f>EXP(-LN(2)/25)*AV181+(1-EXP(-LN(2)/25))/(LN(2)/25)*Calculateur!AQ182*Calculateur!AS182*VLOOKUP('Données projet'!$B$10,Paramètres!$A$1:$I$89,3,0)*0.475*44/12</f>
        <v>10.82847230433674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58.505741201754546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69.552575361151781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7.1054273576010019E-14</v>
      </c>
      <c r="BE182" s="13">
        <f>BD182*VLOOKUP('Données projet'!$B$11,Paramètres!$A$1:$I$89,3,0)*VLOOKUP('Données projet'!$B$11,Paramètres!$A$1:$I$89,5,0)</f>
        <v>6.2073013396002357E-14</v>
      </c>
      <c r="BF182" s="13">
        <f t="shared" si="167"/>
        <v>9.8573687844725482E-13</v>
      </c>
      <c r="BG182" s="20">
        <f t="shared" si="168"/>
        <v>1.8249355616270061E-12</v>
      </c>
      <c r="BH182" s="59">
        <f t="shared" si="116"/>
        <v>291.69277632422501</v>
      </c>
      <c r="BI182" s="59">
        <f ca="1">AVERAGE(OFFSET($BH$3,0,0,'Données projet'!$E$11+1,1))-AVERAGE(OFFSET($H$3,0,0,'Données projet'!$E$11+1,1))</f>
        <v>128.92423054779167</v>
      </c>
      <c r="BJ182" s="59">
        <f t="shared" si="146"/>
        <v>127.5443711972687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3.9867828785056543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3.9867828785056543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69.552575361151781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3.2566666666666606</v>
      </c>
      <c r="BY182" s="12">
        <f>IF('Données projet'!$A$114&gt;35,BY181+BX182-CG181,IF(A182&lt;'Données projet'!$A$114,$BV$205^A182,IF(A182='Données projet'!$A$114,'Données projet'!$B$114,BY181+BX182-CG181)))</f>
        <v>238.36333333333386</v>
      </c>
      <c r="BZ182" s="13">
        <f>BY182*VLOOKUP('Données projet'!$B$12,Paramètres!$A$1:$I$89,3,0)*VLOOKUP('Données projet'!$B$12,Paramètres!$A$1:$I$89,5,0)</f>
        <v>215.67114400000045</v>
      </c>
      <c r="CA182" s="13">
        <f t="shared" si="170"/>
        <v>53.172944836363733</v>
      </c>
      <c r="CB182" s="20">
        <f t="shared" si="171"/>
        <v>468.23678805666754</v>
      </c>
      <c r="CC182" s="59">
        <f t="shared" si="119"/>
        <v>759.92956438089072</v>
      </c>
      <c r="CD182" s="59">
        <f ca="1">AVERAGE(OFFSET($CC$3,0,0,'Données projet'!$E$12+1,1))-AVERAGE(OFFSET($H$3,0,0,'Données projet'!$E$12+1,1))</f>
        <v>601.17090553269054</v>
      </c>
      <c r="CE182" s="59">
        <f t="shared" si="148"/>
        <v>279.37477930888042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133.51955370560913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133.51955370560913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69.552575361151781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-2.8421709430404007E-14</v>
      </c>
      <c r="CU182" s="17">
        <f>CT182*VLOOKUP('Données projet'!$B$13,Paramètres!$A$1:$I$89,3,0)*VLOOKUP('Données projet'!$B$13,Paramètres!$A$1:$I$89,5,0)</f>
        <v>-2.7046098693972454E-14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418.79317359649315</v>
      </c>
      <c r="CZ182" s="59">
        <f t="shared" si="150"/>
        <v>286.46514989661011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51.539614383787452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51.539614383787452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69.552575361151781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69.552575361151781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69.552575361151781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69.552575361151781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69.552575361151781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1.35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1.6005599999999942</v>
      </c>
      <c r="D183" s="11">
        <f t="shared" si="140"/>
        <v>0.6983075988189047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5.0779564462246167</v>
      </c>
      <c r="H183" s="67">
        <f t="shared" si="110"/>
        <v>228.00052773460959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69.56033717834417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241.62</v>
      </c>
      <c r="L183" s="12">
        <f>VLOOKUP(A183,'Données projet'!$A$35:$I$55,9,0)</f>
        <v>3.2566666666666606</v>
      </c>
      <c r="M183" s="12">
        <f t="array" ref="M183">INDEX(L:L,MIN(IF(ISNUMBER(L183:L379),ROW(L183:L379),"")))</f>
        <v>3.2566666666666606</v>
      </c>
      <c r="N183" s="13">
        <f>IF('Données projet'!$A$36&gt;35,N182+M183-V182,IF(A183&lt;'Données projet'!$A$36,$K$205^A183,IF(A183='Données projet'!$A$36,'Données projet'!$B$36,N182+M183-V182)))</f>
        <v>241.62000000000052</v>
      </c>
      <c r="O183" s="13">
        <f>N183*VLOOKUP('Données projet'!$B$9,Paramètres!$A$1:$I$89,3,0)*VLOOKUP('Données projet'!$B$9,Paramètres!$A$1:$I$89,5,0)</f>
        <v>245.00268000000054</v>
      </c>
      <c r="P183" s="13">
        <f t="shared" si="141"/>
        <v>59.514585697688133</v>
      </c>
      <c r="Q183" s="20">
        <f t="shared" si="162"/>
        <v>530.36757109014115</v>
      </c>
      <c r="R183" s="59">
        <f t="shared" si="109"/>
        <v>822.08880741073654</v>
      </c>
      <c r="S183" s="59">
        <f ca="1">AVERAGE(OFFSET($R$3,0,0,'Données projet'!$E$9+1,1))-AVERAGE(OFFSET($H$3,0,0,'Données projet'!$E$9+1,1))</f>
        <v>665.7907881991157</v>
      </c>
      <c r="T183" s="59">
        <f t="shared" si="142"/>
        <v>306.76923535735227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77.72</v>
      </c>
      <c r="W183" s="16">
        <f>IF(ISNA(VLOOKUP(A183,'Données projet'!$A$35:$I$55,5,0)),0%,VLOOKUP(A183,'Données projet'!$A$35:$I$55,5,0)*VLOOKUP('Données projet'!$B$9,Paramètres!$A$1:$I$89,7,0))</f>
        <v>0.25800000000000001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169.17671098185198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169.17671098185198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69.56033717834417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-4.5474735088646412E-13</v>
      </c>
      <c r="AJ183" s="13">
        <f>AI183*VLOOKUP('Données projet'!$B$10,Paramètres!$A$1:$I$89,3,0)*VLOOKUP('Données projet'!$B$10,Paramètres!$A$1:$I$89,5,0)</f>
        <v>-2.1282176021486519E-13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370.42479501931444</v>
      </c>
      <c r="AO183" s="59">
        <f t="shared" si="144"/>
        <v>351.95632347830144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46.74234673460203</v>
      </c>
      <c r="AV183" s="21">
        <f>EXP(-LN(2)/25)*AV182+(1-EXP(-LN(2)/25))/(LN(2)/25)*Calculateur!AQ183*Calculateur!AS183*VLOOKUP('Données projet'!$B$10,Paramètres!$A$1:$I$89,3,0)*0.475*44/12</f>
        <v>10.532367159730043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57.274713894332073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69.56033717834417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7.1054273576010019E-14</v>
      </c>
      <c r="BE183" s="13">
        <f>BD183*VLOOKUP('Données projet'!$B$11,Paramètres!$A$1:$I$89,3,0)*VLOOKUP('Données projet'!$B$11,Paramètres!$A$1:$I$89,5,0)</f>
        <v>6.2073013396002357E-14</v>
      </c>
      <c r="BF183" s="13">
        <f t="shared" si="167"/>
        <v>9.8573687844725482E-13</v>
      </c>
      <c r="BG183" s="20">
        <f t="shared" si="168"/>
        <v>1.8249355616270061E-12</v>
      </c>
      <c r="BH183" s="59">
        <f t="shared" si="116"/>
        <v>291.72123632059714</v>
      </c>
      <c r="BI183" s="59">
        <f ca="1">AVERAGE(OFFSET($BH$3,0,0,'Données projet'!$E$11+1,1))-AVERAGE(OFFSET($H$3,0,0,'Données projet'!$E$11+1,1))</f>
        <v>128.92423054779167</v>
      </c>
      <c r="BJ183" s="59">
        <f t="shared" si="146"/>
        <v>127.5443711972687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3.9086044979556043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3.9086044979556043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69.56033717834417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241.62</v>
      </c>
      <c r="BW183" s="12">
        <f>VLOOKUP(A183,'Données projet'!$A$113:$I$133,9,0)</f>
        <v>3.2566666666666606</v>
      </c>
      <c r="BX183" s="12">
        <f t="array" ref="BX183">INDEX(BW:BW,MIN(IF(ISNUMBER(BW183:BW379),ROW(BW183:BW379),"")))</f>
        <v>3.2566666666666606</v>
      </c>
      <c r="BY183" s="12">
        <f>IF('Données projet'!$A$114&gt;35,BY182+BX183-CG182,IF(A183&lt;'Données projet'!$A$114,$BV$205^A183,IF(A183='Données projet'!$A$114,'Données projet'!$B$114,BY182+BX183-CG182)))</f>
        <v>241.62000000000052</v>
      </c>
      <c r="BZ183" s="13">
        <f>BY183*VLOOKUP('Données projet'!$B$12,Paramètres!$A$1:$I$89,3,0)*VLOOKUP('Données projet'!$B$12,Paramètres!$A$1:$I$89,5,0)</f>
        <v>218.61777600000045</v>
      </c>
      <c r="CA183" s="13">
        <f t="shared" si="170"/>
        <v>53.814356054061541</v>
      </c>
      <c r="CB183" s="20">
        <f t="shared" si="171"/>
        <v>474.48596332749122</v>
      </c>
      <c r="CC183" s="59">
        <f t="shared" si="119"/>
        <v>766.20719964808654</v>
      </c>
      <c r="CD183" s="59">
        <f ca="1">AVERAGE(OFFSET($CC$3,0,0,'Données projet'!$E$12+1,1))-AVERAGE(OFFSET($H$3,0,0,'Données projet'!$E$12+1,1))</f>
        <v>601.17090553269054</v>
      </c>
      <c r="CE183" s="59">
        <f t="shared" si="148"/>
        <v>279.37477930888042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77.72</v>
      </c>
      <c r="CH183" s="16">
        <f>IF(ISNA(VLOOKUP(A183,'Données projet'!$A$113:$I$133,5,0)),0%,VLOOKUP(A183,'Données projet'!$A$113:$I$133,5,0)*VLOOKUP('Données projet'!$B$12,Paramètres!$A$1:$I$89,7,0))</f>
        <v>0.25800000000000001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150.95768056842175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150.95768056842175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69.56033717834417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-2.8421709430404007E-14</v>
      </c>
      <c r="CU183" s="17">
        <f>CT183*VLOOKUP('Données projet'!$B$13,Paramètres!$A$1:$I$89,3,0)*VLOOKUP('Données projet'!$B$13,Paramètres!$A$1:$I$89,5,0)</f>
        <v>-2.7046098693972454E-14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418.79317359649315</v>
      </c>
      <c r="CZ183" s="59">
        <f t="shared" si="150"/>
        <v>286.46514989661011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50.528953981782102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50.528953981782102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69.56033717834417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69.56033717834417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69.56033717834417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69.56033717834417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69.56033717834417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1.35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1.6094519999999941</v>
      </c>
      <c r="D184" s="11">
        <f t="shared" si="140"/>
        <v>0.70173440715749724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5.0789073717805788</v>
      </c>
      <c r="H184" s="67">
        <f t="shared" si="110"/>
        <v>228.02198299246598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69.567964345361077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1.9533333333333285</v>
      </c>
      <c r="N184" s="13">
        <f>IF('Données projet'!$A$36&gt;35,N183+M184-V183,IF(A184&lt;'Données projet'!$A$36,$K$205^A184,IF(A184='Données projet'!$A$36,'Données projet'!$B$36,N183+M184-V183)))</f>
        <v>165.85333333333384</v>
      </c>
      <c r="O184" s="13">
        <f>N184*VLOOKUP('Données projet'!$B$9,Paramètres!$A$1:$I$89,3,0)*VLOOKUP('Données projet'!$B$9,Paramètres!$A$1:$I$89,5,0)</f>
        <v>168.17528000000053</v>
      </c>
      <c r="P184" s="13">
        <f t="shared" si="141"/>
        <v>42.681090680670735</v>
      </c>
      <c r="Q184" s="20">
        <f t="shared" si="162"/>
        <v>367.24151226883578</v>
      </c>
      <c r="R184" s="59">
        <f t="shared" si="109"/>
        <v>658.99071486849311</v>
      </c>
      <c r="S184" s="59">
        <f ca="1">AVERAGE(OFFSET($R$3,0,0,'Données projet'!$E$9+1,1))-AVERAGE(OFFSET($H$3,0,0,'Données projet'!$E$9+1,1))</f>
        <v>665.7907881991157</v>
      </c>
      <c r="T184" s="59">
        <f t="shared" si="142"/>
        <v>306.76923535735227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165.85925886710262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165.85925886710262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69.567964345361077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-4.5474735088646412E-13</v>
      </c>
      <c r="AJ184" s="13">
        <f>AI184*VLOOKUP('Données projet'!$B$10,Paramètres!$A$1:$I$89,3,0)*VLOOKUP('Données projet'!$B$10,Paramètres!$A$1:$I$89,5,0)</f>
        <v>-2.1282176021486519E-13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370.42479501931444</v>
      </c>
      <c r="AO184" s="59">
        <f t="shared" si="144"/>
        <v>351.95632347830144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45.825757825152863</v>
      </c>
      <c r="AV184" s="21">
        <f>EXP(-LN(2)/25)*AV183+(1-EXP(-LN(2)/25))/(LN(2)/25)*Calculateur!AQ184*Calculateur!AS184*VLOOKUP('Données projet'!$B$10,Paramètres!$A$1:$I$89,3,0)*0.475*44/12</f>
        <v>10.244359025874108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56.070116851026967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69.567964345361077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7.1054273576010019E-14</v>
      </c>
      <c r="BE184" s="13">
        <f>BD184*VLOOKUP('Données projet'!$B$11,Paramètres!$A$1:$I$89,3,0)*VLOOKUP('Données projet'!$B$11,Paramètres!$A$1:$I$89,5,0)</f>
        <v>6.2073013396002357E-14</v>
      </c>
      <c r="BF184" s="13">
        <f t="shared" si="167"/>
        <v>9.8573687844725482E-13</v>
      </c>
      <c r="BG184" s="20">
        <f t="shared" si="168"/>
        <v>1.8249355616270061E-12</v>
      </c>
      <c r="BH184" s="59">
        <f t="shared" si="116"/>
        <v>291.7492025996591</v>
      </c>
      <c r="BI184" s="59">
        <f ca="1">AVERAGE(OFFSET($BH$3,0,0,'Données projet'!$E$11+1,1))-AVERAGE(OFFSET($H$3,0,0,'Données projet'!$E$11+1,1))</f>
        <v>128.92423054779167</v>
      </c>
      <c r="BJ184" s="59">
        <f t="shared" si="146"/>
        <v>127.5443711972687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3.8319591477640369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3.8319591477640369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69.567964345361077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1.9533333333333285</v>
      </c>
      <c r="BY184" s="12">
        <f>IF('Données projet'!$A$114&gt;35,BY183+BX184-CG183,IF(A184&lt;'Données projet'!$A$114,$BV$205^A184,IF(A184='Données projet'!$A$114,'Données projet'!$B$114,BY183+BX184-CG183)))</f>
        <v>165.85333333333384</v>
      </c>
      <c r="BZ184" s="13">
        <f>BY184*VLOOKUP('Données projet'!$B$12,Paramètres!$A$1:$I$89,3,0)*VLOOKUP('Données projet'!$B$12,Paramètres!$A$1:$I$89,5,0)</f>
        <v>150.06409600000046</v>
      </c>
      <c r="CA184" s="13">
        <f t="shared" si="170"/>
        <v>38.593151304664545</v>
      </c>
      <c r="CB184" s="20">
        <f t="shared" si="171"/>
        <v>328.57803905562486</v>
      </c>
      <c r="CC184" s="59">
        <f t="shared" si="119"/>
        <v>620.32724165528214</v>
      </c>
      <c r="CD184" s="59">
        <f ca="1">AVERAGE(OFFSET($CC$3,0,0,'Données projet'!$E$12+1,1))-AVERAGE(OFFSET($H$3,0,0,'Données projet'!$E$12+1,1))</f>
        <v>601.17090553269054</v>
      </c>
      <c r="CE184" s="59">
        <f t="shared" si="148"/>
        <v>279.37477930888042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147.99749252756848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147.99749252756848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69.567964345361077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-2.8421709430404007E-14</v>
      </c>
      <c r="CU184" s="17">
        <f>CT184*VLOOKUP('Données projet'!$B$13,Paramètres!$A$1:$I$89,3,0)*VLOOKUP('Données projet'!$B$13,Paramètres!$A$1:$I$89,5,0)</f>
        <v>-2.7046098693972454E-14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418.79317359649315</v>
      </c>
      <c r="CZ184" s="59">
        <f t="shared" si="150"/>
        <v>286.46514989661011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49.5381120138181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49.5381120138181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69.567964345361077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69.567964345361077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69.567964345361077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69.567964345361077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69.567964345361077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1.35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1.618343999999994</v>
      </c>
      <c r="D185" s="11">
        <f t="shared" si="140"/>
        <v>0.70515901243307721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5.0798581272755357</v>
      </c>
      <c r="H185" s="67">
        <f t="shared" si="110"/>
        <v>228.04343441332094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69.575459198082044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1.9533333333333285</v>
      </c>
      <c r="N185" s="13">
        <f>IF('Données projet'!$A$36&gt;35,N184+M185-V184,IF(A185&lt;'Données projet'!$A$36,$K$205^A185,IF(A185='Données projet'!$A$36,'Données projet'!$B$36,N184+M185-V184)))</f>
        <v>167.80666666666716</v>
      </c>
      <c r="O185" s="13">
        <f>N185*VLOOKUP('Données projet'!$B$9,Paramètres!$A$1:$I$89,3,0)*VLOOKUP('Données projet'!$B$9,Paramètres!$A$1:$I$89,5,0)</f>
        <v>170.1559600000005</v>
      </c>
      <c r="P185" s="13">
        <f t="shared" si="141"/>
        <v>43.124951572816009</v>
      </c>
      <c r="Q185" s="20">
        <f t="shared" si="162"/>
        <v>371.46425432265534</v>
      </c>
      <c r="R185" s="59">
        <f t="shared" si="109"/>
        <v>663.2409380489562</v>
      </c>
      <c r="S185" s="59">
        <f ca="1">AVERAGE(OFFSET($R$3,0,0,'Données projet'!$E$9+1,1))-AVERAGE(OFFSET($H$3,0,0,'Données projet'!$E$9+1,1))</f>
        <v>665.7907881991157</v>
      </c>
      <c r="T185" s="59">
        <f t="shared" si="142"/>
        <v>306.76923535735227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162.60685996487751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162.60685996487751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69.575459198082044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-4.5474735088646412E-13</v>
      </c>
      <c r="AJ185" s="13">
        <f>AI185*VLOOKUP('Données projet'!$B$10,Paramètres!$A$1:$I$89,3,0)*VLOOKUP('Données projet'!$B$10,Paramètres!$A$1:$I$89,5,0)</f>
        <v>-2.1282176021486519E-13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370.42479501931444</v>
      </c>
      <c r="AO185" s="59">
        <f t="shared" si="144"/>
        <v>351.95632347830144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44.927142665153958</v>
      </c>
      <c r="AV185" s="21">
        <f>EXP(-LN(2)/25)*AV184+(1-EXP(-LN(2)/25))/(LN(2)/25)*Calculateur!AQ185*Calculateur!AS185*VLOOKUP('Données projet'!$B$10,Paramètres!$A$1:$I$89,3,0)*0.475*44/12</f>
        <v>9.9642264895841528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54.891369154738115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69.575459198082044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7.1054273576010019E-14</v>
      </c>
      <c r="BE185" s="13">
        <f>BD185*VLOOKUP('Données projet'!$B$11,Paramètres!$A$1:$I$89,3,0)*VLOOKUP('Données projet'!$B$11,Paramètres!$A$1:$I$89,5,0)</f>
        <v>6.2073013396002357E-14</v>
      </c>
      <c r="BF185" s="13">
        <f t="shared" si="167"/>
        <v>9.8573687844725482E-13</v>
      </c>
      <c r="BG185" s="20">
        <f t="shared" si="168"/>
        <v>1.8249355616270061E-12</v>
      </c>
      <c r="BH185" s="59">
        <f t="shared" si="116"/>
        <v>291.77668372630268</v>
      </c>
      <c r="BI185" s="59">
        <f ca="1">AVERAGE(OFFSET($BH$3,0,0,'Données projet'!$E$11+1,1))-AVERAGE(OFFSET($H$3,0,0,'Données projet'!$E$11+1,1))</f>
        <v>128.92423054779167</v>
      </c>
      <c r="BJ185" s="59">
        <f t="shared" si="146"/>
        <v>127.5443711972687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3.7568167661406786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3.7568167661406786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69.575459198082044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1.9533333333333285</v>
      </c>
      <c r="BY185" s="12">
        <f>IF('Données projet'!$A$114&gt;35,BY184+BX185-CG184,IF(A185&lt;'Données projet'!$A$114,$BV$205^A185,IF(A185='Données projet'!$A$114,'Données projet'!$B$114,BY184+BX185-CG184)))</f>
        <v>167.80666666666716</v>
      </c>
      <c r="BZ185" s="13">
        <f>BY185*VLOOKUP('Données projet'!$B$12,Paramètres!$A$1:$I$89,3,0)*VLOOKUP('Données projet'!$B$12,Paramètres!$A$1:$I$89,5,0)</f>
        <v>151.83147200000045</v>
      </c>
      <c r="CA185" s="13">
        <f t="shared" si="170"/>
        <v>38.994499777620597</v>
      </c>
      <c r="CB185" s="20">
        <f t="shared" si="171"/>
        <v>332.35523417935661</v>
      </c>
      <c r="CC185" s="59">
        <f t="shared" si="119"/>
        <v>624.13191790565747</v>
      </c>
      <c r="CD185" s="59">
        <f ca="1">AVERAGE(OFFSET($CC$3,0,0,'Données projet'!$E$12+1,1))-AVERAGE(OFFSET($H$3,0,0,'Données projet'!$E$12+1,1))</f>
        <v>601.17090553269054</v>
      </c>
      <c r="CE185" s="59">
        <f t="shared" si="148"/>
        <v>279.37477930888042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145.09535196865994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145.09535196865994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69.575459198082044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-2.8421709430404007E-14</v>
      </c>
      <c r="CU185" s="17">
        <f>CT185*VLOOKUP('Données projet'!$B$13,Paramètres!$A$1:$I$89,3,0)*VLOOKUP('Données projet'!$B$13,Paramètres!$A$1:$I$89,5,0)</f>
        <v>-2.7046098693972454E-14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418.79317359649315</v>
      </c>
      <c r="CZ185" s="59">
        <f t="shared" si="150"/>
        <v>286.46514989661011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48.566699852491944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48.566699852491944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69.575459198082044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69.575459198082044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69.575459198082044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69.575459198082044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69.575459198082044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1.35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1.6272359999999939</v>
      </c>
      <c r="D186" s="11">
        <f t="shared" si="140"/>
        <v>0.70858142815519409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5.0808087137523303</v>
      </c>
      <c r="H186" s="67">
        <f t="shared" si="110"/>
        <v>228.06488202070364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69.582824031864277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169.76</v>
      </c>
      <c r="L186" s="12">
        <f>VLOOKUP(A186,'Données projet'!$A$35:$I$55,9,0)</f>
        <v>1.9533333333333285</v>
      </c>
      <c r="M186" s="12">
        <f t="array" ref="M186">INDEX(L:L,MIN(IF(ISNUMBER(L186:L382),ROW(L186:L382),"")))</f>
        <v>1.9533333333333285</v>
      </c>
      <c r="N186" s="13">
        <f>IF('Données projet'!$A$36&gt;35,N185+M186-V185,IF(A186&lt;'Données projet'!$A$36,$K$205^A186,IF(A186='Données projet'!$A$36,'Données projet'!$B$36,N185+M186-V185)))</f>
        <v>169.76000000000047</v>
      </c>
      <c r="O186" s="13">
        <f>N186*VLOOKUP('Données projet'!$B$9,Paramètres!$A$1:$I$89,3,0)*VLOOKUP('Données projet'!$B$9,Paramètres!$A$1:$I$89,5,0)</f>
        <v>172.13664000000048</v>
      </c>
      <c r="P186" s="13">
        <f t="shared" si="141"/>
        <v>43.568211452887901</v>
      </c>
      <c r="Q186" s="20">
        <f t="shared" si="162"/>
        <v>375.68594961378062</v>
      </c>
      <c r="R186" s="59">
        <f t="shared" si="109"/>
        <v>667.48963773061632</v>
      </c>
      <c r="S186" s="59">
        <f ca="1">AVERAGE(OFFSET($R$3,0,0,'Données projet'!$E$9+1,1))-AVERAGE(OFFSET($H$3,0,0,'Données projet'!$E$9+1,1))</f>
        <v>665.7907881991157</v>
      </c>
      <c r="T186" s="59">
        <f t="shared" si="142"/>
        <v>306.76923535735227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169.76</v>
      </c>
      <c r="W186" s="16">
        <f>IF(ISNA(VLOOKUP(A186,'Données projet'!$A$35:$I$55,5,0)),0%,VLOOKUP(A186,'Données projet'!$A$35:$I$55,5,0)*VLOOKUP('Données projet'!$B$9,Paramètres!$A$1:$I$89,7,0))</f>
        <v>0.25800000000000001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208.51356346345793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208.51356346345793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69.582824031864277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-4.5474735088646412E-13</v>
      </c>
      <c r="AJ186" s="13">
        <f>AI186*VLOOKUP('Données projet'!$B$10,Paramètres!$A$1:$I$89,3,0)*VLOOKUP('Données projet'!$B$10,Paramètres!$A$1:$I$89,5,0)</f>
        <v>-2.1282176021486519E-13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370.42479501931444</v>
      </c>
      <c r="AO186" s="59">
        <f t="shared" si="144"/>
        <v>351.95632347830144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44.046148800341506</v>
      </c>
      <c r="AV186" s="21">
        <f>EXP(-LN(2)/25)*AV185+(1-EXP(-LN(2)/25))/(LN(2)/25)*Calculateur!AQ186*Calculateur!AS186*VLOOKUP('Données projet'!$B$10,Paramètres!$A$1:$I$89,3,0)*0.475*44/12</f>
        <v>9.6917541922305759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53.737902992572081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69.582824031864277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7.1054273576010019E-14</v>
      </c>
      <c r="BE186" s="13">
        <f>BD186*VLOOKUP('Données projet'!$B$11,Paramètres!$A$1:$I$89,3,0)*VLOOKUP('Données projet'!$B$11,Paramètres!$A$1:$I$89,5,0)</f>
        <v>6.2073013396002357E-14</v>
      </c>
      <c r="BF186" s="13">
        <f t="shared" si="167"/>
        <v>9.8573687844725482E-13</v>
      </c>
      <c r="BG186" s="20">
        <f t="shared" si="168"/>
        <v>1.8249355616270061E-12</v>
      </c>
      <c r="BH186" s="59">
        <f t="shared" si="116"/>
        <v>291.80368811683752</v>
      </c>
      <c r="BI186" s="59">
        <f ca="1">AVERAGE(OFFSET($BH$3,0,0,'Données projet'!$E$11+1,1))-AVERAGE(OFFSET($H$3,0,0,'Données projet'!$E$11+1,1))</f>
        <v>128.92423054779167</v>
      </c>
      <c r="BJ186" s="59">
        <f t="shared" si="146"/>
        <v>127.5443711972687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3.6831478807886273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3.6831478807886273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69.582824031864277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169.76</v>
      </c>
      <c r="BW186" s="12">
        <f>VLOOKUP(A186,'Données projet'!$A$113:$I$133,9,0)</f>
        <v>1.9533333333333285</v>
      </c>
      <c r="BX186" s="12">
        <f t="array" ref="BX186">INDEX(BW:BW,MIN(IF(ISNUMBER(BW186:BW382),ROW(BW186:BW382),"")))</f>
        <v>1.9533333333333285</v>
      </c>
      <c r="BY186" s="12">
        <f>IF('Données projet'!$A$114&gt;35,BY185+BX186-CG185,IF(A186&lt;'Données projet'!$A$114,$BV$205^A186,IF(A186='Données projet'!$A$114,'Données projet'!$B$114,BY185+BX186-CG185)))</f>
        <v>169.76000000000047</v>
      </c>
      <c r="BZ186" s="13">
        <f>BY186*VLOOKUP('Données projet'!$B$12,Paramètres!$A$1:$I$89,3,0)*VLOOKUP('Données projet'!$B$12,Paramètres!$A$1:$I$89,5,0)</f>
        <v>153.5988480000004</v>
      </c>
      <c r="CA186" s="13">
        <f t="shared" si="170"/>
        <v>39.395304802658316</v>
      </c>
      <c r="CB186" s="20">
        <f t="shared" si="171"/>
        <v>336.13148279796388</v>
      </c>
      <c r="CC186" s="59">
        <f t="shared" si="119"/>
        <v>627.93517091479953</v>
      </c>
      <c r="CD186" s="59">
        <f ca="1">AVERAGE(OFFSET($CC$3,0,0,'Données projet'!$E$12+1,1))-AVERAGE(OFFSET($H$3,0,0,'Données projet'!$E$12+1,1))</f>
        <v>601.17090553269054</v>
      </c>
      <c r="CE186" s="59">
        <f t="shared" si="148"/>
        <v>279.37477930888042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169.76</v>
      </c>
      <c r="CH186" s="16">
        <f>IF(ISNA(VLOOKUP(A186,'Données projet'!$A$113:$I$133,5,0)),0%,VLOOKUP(A186,'Données projet'!$A$113:$I$133,5,0)*VLOOKUP('Données projet'!$B$12,Paramètres!$A$1:$I$89,7,0))</f>
        <v>0.25800000000000001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186.05825662893167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186.05825662893167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69.582824031864277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-2.8421709430404007E-14</v>
      </c>
      <c r="CU186" s="17">
        <f>CT186*VLOOKUP('Données projet'!$B$13,Paramètres!$A$1:$I$89,3,0)*VLOOKUP('Données projet'!$B$13,Paramètres!$A$1:$I$89,5,0)</f>
        <v>-2.7046098693972454E-14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418.79317359649315</v>
      </c>
      <c r="CZ186" s="59">
        <f t="shared" si="150"/>
        <v>286.46514989661011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47.614336491146481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47.614336491146481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69.582824031864277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69.582824031864277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69.582824031864277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69.582824031864277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69.582824031864277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1.35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1.6361279999999938</v>
      </c>
      <c r="D187" s="11">
        <f t="shared" si="140"/>
        <v>0.71200166767720641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5.081759132241749</v>
      </c>
      <c r="H187" s="67">
        <f t="shared" si="110"/>
        <v>228.08632583787113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69.590061102245699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4.8316906031686813E-13</v>
      </c>
      <c r="O187" s="13">
        <f>N187*VLOOKUP('Données projet'!$B$9,Paramètres!$A$1:$I$89,3,0)*VLOOKUP('Données projet'!$B$9,Paramètres!$A$1:$I$89,5,0)</f>
        <v>4.8993342716130437E-13</v>
      </c>
      <c r="P187" s="13">
        <f t="shared" si="141"/>
        <v>6.1172634040517391E-12</v>
      </c>
      <c r="Q187" s="20">
        <f t="shared" si="162"/>
        <v>1.1507534481029384E-11</v>
      </c>
      <c r="R187" s="59">
        <f t="shared" si="109"/>
        <v>291.83022404157902</v>
      </c>
      <c r="S187" s="59">
        <f ca="1">AVERAGE(OFFSET($R$3,0,0,'Données projet'!$E$9+1,1))-AVERAGE(OFFSET($H$3,0,0,'Données projet'!$E$9+1,1))</f>
        <v>665.7907881991157</v>
      </c>
      <c r="T187" s="59">
        <f t="shared" si="142"/>
        <v>306.76923535735227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204.42473966465516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204.42473966465516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69.590061102245699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-4.5474735088646412E-13</v>
      </c>
      <c r="AJ187" s="13">
        <f>AI187*VLOOKUP('Données projet'!$B$10,Paramètres!$A$1:$I$89,3,0)*VLOOKUP('Données projet'!$B$10,Paramètres!$A$1:$I$89,5,0)</f>
        <v>-2.1282176021486519E-13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370.42479501931444</v>
      </c>
      <c r="AO187" s="59">
        <f t="shared" si="144"/>
        <v>351.95632347830144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43.18243068786483</v>
      </c>
      <c r="AV187" s="21">
        <f>EXP(-LN(2)/25)*AV186+(1-EXP(-LN(2)/25))/(LN(2)/25)*Calculateur!AQ187*Calculateur!AS187*VLOOKUP('Données projet'!$B$10,Paramètres!$A$1:$I$89,3,0)*0.475*44/12</f>
        <v>9.4267326641768285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52.609163352041662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69.590061102245699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7.1054273576010019E-14</v>
      </c>
      <c r="BE187" s="13">
        <f>BD187*VLOOKUP('Données projet'!$B$11,Paramètres!$A$1:$I$89,3,0)*VLOOKUP('Données projet'!$B$11,Paramètres!$A$1:$I$89,5,0)</f>
        <v>6.2073013396002357E-14</v>
      </c>
      <c r="BF187" s="13">
        <f t="shared" si="167"/>
        <v>9.8573687844725482E-13</v>
      </c>
      <c r="BG187" s="20">
        <f t="shared" si="168"/>
        <v>1.8249355616270061E-12</v>
      </c>
      <c r="BH187" s="59">
        <f t="shared" si="116"/>
        <v>291.83022404156935</v>
      </c>
      <c r="BI187" s="59">
        <f ca="1">AVERAGE(OFFSET($BH$3,0,0,'Données projet'!$E$11+1,1))-AVERAGE(OFFSET($H$3,0,0,'Données projet'!$E$11+1,1))</f>
        <v>128.92423054779167</v>
      </c>
      <c r="BJ187" s="59">
        <f t="shared" si="146"/>
        <v>127.5443711972687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3.6109235973447462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3.6109235973447462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69.590061102245699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4.8316906031686813E-13</v>
      </c>
      <c r="BZ187" s="13">
        <f>BY187*VLOOKUP('Données projet'!$B$12,Paramètres!$A$1:$I$89,3,0)*VLOOKUP('Données projet'!$B$12,Paramètres!$A$1:$I$89,5,0)</f>
        <v>4.3717136577470225E-13</v>
      </c>
      <c r="CA187" s="13">
        <f t="shared" si="170"/>
        <v>5.5313598682231701E-12</v>
      </c>
      <c r="CB187" s="20">
        <f t="shared" si="171"/>
        <v>1.039519189921296E-11</v>
      </c>
      <c r="CC187" s="59">
        <f t="shared" si="119"/>
        <v>291.83022404157794</v>
      </c>
      <c r="CD187" s="59">
        <f ca="1">AVERAGE(OFFSET($CC$3,0,0,'Données projet'!$E$12+1,1))-AVERAGE(OFFSET($H$3,0,0,'Données projet'!$E$12+1,1))</f>
        <v>601.17090553269054</v>
      </c>
      <c r="CE187" s="59">
        <f t="shared" si="148"/>
        <v>279.37477930888042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182.40976770076921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182.40976770076921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69.590061102245699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-2.8421709430404007E-14</v>
      </c>
      <c r="CU187" s="17">
        <f>CT187*VLOOKUP('Données projet'!$B$13,Paramètres!$A$1:$I$89,3,0)*VLOOKUP('Données projet'!$B$13,Paramètres!$A$1:$I$89,5,0)</f>
        <v>-2.7046098693972454E-14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418.79317359649315</v>
      </c>
      <c r="CZ187" s="59">
        <f t="shared" si="150"/>
        <v>286.46514989661011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46.680648394432708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46.680648394432708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69.590061102245699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69.590061102245699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69.590061102245699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69.590061102245699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69.590061102245699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1.35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1.6450199999999937</v>
      </c>
      <c r="D188" s="11">
        <f t="shared" si="140"/>
        <v>0.71541974419892673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5.0827093837627242</v>
      </c>
      <c r="H188" s="67">
        <f t="shared" si="110"/>
        <v>228.10776588781312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69.59717262563565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4.8316906031686813E-13</v>
      </c>
      <c r="O188" s="13">
        <f>N188*VLOOKUP('Données projet'!$B$9,Paramètres!$A$1:$I$89,3,0)*VLOOKUP('Données projet'!$B$9,Paramètres!$A$1:$I$89,5,0)</f>
        <v>4.8993342716130437E-13</v>
      </c>
      <c r="P188" s="13">
        <f t="shared" si="141"/>
        <v>6.1172634040517391E-12</v>
      </c>
      <c r="Q188" s="20">
        <f t="shared" si="162"/>
        <v>1.1507534481029384E-11</v>
      </c>
      <c r="R188" s="59">
        <f t="shared" si="109"/>
        <v>291.8562996273422</v>
      </c>
      <c r="S188" s="59">
        <f ca="1">AVERAGE(OFFSET($R$3,0,0,'Données projet'!$E$9+1,1))-AVERAGE(OFFSET($H$3,0,0,'Données projet'!$E$9+1,1))</f>
        <v>665.7907881991157</v>
      </c>
      <c r="T188" s="59">
        <f t="shared" si="142"/>
        <v>306.76923535735227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200.41609520661066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200.41609520661066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69.59717262563565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-4.5474735088646412E-13</v>
      </c>
      <c r="AJ188" s="13">
        <f>AI188*VLOOKUP('Données projet'!$B$10,Paramètres!$A$1:$I$89,3,0)*VLOOKUP('Données projet'!$B$10,Paramètres!$A$1:$I$89,5,0)</f>
        <v>-2.1282176021486519E-13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370.42479501931444</v>
      </c>
      <c r="AO188" s="59">
        <f t="shared" si="144"/>
        <v>351.95632347830144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42.335649560757794</v>
      </c>
      <c r="AV188" s="21">
        <f>EXP(-LN(2)/25)*AV187+(1-EXP(-LN(2)/25))/(LN(2)/25)*Calculateur!AQ188*Calculateur!AS188*VLOOKUP('Données projet'!$B$10,Paramètres!$A$1:$I$89,3,0)*0.475*44/12</f>
        <v>9.1689581637445876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51.504607724502378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69.59717262563565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7.1054273576010019E-14</v>
      </c>
      <c r="BE188" s="13">
        <f>BD188*VLOOKUP('Données projet'!$B$11,Paramètres!$A$1:$I$89,3,0)*VLOOKUP('Données projet'!$B$11,Paramètres!$A$1:$I$89,5,0)</f>
        <v>6.2073013396002357E-14</v>
      </c>
      <c r="BF188" s="13">
        <f t="shared" si="167"/>
        <v>9.8573687844725482E-13</v>
      </c>
      <c r="BG188" s="20">
        <f t="shared" si="168"/>
        <v>1.8249355616270061E-12</v>
      </c>
      <c r="BH188" s="59">
        <f t="shared" si="116"/>
        <v>291.85629962733253</v>
      </c>
      <c r="BI188" s="59">
        <f ca="1">AVERAGE(OFFSET($BH$3,0,0,'Données projet'!$E$11+1,1))-AVERAGE(OFFSET($H$3,0,0,'Données projet'!$E$11+1,1))</f>
        <v>128.92423054779167</v>
      </c>
      <c r="BJ188" s="59">
        <f t="shared" si="146"/>
        <v>127.5443711972687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3.5401155880467368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3.5401155880467368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69.59717262563565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4.8316906031686813E-13</v>
      </c>
      <c r="BZ188" s="13">
        <f>BY188*VLOOKUP('Données projet'!$B$12,Paramètres!$A$1:$I$89,3,0)*VLOOKUP('Données projet'!$B$12,Paramètres!$A$1:$I$89,5,0)</f>
        <v>4.3717136577470225E-13</v>
      </c>
      <c r="CA188" s="13">
        <f t="shared" si="170"/>
        <v>5.5313598682231701E-12</v>
      </c>
      <c r="CB188" s="20">
        <f t="shared" si="171"/>
        <v>1.039519189921296E-11</v>
      </c>
      <c r="CC188" s="59">
        <f t="shared" si="119"/>
        <v>291.85629962734112</v>
      </c>
      <c r="CD188" s="59">
        <f ca="1">AVERAGE(OFFSET($CC$3,0,0,'Données projet'!$E$12+1,1))-AVERAGE(OFFSET($H$3,0,0,'Données projet'!$E$12+1,1))</f>
        <v>601.17090553269054</v>
      </c>
      <c r="CE188" s="59">
        <f t="shared" si="148"/>
        <v>279.37477930888042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178.83282341512952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178.83282341512952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69.59717262563565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-2.8421709430404007E-14</v>
      </c>
      <c r="CU188" s="17">
        <f>CT188*VLOOKUP('Données projet'!$B$13,Paramètres!$A$1:$I$89,3,0)*VLOOKUP('Données projet'!$B$13,Paramètres!$A$1:$I$89,5,0)</f>
        <v>-2.7046098693972454E-14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418.79317359649315</v>
      </c>
      <c r="CZ188" s="59">
        <f t="shared" si="150"/>
        <v>286.46514989661011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45.76526935180199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45.76526935180199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69.59717262563565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69.59717262563565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69.59717262563565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69.59717262563565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69.59717262563565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1.35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1.6539119999999936</v>
      </c>
      <c r="D189" s="11">
        <f t="shared" si="140"/>
        <v>0.71883567076920662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5.0836594693225345</v>
      </c>
      <c r="H189" s="67">
        <f t="shared" si="110"/>
        <v>228.12920219325636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69.604160779993776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4.8316906031686813E-13</v>
      </c>
      <c r="O189" s="13">
        <f>N189*VLOOKUP('Données projet'!$B$9,Paramètres!$A$1:$I$89,3,0)*VLOOKUP('Données projet'!$B$9,Paramètres!$A$1:$I$89,5,0)</f>
        <v>4.8993342716130437E-13</v>
      </c>
      <c r="P189" s="13">
        <f t="shared" si="141"/>
        <v>6.1172634040517391E-12</v>
      </c>
      <c r="Q189" s="20">
        <f t="shared" si="162"/>
        <v>1.1507534481029384E-11</v>
      </c>
      <c r="R189" s="59">
        <f t="shared" si="109"/>
        <v>291.88192285998866</v>
      </c>
      <c r="S189" s="59">
        <f ca="1">AVERAGE(OFFSET($R$3,0,0,'Données projet'!$E$9+1,1))-AVERAGE(OFFSET($H$3,0,0,'Données projet'!$E$9+1,1))</f>
        <v>665.7907881991157</v>
      </c>
      <c r="T189" s="59">
        <f t="shared" si="142"/>
        <v>306.76923535735227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196.48605782135672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196.48605782135672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69.604160779993776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-4.5474735088646412E-13</v>
      </c>
      <c r="AJ189" s="13">
        <f>AI189*VLOOKUP('Données projet'!$B$10,Paramètres!$A$1:$I$89,3,0)*VLOOKUP('Données projet'!$B$10,Paramètres!$A$1:$I$89,5,0)</f>
        <v>-2.1282176021486519E-13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370.42479501931444</v>
      </c>
      <c r="AO189" s="59">
        <f t="shared" si="144"/>
        <v>351.95632347830144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41.505473295067837</v>
      </c>
      <c r="AV189" s="21">
        <f>EXP(-LN(2)/25)*AV188+(1-EXP(-LN(2)/25))/(LN(2)/25)*Calculateur!AQ189*Calculateur!AS189*VLOOKUP('Données projet'!$B$10,Paramètres!$A$1:$I$89,3,0)*0.475*44/12</f>
        <v>8.9182325205824373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50.423705815650273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69.604160779993776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7.1054273576010019E-14</v>
      </c>
      <c r="BE189" s="13">
        <f>BD189*VLOOKUP('Données projet'!$B$11,Paramètres!$A$1:$I$89,3,0)*VLOOKUP('Données projet'!$B$11,Paramètres!$A$1:$I$89,5,0)</f>
        <v>6.2073013396002357E-14</v>
      </c>
      <c r="BF189" s="13">
        <f t="shared" si="167"/>
        <v>9.8573687844725482E-13</v>
      </c>
      <c r="BG189" s="20">
        <f t="shared" si="168"/>
        <v>1.8249355616270061E-12</v>
      </c>
      <c r="BH189" s="59">
        <f t="shared" si="116"/>
        <v>291.881922859979</v>
      </c>
      <c r="BI189" s="59">
        <f ca="1">AVERAGE(OFFSET($BH$3,0,0,'Données projet'!$E$11+1,1))-AVERAGE(OFFSET($H$3,0,0,'Données projet'!$E$11+1,1))</f>
        <v>128.92423054779167</v>
      </c>
      <c r="BJ189" s="59">
        <f t="shared" si="146"/>
        <v>127.5443711972687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3.4706960806224401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3.4706960806224401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69.604160779993776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4.8316906031686813E-13</v>
      </c>
      <c r="BZ189" s="13">
        <f>BY189*VLOOKUP('Données projet'!$B$12,Paramètres!$A$1:$I$89,3,0)*VLOOKUP('Données projet'!$B$12,Paramètres!$A$1:$I$89,5,0)</f>
        <v>4.3717136577470225E-13</v>
      </c>
      <c r="CA189" s="13">
        <f t="shared" si="170"/>
        <v>5.5313598682231701E-12</v>
      </c>
      <c r="CB189" s="20">
        <f t="shared" si="171"/>
        <v>1.039519189921296E-11</v>
      </c>
      <c r="CC189" s="59">
        <f t="shared" si="119"/>
        <v>291.88192285998758</v>
      </c>
      <c r="CD189" s="59">
        <f ca="1">AVERAGE(OFFSET($CC$3,0,0,'Données projet'!$E$12+1,1))-AVERAGE(OFFSET($H$3,0,0,'Données projet'!$E$12+1,1))</f>
        <v>601.17090553269054</v>
      </c>
      <c r="CE189" s="59">
        <f t="shared" si="148"/>
        <v>279.37477930888042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175.32602082521063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175.32602082521063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69.604160779993776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-2.8421709430404007E-14</v>
      </c>
      <c r="CU189" s="17">
        <f>CT189*VLOOKUP('Données projet'!$B$13,Paramètres!$A$1:$I$89,3,0)*VLOOKUP('Données projet'!$B$13,Paramètres!$A$1:$I$89,5,0)</f>
        <v>-2.7046098693972454E-14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418.79317359649315</v>
      </c>
      <c r="CZ189" s="59">
        <f t="shared" si="150"/>
        <v>286.46514989661011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44.867840333871172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44.867840333871172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69.604160779993776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69.604160779993776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69.604160779993776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69.604160779993776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69.604160779993776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1.35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1.6628039999999935</v>
      </c>
      <c r="D190" s="11">
        <f t="shared" si="140"/>
        <v>0.72224946028846604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5.084609389917004</v>
      </c>
      <c r="H190" s="67">
        <f t="shared" si="110"/>
        <v>228.15063477666908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69.61102770549698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4.8316906031686813E-13</v>
      </c>
      <c r="O190" s="13">
        <f>N190*VLOOKUP('Données projet'!$B$9,Paramètres!$A$1:$I$89,3,0)*VLOOKUP('Données projet'!$B$9,Paramètres!$A$1:$I$89,5,0)</f>
        <v>4.8993342716130437E-13</v>
      </c>
      <c r="P190" s="13">
        <f t="shared" si="141"/>
        <v>6.1172634040517391E-12</v>
      </c>
      <c r="Q190" s="20">
        <f t="shared" si="162"/>
        <v>1.1507534481029384E-11</v>
      </c>
      <c r="R190" s="59">
        <f t="shared" si="109"/>
        <v>291.90710158683373</v>
      </c>
      <c r="S190" s="59">
        <f ca="1">AVERAGE(OFFSET($R$3,0,0,'Données projet'!$E$9+1,1))-AVERAGE(OFFSET($H$3,0,0,'Données projet'!$E$9+1,1))</f>
        <v>665.7907881991157</v>
      </c>
      <c r="T190" s="59">
        <f t="shared" si="142"/>
        <v>306.76923535735227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192.63308607214151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192.63308607214151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69.61102770549698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-4.5474735088646412E-13</v>
      </c>
      <c r="AJ190" s="13">
        <f>AI190*VLOOKUP('Données projet'!$B$10,Paramètres!$A$1:$I$89,3,0)*VLOOKUP('Données projet'!$B$10,Paramètres!$A$1:$I$89,5,0)</f>
        <v>-2.1282176021486519E-13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370.42479501931444</v>
      </c>
      <c r="AO190" s="59">
        <f t="shared" si="144"/>
        <v>351.95632347830144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40.691576279590535</v>
      </c>
      <c r="AV190" s="21">
        <f>EXP(-LN(2)/25)*AV189+(1-EXP(-LN(2)/25))/(LN(2)/25)*Calculateur!AQ190*Calculateur!AS190*VLOOKUP('Données projet'!$B$10,Paramètres!$A$1:$I$89,3,0)*0.475*44/12</f>
        <v>8.6743629833176445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49.365939262908178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69.61102770549698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7.1054273576010019E-14</v>
      </c>
      <c r="BE190" s="13">
        <f>BD190*VLOOKUP('Données projet'!$B$11,Paramètres!$A$1:$I$89,3,0)*VLOOKUP('Données projet'!$B$11,Paramètres!$A$1:$I$89,5,0)</f>
        <v>6.2073013396002357E-14</v>
      </c>
      <c r="BF190" s="13">
        <f t="shared" si="167"/>
        <v>9.8573687844725482E-13</v>
      </c>
      <c r="BG190" s="20">
        <f t="shared" si="168"/>
        <v>1.8249355616270061E-12</v>
      </c>
      <c r="BH190" s="59">
        <f t="shared" si="116"/>
        <v>291.90710158682407</v>
      </c>
      <c r="BI190" s="59">
        <f ca="1">AVERAGE(OFFSET($BH$3,0,0,'Données projet'!$E$11+1,1))-AVERAGE(OFFSET($H$3,0,0,'Données projet'!$E$11+1,1))</f>
        <v>128.92423054779167</v>
      </c>
      <c r="BJ190" s="59">
        <f t="shared" si="146"/>
        <v>127.5443711972687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3.4026378473970151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3.4026378473970151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69.61102770549698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4.8316906031686813E-13</v>
      </c>
      <c r="BZ190" s="13">
        <f>BY190*VLOOKUP('Données projet'!$B$12,Paramètres!$A$1:$I$89,3,0)*VLOOKUP('Données projet'!$B$12,Paramètres!$A$1:$I$89,5,0)</f>
        <v>4.3717136577470225E-13</v>
      </c>
      <c r="CA190" s="13">
        <f t="shared" si="170"/>
        <v>5.5313598682231701E-12</v>
      </c>
      <c r="CB190" s="20">
        <f t="shared" si="171"/>
        <v>1.039519189921296E-11</v>
      </c>
      <c r="CC190" s="59">
        <f t="shared" si="119"/>
        <v>291.90710158683265</v>
      </c>
      <c r="CD190" s="59">
        <f ca="1">AVERAGE(OFFSET($CC$3,0,0,'Données projet'!$E$12+1,1))-AVERAGE(OFFSET($H$3,0,0,'Données projet'!$E$12+1,1))</f>
        <v>601.17090553269054</v>
      </c>
      <c r="CE190" s="59">
        <f t="shared" si="148"/>
        <v>279.37477930888042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171.88798449514167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171.88798449514167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69.61102770549698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-2.8421709430404007E-14</v>
      </c>
      <c r="CU190" s="17">
        <f>CT190*VLOOKUP('Données projet'!$B$13,Paramètres!$A$1:$I$89,3,0)*VLOOKUP('Données projet'!$B$13,Paramètres!$A$1:$I$89,5,0)</f>
        <v>-2.7046098693972454E-14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418.79317359649315</v>
      </c>
      <c r="CZ190" s="59">
        <f t="shared" si="150"/>
        <v>286.46514989661011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43.988009351604326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43.988009351604326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69.61102770549698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69.61102770549698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69.61102770549698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69.61102770549698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69.61102770549698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1.35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1.6716959999999934</v>
      </c>
      <c r="D191" s="11">
        <f t="shared" si="140"/>
        <v>0.72566112551116568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5.0855591465306862</v>
      </c>
      <c r="H191" s="67">
        <f t="shared" si="110"/>
        <v>228.17206366026528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69.617775505194828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4.8316906031686813E-13</v>
      </c>
      <c r="O191" s="13">
        <f>N191*VLOOKUP('Données projet'!$B$9,Paramètres!$A$1:$I$89,3,0)*VLOOKUP('Données projet'!$B$9,Paramètres!$A$1:$I$89,5,0)</f>
        <v>4.8993342716130437E-13</v>
      </c>
      <c r="P191" s="13">
        <f t="shared" si="141"/>
        <v>6.1172634040517391E-12</v>
      </c>
      <c r="Q191" s="20">
        <f t="shared" si="162"/>
        <v>1.1507534481029384E-11</v>
      </c>
      <c r="R191" s="59">
        <f t="shared" si="109"/>
        <v>291.93184351905921</v>
      </c>
      <c r="S191" s="59">
        <f ca="1">AVERAGE(OFFSET($R$3,0,0,'Données projet'!$E$9+1,1))-AVERAGE(OFFSET($H$3,0,0,'Données projet'!$E$9+1,1))</f>
        <v>665.7907881991157</v>
      </c>
      <c r="T191" s="59">
        <f t="shared" si="142"/>
        <v>306.76923535735227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188.85566874884771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188.85566874884771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69.617775505194828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-4.5474735088646412E-13</v>
      </c>
      <c r="AJ191" s="13">
        <f>AI191*VLOOKUP('Données projet'!$B$10,Paramètres!$A$1:$I$89,3,0)*VLOOKUP('Données projet'!$B$10,Paramètres!$A$1:$I$89,5,0)</f>
        <v>-2.1282176021486519E-13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370.42479501931444</v>
      </c>
      <c r="AO191" s="59">
        <f t="shared" si="144"/>
        <v>351.95632347830144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39.893639288158582</v>
      </c>
      <c r="AV191" s="21">
        <f>EXP(-LN(2)/25)*AV190+(1-EXP(-LN(2)/25))/(LN(2)/25)*Calculateur!AQ191*Calculateur!AS191*VLOOKUP('Données projet'!$B$10,Paramètres!$A$1:$I$89,3,0)*0.475*44/12</f>
        <v>8.4371620713738995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48.330801359532479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69.617775505194828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7.1054273576010019E-14</v>
      </c>
      <c r="BE191" s="13">
        <f>BD191*VLOOKUP('Données projet'!$B$11,Paramètres!$A$1:$I$89,3,0)*VLOOKUP('Données projet'!$B$11,Paramètres!$A$1:$I$89,5,0)</f>
        <v>6.2073013396002357E-14</v>
      </c>
      <c r="BF191" s="13">
        <f t="shared" si="167"/>
        <v>9.8573687844725482E-13</v>
      </c>
      <c r="BG191" s="20">
        <f t="shared" si="168"/>
        <v>1.8249355616270061E-12</v>
      </c>
      <c r="BH191" s="59">
        <f t="shared" si="116"/>
        <v>291.93184351904955</v>
      </c>
      <c r="BI191" s="59">
        <f ca="1">AVERAGE(OFFSET($BH$3,0,0,'Données projet'!$E$11+1,1))-AVERAGE(OFFSET($H$3,0,0,'Données projet'!$E$11+1,1))</f>
        <v>128.92423054779167</v>
      </c>
      <c r="BJ191" s="59">
        <f t="shared" si="146"/>
        <v>127.5443711972687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3.3359141946137174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3.3359141946137174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69.617775505194828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4.8316906031686813E-13</v>
      </c>
      <c r="BZ191" s="13">
        <f>BY191*VLOOKUP('Données projet'!$B$12,Paramètres!$A$1:$I$89,3,0)*VLOOKUP('Données projet'!$B$12,Paramètres!$A$1:$I$89,5,0)</f>
        <v>4.3717136577470225E-13</v>
      </c>
      <c r="CA191" s="13">
        <f t="shared" si="170"/>
        <v>5.5313598682231701E-12</v>
      </c>
      <c r="CB191" s="20">
        <f t="shared" si="171"/>
        <v>1.039519189921296E-11</v>
      </c>
      <c r="CC191" s="59">
        <f t="shared" si="119"/>
        <v>291.93184351905813</v>
      </c>
      <c r="CD191" s="59">
        <f ca="1">AVERAGE(OFFSET($CC$3,0,0,'Données projet'!$E$12+1,1))-AVERAGE(OFFSET($H$3,0,0,'Données projet'!$E$12+1,1))</f>
        <v>601.17090553269054</v>
      </c>
      <c r="CE191" s="59">
        <f t="shared" si="148"/>
        <v>279.37477930888042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168.51736596051026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168.51736596051026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69.617775505194828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-2.8421709430404007E-14</v>
      </c>
      <c r="CU191" s="17">
        <f>CT191*VLOOKUP('Données projet'!$B$13,Paramètres!$A$1:$I$89,3,0)*VLOOKUP('Données projet'!$B$13,Paramètres!$A$1:$I$89,5,0)</f>
        <v>-2.7046098693972454E-14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418.79317359649315</v>
      </c>
      <c r="CZ191" s="59">
        <f t="shared" si="150"/>
        <v>286.46514989661011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43.125431318255821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43.125431318255821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69.617775505194828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69.617775505194828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69.617775505194828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69.617775505194828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69.617775505194828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1.35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1.6805879999999933</v>
      </c>
      <c r="D192" s="11">
        <f t="shared" si="140"/>
        <v>0.72907067904822609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5.0865087401370559</v>
      </c>
      <c r="H192" s="67">
        <f t="shared" si="110"/>
        <v>228.19348886600898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69.624406245653745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4.8316906031686813E-13</v>
      </c>
      <c r="O192" s="13">
        <f>N192*VLOOKUP('Données projet'!$B$9,Paramètres!$A$1:$I$89,3,0)*VLOOKUP('Données projet'!$B$9,Paramètres!$A$1:$I$89,5,0)</f>
        <v>4.8993342716130437E-13</v>
      </c>
      <c r="P192" s="13">
        <f t="shared" si="141"/>
        <v>6.1172634040517391E-12</v>
      </c>
      <c r="Q192" s="20">
        <f t="shared" si="162"/>
        <v>1.1507534481029384E-11</v>
      </c>
      <c r="R192" s="59">
        <f t="shared" si="109"/>
        <v>291.95615623407519</v>
      </c>
      <c r="S192" s="59">
        <f ca="1">AVERAGE(OFFSET($R$3,0,0,'Données projet'!$E$9+1,1))-AVERAGE(OFFSET($H$3,0,0,'Données projet'!$E$9+1,1))</f>
        <v>665.7907881991157</v>
      </c>
      <c r="T192" s="59">
        <f t="shared" si="142"/>
        <v>306.76923535735227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185.15232427526661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185.15232427526661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69.624406245653745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-4.5474735088646412E-13</v>
      </c>
      <c r="AJ192" s="13">
        <f>AI192*VLOOKUP('Données projet'!$B$10,Paramètres!$A$1:$I$89,3,0)*VLOOKUP('Données projet'!$B$10,Paramètres!$A$1:$I$89,5,0)</f>
        <v>-2.1282176021486519E-13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370.42479501931444</v>
      </c>
      <c r="AO192" s="59">
        <f t="shared" si="144"/>
        <v>351.95632347830144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39.111349354435099</v>
      </c>
      <c r="AV192" s="21">
        <f>EXP(-LN(2)/25)*AV191+(1-EXP(-LN(2)/25))/(LN(2)/25)*Calculateur!AQ192*Calculateur!AS192*VLOOKUP('Données projet'!$B$10,Paramètres!$A$1:$I$89,3,0)*0.475*44/12</f>
        <v>8.2064474308411111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47.317796785276208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69.624406245653745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7.1054273576010019E-14</v>
      </c>
      <c r="BE192" s="13">
        <f>BD192*VLOOKUP('Données projet'!$B$11,Paramètres!$A$1:$I$89,3,0)*VLOOKUP('Données projet'!$B$11,Paramètres!$A$1:$I$89,5,0)</f>
        <v>6.2073013396002357E-14</v>
      </c>
      <c r="BF192" s="13">
        <f t="shared" si="167"/>
        <v>9.8573687844725482E-13</v>
      </c>
      <c r="BG192" s="20">
        <f t="shared" si="168"/>
        <v>1.8249355616270061E-12</v>
      </c>
      <c r="BH192" s="59">
        <f t="shared" si="116"/>
        <v>291.95615623406553</v>
      </c>
      <c r="BI192" s="59">
        <f ca="1">AVERAGE(OFFSET($BH$3,0,0,'Données projet'!$E$11+1,1))-AVERAGE(OFFSET($H$3,0,0,'Données projet'!$E$11+1,1))</f>
        <v>128.92423054779167</v>
      </c>
      <c r="BJ192" s="59">
        <f t="shared" si="146"/>
        <v>127.5443711972687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3.2704989519640906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3.2704989519640906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69.624406245653745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4.8316906031686813E-13</v>
      </c>
      <c r="BZ192" s="13">
        <f>BY192*VLOOKUP('Données projet'!$B$12,Paramètres!$A$1:$I$89,3,0)*VLOOKUP('Données projet'!$B$12,Paramètres!$A$1:$I$89,5,0)</f>
        <v>4.3717136577470225E-13</v>
      </c>
      <c r="CA192" s="13">
        <f t="shared" si="170"/>
        <v>5.5313598682231701E-12</v>
      </c>
      <c r="CB192" s="20">
        <f t="shared" si="171"/>
        <v>1.039519189921296E-11</v>
      </c>
      <c r="CC192" s="59">
        <f t="shared" si="119"/>
        <v>291.95615623407411</v>
      </c>
      <c r="CD192" s="59">
        <f ca="1">AVERAGE(OFFSET($CC$3,0,0,'Données projet'!$E$12+1,1))-AVERAGE(OFFSET($H$3,0,0,'Données projet'!$E$12+1,1))</f>
        <v>601.17090553269054</v>
      </c>
      <c r="CE192" s="59">
        <f t="shared" si="148"/>
        <v>279.37477930888042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165.21284319946867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165.21284319946867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69.624406245653745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-2.8421709430404007E-14</v>
      </c>
      <c r="CU192" s="17">
        <f>CT192*VLOOKUP('Données projet'!$B$13,Paramètres!$A$1:$I$89,3,0)*VLOOKUP('Données projet'!$B$13,Paramètres!$A$1:$I$89,5,0)</f>
        <v>-2.7046098693972454E-14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418.79317359649315</v>
      </c>
      <c r="CZ192" s="59">
        <f t="shared" si="150"/>
        <v>286.46514989661011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42.279767914020631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42.279767914020631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69.624406245653745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69.624406245653745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69.624406245653745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69.624406245653745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69.624406245653745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1.35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1.6894799999999932</v>
      </c>
      <c r="D193" s="11">
        <f t="shared" si="140"/>
        <v>0.73247813336939394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5.0874581716986897</v>
      </c>
      <c r="H193" s="67">
        <f t="shared" si="110"/>
        <v>228.21491041561836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69.630921957589806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4.8316906031686813E-13</v>
      </c>
      <c r="O193" s="13">
        <f>N193*VLOOKUP('Données projet'!$B$9,Paramètres!$A$1:$I$89,3,0)*VLOOKUP('Données projet'!$B$9,Paramètres!$A$1:$I$89,5,0)</f>
        <v>4.8993342716130437E-13</v>
      </c>
      <c r="P193" s="13">
        <f t="shared" si="141"/>
        <v>6.1172634040517391E-12</v>
      </c>
      <c r="Q193" s="20">
        <f t="shared" si="162"/>
        <v>1.1507534481029384E-11</v>
      </c>
      <c r="R193" s="59">
        <f t="shared" si="109"/>
        <v>291.98004717784073</v>
      </c>
      <c r="S193" s="59">
        <f ca="1">AVERAGE(OFFSET($R$3,0,0,'Données projet'!$E$9+1,1))-AVERAGE(OFFSET($H$3,0,0,'Données projet'!$E$9+1,1))</f>
        <v>665.7907881991157</v>
      </c>
      <c r="T193" s="59">
        <f t="shared" si="142"/>
        <v>306.76923535735227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181.52160012799536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181.52160012799536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69.630921957589806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-4.5474735088646412E-13</v>
      </c>
      <c r="AJ193" s="13">
        <f>AI193*VLOOKUP('Données projet'!$B$10,Paramètres!$A$1:$I$89,3,0)*VLOOKUP('Données projet'!$B$10,Paramètres!$A$1:$I$89,5,0)</f>
        <v>-2.1282176021486519E-13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370.42479501931444</v>
      </c>
      <c r="AO193" s="59">
        <f t="shared" si="144"/>
        <v>351.95632347830144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38.344399649162192</v>
      </c>
      <c r="AV193" s="21">
        <f>EXP(-LN(2)/25)*AV192+(1-EXP(-LN(2)/25))/(LN(2)/25)*Calculateur!AQ193*Calculateur!AS193*VLOOKUP('Données projet'!$B$10,Paramètres!$A$1:$I$89,3,0)*0.475*44/12</f>
        <v>7.9820416942864467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46.326441343448636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69.630921957589806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7.1054273576010019E-14</v>
      </c>
      <c r="BE193" s="13">
        <f>BD193*VLOOKUP('Données projet'!$B$11,Paramètres!$A$1:$I$89,3,0)*VLOOKUP('Données projet'!$B$11,Paramètres!$A$1:$I$89,5,0)</f>
        <v>6.2073013396002357E-14</v>
      </c>
      <c r="BF193" s="13">
        <f t="shared" si="167"/>
        <v>9.8573687844725482E-13</v>
      </c>
      <c r="BG193" s="20">
        <f t="shared" si="168"/>
        <v>1.8249355616270061E-12</v>
      </c>
      <c r="BH193" s="59">
        <f t="shared" si="116"/>
        <v>291.98004717783107</v>
      </c>
      <c r="BI193" s="59">
        <f ca="1">AVERAGE(OFFSET($BH$3,0,0,'Données projet'!$E$11+1,1))-AVERAGE(OFFSET($H$3,0,0,'Données projet'!$E$11+1,1))</f>
        <v>128.92423054779167</v>
      </c>
      <c r="BJ193" s="59">
        <f t="shared" si="146"/>
        <v>127.5443711972687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3.2063664623234645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3.2063664623234645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69.630921957589806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4.8316906031686813E-13</v>
      </c>
      <c r="BZ193" s="13">
        <f>BY193*VLOOKUP('Données projet'!$B$12,Paramètres!$A$1:$I$89,3,0)*VLOOKUP('Données projet'!$B$12,Paramètres!$A$1:$I$89,5,0)</f>
        <v>4.3717136577470225E-13</v>
      </c>
      <c r="CA193" s="13">
        <f t="shared" si="170"/>
        <v>5.5313598682231701E-12</v>
      </c>
      <c r="CB193" s="20">
        <f t="shared" si="171"/>
        <v>1.039519189921296E-11</v>
      </c>
      <c r="CC193" s="59">
        <f t="shared" si="119"/>
        <v>291.98004717783965</v>
      </c>
      <c r="CD193" s="59">
        <f ca="1">AVERAGE(OFFSET($CC$3,0,0,'Données projet'!$E$12+1,1))-AVERAGE(OFFSET($H$3,0,0,'Données projet'!$E$12+1,1))</f>
        <v>601.17090553269054</v>
      </c>
      <c r="CE193" s="59">
        <f t="shared" si="148"/>
        <v>279.37477930888042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161.97312011421124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161.97312011421124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69.630921957589806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-2.8421709430404007E-14</v>
      </c>
      <c r="CU193" s="17">
        <f>CT193*VLOOKUP('Données projet'!$B$13,Paramètres!$A$1:$I$89,3,0)*VLOOKUP('Données projet'!$B$13,Paramètres!$A$1:$I$89,5,0)</f>
        <v>-2.7046098693972454E-14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418.79317359649315</v>
      </c>
      <c r="CZ193" s="59">
        <f t="shared" si="150"/>
        <v>286.46514989661011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41.450687453338752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41.450687453338752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69.630921957589806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69.630921957589806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69.630921957589806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69.630921957589806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69.630921957589806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1.35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1.6983719999999931</v>
      </c>
      <c r="D194" s="11">
        <f t="shared" si="140"/>
        <v>0.7358835008055562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5.0884074421674459</v>
      </c>
      <c r="H194" s="67">
        <f t="shared" si="110"/>
        <v>228.23632833056968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69.637324636490746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4.8316906031686813E-13</v>
      </c>
      <c r="O194" s="13">
        <f>N194*VLOOKUP('Données projet'!$B$9,Paramètres!$A$1:$I$89,3,0)*VLOOKUP('Données projet'!$B$9,Paramètres!$A$1:$I$89,5,0)</f>
        <v>4.8993342716130437E-13</v>
      </c>
      <c r="P194" s="13">
        <f t="shared" si="141"/>
        <v>6.1172634040517391E-12</v>
      </c>
      <c r="Q194" s="20">
        <f t="shared" si="162"/>
        <v>1.1507534481029384E-11</v>
      </c>
      <c r="R194" s="59">
        <f t="shared" si="109"/>
        <v>292.00352366714418</v>
      </c>
      <c r="S194" s="59">
        <f ca="1">AVERAGE(OFFSET($R$3,0,0,'Données projet'!$E$9+1,1))-AVERAGE(OFFSET($H$3,0,0,'Données projet'!$E$9+1,1))</f>
        <v>665.7907881991157</v>
      </c>
      <c r="T194" s="59">
        <f t="shared" si="142"/>
        <v>306.76923535735227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177.96207226672902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177.96207226672902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69.637324636490746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-4.5474735088646412E-13</v>
      </c>
      <c r="AJ194" s="13">
        <f>AI194*VLOOKUP('Données projet'!$B$10,Paramètres!$A$1:$I$89,3,0)*VLOOKUP('Données projet'!$B$10,Paramètres!$A$1:$I$89,5,0)</f>
        <v>-2.1282176021486519E-13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370.42479501931444</v>
      </c>
      <c r="AO194" s="59">
        <f t="shared" si="144"/>
        <v>351.95632347830144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37.592489359816554</v>
      </c>
      <c r="AV194" s="21">
        <f>EXP(-LN(2)/25)*AV193+(1-EXP(-LN(2)/25))/(LN(2)/25)*Calculateur!AQ194*Calculateur!AS194*VLOOKUP('Données projet'!$B$10,Paramètres!$A$1:$I$89,3,0)*0.475*44/12</f>
        <v>7.7637723443988547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45.356261704215406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69.637324636490746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7.1054273576010019E-14</v>
      </c>
      <c r="BE194" s="13">
        <f>BD194*VLOOKUP('Données projet'!$B$11,Paramètres!$A$1:$I$89,3,0)*VLOOKUP('Données projet'!$B$11,Paramètres!$A$1:$I$89,5,0)</f>
        <v>6.2073013396002357E-14</v>
      </c>
      <c r="BF194" s="13">
        <f t="shared" si="167"/>
        <v>9.8573687844725482E-13</v>
      </c>
      <c r="BG194" s="20">
        <f t="shared" si="168"/>
        <v>1.8249355616270061E-12</v>
      </c>
      <c r="BH194" s="59">
        <f t="shared" si="116"/>
        <v>292.00352366713452</v>
      </c>
      <c r="BI194" s="59">
        <f ca="1">AVERAGE(OFFSET($BH$3,0,0,'Données projet'!$E$11+1,1))-AVERAGE(OFFSET($H$3,0,0,'Données projet'!$E$11+1,1))</f>
        <v>128.92423054779167</v>
      </c>
      <c r="BJ194" s="59">
        <f t="shared" si="146"/>
        <v>127.5443711972687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3.143491571687735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3.143491571687735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69.637324636490746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4.8316906031686813E-13</v>
      </c>
      <c r="BZ194" s="13">
        <f>BY194*VLOOKUP('Données projet'!$B$12,Paramètres!$A$1:$I$89,3,0)*VLOOKUP('Données projet'!$B$12,Paramètres!$A$1:$I$89,5,0)</f>
        <v>4.3717136577470225E-13</v>
      </c>
      <c r="CA194" s="13">
        <f t="shared" si="170"/>
        <v>5.5313598682231701E-12</v>
      </c>
      <c r="CB194" s="20">
        <f t="shared" si="171"/>
        <v>1.039519189921296E-11</v>
      </c>
      <c r="CC194" s="59">
        <f t="shared" si="119"/>
        <v>292.0035236671431</v>
      </c>
      <c r="CD194" s="59">
        <f ca="1">AVERAGE(OFFSET($CC$3,0,0,'Données projet'!$E$12+1,1))-AVERAGE(OFFSET($H$3,0,0,'Données projet'!$E$12+1,1))</f>
        <v>601.17090553269054</v>
      </c>
      <c r="CE194" s="59">
        <f t="shared" si="148"/>
        <v>279.37477930888042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158.79692602261974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158.79692602261974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69.637324636490746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-2.8421709430404007E-14</v>
      </c>
      <c r="CU194" s="17">
        <f>CT194*VLOOKUP('Données projet'!$B$13,Paramètres!$A$1:$I$89,3,0)*VLOOKUP('Données projet'!$B$13,Paramètres!$A$1:$I$89,5,0)</f>
        <v>-2.7046098693972454E-14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418.79317359649315</v>
      </c>
      <c r="CZ194" s="59">
        <f t="shared" si="150"/>
        <v>286.46514989661011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40.63786475480169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40.63786475480169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69.637324636490746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69.637324636490746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69.637324636490746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69.637324636490746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69.637324636490746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1.35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1.707263999999993</v>
      </c>
      <c r="D195" s="11">
        <f t="shared" si="140"/>
        <v>0.73928679355100624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5.0893565524846389</v>
      </c>
      <c r="H195" s="67">
        <f t="shared" si="110"/>
        <v>228.25774263210133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69.643616243226987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4.8316906031686813E-13</v>
      </c>
      <c r="O195" s="13">
        <f>N195*VLOOKUP('Données projet'!$B$9,Paramètres!$A$1:$I$89,3,0)*VLOOKUP('Données projet'!$B$9,Paramètres!$A$1:$I$89,5,0)</f>
        <v>4.8993342716130437E-13</v>
      </c>
      <c r="P195" s="13">
        <f t="shared" si="141"/>
        <v>6.1172634040517391E-12</v>
      </c>
      <c r="Q195" s="20">
        <f t="shared" si="162"/>
        <v>1.1507534481029384E-11</v>
      </c>
      <c r="R195" s="59">
        <f t="shared" ref="R195:R203" si="191">Q195+(I195+J195)*44/12</f>
        <v>292.02659289184379</v>
      </c>
      <c r="S195" s="59">
        <f ca="1">AVERAGE(OFFSET($R$3,0,0,'Données projet'!$E$9+1,1))-AVERAGE(OFFSET($H$3,0,0,'Données projet'!$E$9+1,1))</f>
        <v>665.7907881991157</v>
      </c>
      <c r="T195" s="59">
        <f t="shared" si="142"/>
        <v>306.76923535735227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174.47234457572452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174.47234457572452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69.643616243226987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-4.5474735088646412E-13</v>
      </c>
      <c r="AJ195" s="13">
        <f>AI195*VLOOKUP('Données projet'!$B$10,Paramètres!$A$1:$I$89,3,0)*VLOOKUP('Données projet'!$B$10,Paramètres!$A$1:$I$89,5,0)</f>
        <v>-2.1282176021486519E-13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370.42479501931444</v>
      </c>
      <c r="AO195" s="59">
        <f t="shared" si="144"/>
        <v>351.95632347830144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36.855323572624997</v>
      </c>
      <c r="AV195" s="21">
        <f>EXP(-LN(2)/25)*AV194+(1-EXP(-LN(2)/25))/(LN(2)/25)*Calculateur!AQ195*Calculateur!AS195*VLOOKUP('Données projet'!$B$10,Paramètres!$A$1:$I$89,3,0)*0.475*44/12</f>
        <v>7.5514715813622244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44.406795153987218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69.643616243226987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7.1054273576010019E-14</v>
      </c>
      <c r="BE195" s="13">
        <f>BD195*VLOOKUP('Données projet'!$B$11,Paramètres!$A$1:$I$89,3,0)*VLOOKUP('Données projet'!$B$11,Paramètres!$A$1:$I$89,5,0)</f>
        <v>6.2073013396002357E-14</v>
      </c>
      <c r="BF195" s="13">
        <f t="shared" si="167"/>
        <v>9.8573687844725482E-13</v>
      </c>
      <c r="BG195" s="20">
        <f t="shared" si="168"/>
        <v>1.8249355616270061E-12</v>
      </c>
      <c r="BH195" s="59">
        <f t="shared" si="116"/>
        <v>292.02659289183413</v>
      </c>
      <c r="BI195" s="59">
        <f ca="1">AVERAGE(OFFSET($BH$3,0,0,'Données projet'!$E$11+1,1))-AVERAGE(OFFSET($H$3,0,0,'Données projet'!$E$11+1,1))</f>
        <v>128.92423054779167</v>
      </c>
      <c r="BJ195" s="59">
        <f t="shared" si="146"/>
        <v>127.5443711972687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3.0818496193074756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3.0818496193074756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69.643616243226987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4.8316906031686813E-13</v>
      </c>
      <c r="BZ195" s="13">
        <f>BY195*VLOOKUP('Données projet'!$B$12,Paramètres!$A$1:$I$89,3,0)*VLOOKUP('Données projet'!$B$12,Paramètres!$A$1:$I$89,5,0)</f>
        <v>4.3717136577470225E-13</v>
      </c>
      <c r="CA195" s="13">
        <f t="shared" si="170"/>
        <v>5.5313598682231701E-12</v>
      </c>
      <c r="CB195" s="20">
        <f t="shared" si="171"/>
        <v>1.039519189921296E-11</v>
      </c>
      <c r="CC195" s="59">
        <f t="shared" si="119"/>
        <v>292.02659289184271</v>
      </c>
      <c r="CD195" s="59">
        <f ca="1">AVERAGE(OFFSET($CC$3,0,0,'Données projet'!$E$12+1,1))-AVERAGE(OFFSET($H$3,0,0,'Données projet'!$E$12+1,1))</f>
        <v>601.17090553269054</v>
      </c>
      <c r="CE195" s="59">
        <f t="shared" si="148"/>
        <v>279.37477930888042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155.68301515987724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155.68301515987724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69.643616243226987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-2.8421709430404007E-14</v>
      </c>
      <c r="CU195" s="17">
        <f>CT195*VLOOKUP('Données projet'!$B$13,Paramètres!$A$1:$I$89,3,0)*VLOOKUP('Données projet'!$B$13,Paramètres!$A$1:$I$89,5,0)</f>
        <v>-2.7046098693972454E-14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418.79317359649315</v>
      </c>
      <c r="CZ195" s="59">
        <f t="shared" si="150"/>
        <v>286.46514989661011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39.840981013610048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39.840981013610048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69.643616243226987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69.643616243226987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69.643616243226987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69.643616243226987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69.643616243226987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1.35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1.7161559999999929</v>
      </c>
      <c r="D196" s="11">
        <f t="shared" si="140"/>
        <v>0.74268802366565922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5.0903055035812086</v>
      </c>
      <c r="H196" s="67">
        <f t="shared" ref="H196:H203" si="192">(B196+E196+F196)*44/12+(C196+D196)*0.475*44/12</f>
        <v>228.27915334121769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69.649798704652284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4.8316906031686813E-13</v>
      </c>
      <c r="O196" s="13">
        <f>N196*VLOOKUP('Données projet'!$B$9,Paramètres!$A$1:$I$89,3,0)*VLOOKUP('Données projet'!$B$9,Paramètres!$A$1:$I$89,5,0)</f>
        <v>4.8993342716130437E-13</v>
      </c>
      <c r="P196" s="13">
        <f t="shared" si="141"/>
        <v>6.1172634040517391E-12</v>
      </c>
      <c r="Q196" s="20">
        <f t="shared" si="162"/>
        <v>1.1507534481029384E-11</v>
      </c>
      <c r="R196" s="59">
        <f t="shared" si="191"/>
        <v>292.04926191706983</v>
      </c>
      <c r="S196" s="59">
        <f ca="1">AVERAGE(OFFSET($R$3,0,0,'Données projet'!$E$9+1,1))-AVERAGE(OFFSET($H$3,0,0,'Données projet'!$E$9+1,1))</f>
        <v>665.7907881991157</v>
      </c>
      <c r="T196" s="59">
        <f t="shared" si="142"/>
        <v>306.76923535735227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171.05104831621688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171.05104831621688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69.649798704652284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-4.5474735088646412E-13</v>
      </c>
      <c r="AJ196" s="13">
        <f>AI196*VLOOKUP('Données projet'!$B$10,Paramètres!$A$1:$I$89,3,0)*VLOOKUP('Données projet'!$B$10,Paramètres!$A$1:$I$89,5,0)</f>
        <v>-2.1282176021486519E-13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370.42479501931444</v>
      </c>
      <c r="AO196" s="59">
        <f t="shared" si="144"/>
        <v>351.95632347830144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36.132613156893534</v>
      </c>
      <c r="AV196" s="21">
        <f>EXP(-LN(2)/25)*AV195+(1-EXP(-LN(2)/25))/(LN(2)/25)*Calculateur!AQ196*Calculateur!AS196*VLOOKUP('Données projet'!$B$10,Paramètres!$A$1:$I$89,3,0)*0.475*44/12</f>
        <v>7.3449761938552429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43.477589350748779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69.649798704652284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7.1054273576010019E-14</v>
      </c>
      <c r="BE196" s="13">
        <f>BD196*VLOOKUP('Données projet'!$B$11,Paramètres!$A$1:$I$89,3,0)*VLOOKUP('Données projet'!$B$11,Paramètres!$A$1:$I$89,5,0)</f>
        <v>6.2073013396002357E-14</v>
      </c>
      <c r="BF196" s="13">
        <f t="shared" si="167"/>
        <v>9.8573687844725482E-13</v>
      </c>
      <c r="BG196" s="20">
        <f t="shared" si="168"/>
        <v>1.8249355616270061E-12</v>
      </c>
      <c r="BH196" s="59">
        <f t="shared" ref="BH196:BH203" si="194">BG196+(AY196+AZ196)*44/12</f>
        <v>292.04926191706016</v>
      </c>
      <c r="BI196" s="59">
        <f ca="1">AVERAGE(OFFSET($BH$3,0,0,'Données projet'!$E$11+1,1))-AVERAGE(OFFSET($H$3,0,0,'Données projet'!$E$11+1,1))</f>
        <v>128.92423054779167</v>
      </c>
      <c r="BJ196" s="59">
        <f t="shared" si="146"/>
        <v>127.5443711972687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3.0214164280155145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3.0214164280155145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69.649798704652284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4.8316906031686813E-13</v>
      </c>
      <c r="BZ196" s="13">
        <f>BY196*VLOOKUP('Données projet'!$B$12,Paramètres!$A$1:$I$89,3,0)*VLOOKUP('Données projet'!$B$12,Paramètres!$A$1:$I$89,5,0)</f>
        <v>4.3717136577470225E-13</v>
      </c>
      <c r="CA196" s="13">
        <f t="shared" si="170"/>
        <v>5.5313598682231701E-12</v>
      </c>
      <c r="CB196" s="20">
        <f t="shared" si="171"/>
        <v>1.039519189921296E-11</v>
      </c>
      <c r="CC196" s="59">
        <f t="shared" ref="CC196:CC203" si="195">CB196+(BT196+BU196)*44/12</f>
        <v>292.04926191706875</v>
      </c>
      <c r="CD196" s="59">
        <f ca="1">AVERAGE(OFFSET($CC$3,0,0,'Données projet'!$E$12+1,1))-AVERAGE(OFFSET($H$3,0,0,'Données projet'!$E$12+1,1))</f>
        <v>601.17090553269054</v>
      </c>
      <c r="CE196" s="59">
        <f t="shared" si="148"/>
        <v>279.37477930888042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152.63016618985506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152.63016618985506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69.649798704652284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-2.8421709430404007E-14</v>
      </c>
      <c r="CU196" s="17">
        <f>CT196*VLOOKUP('Données projet'!$B$13,Paramètres!$A$1:$I$89,3,0)*VLOOKUP('Données projet'!$B$13,Paramètres!$A$1:$I$89,5,0)</f>
        <v>-2.7046098693972454E-14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418.79317359649315</v>
      </c>
      <c r="CZ196" s="59">
        <f t="shared" si="150"/>
        <v>286.46514989661011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39.059723676532087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39.059723676532087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69.649798704652284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69.649798704652284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69.649798704652284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69.649798704652284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69.649798704652284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1.35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1.7250479999999928</v>
      </c>
      <c r="D197" s="11">
        <f t="shared" ref="D197:D203" si="202">IFERROR(EXP(-1.0587+0.8836*LN(C197)+0.284),0)</f>
        <v>0.74608720307722198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5.0912542963778904</v>
      </c>
      <c r="H197" s="67">
        <f t="shared" si="192"/>
        <v>228.30056047869283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69.655873914193762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4.8316906031686813E-13</v>
      </c>
      <c r="O197" s="13">
        <f>N197*VLOOKUP('Données projet'!$B$9,Paramètres!$A$1:$I$89,3,0)*VLOOKUP('Données projet'!$B$9,Paramètres!$A$1:$I$89,5,0)</f>
        <v>4.8993342716130437E-13</v>
      </c>
      <c r="P197" s="13">
        <f t="shared" ref="P197:P203" si="203">EXP(-1.0587+0.8836*LN(O197)+0.284)</f>
        <v>6.1172634040517391E-12</v>
      </c>
      <c r="Q197" s="20">
        <f t="shared" si="162"/>
        <v>1.1507534481029384E-11</v>
      </c>
      <c r="R197" s="59">
        <f t="shared" si="191"/>
        <v>292.07153768538859</v>
      </c>
      <c r="S197" s="59">
        <f ca="1">AVERAGE(OFFSET($R$3,0,0,'Données projet'!$E$9+1,1))-AVERAGE(OFFSET($H$3,0,0,'Données projet'!$E$9+1,1))</f>
        <v>665.7907881991157</v>
      </c>
      <c r="T197" s="59">
        <f t="shared" ref="T197:T203" si="204">$T$3</f>
        <v>306.76923535735227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167.69684158957352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167.69684158957352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69.655873914193762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-4.5474735088646412E-13</v>
      </c>
      <c r="AJ197" s="13">
        <f>AI197*VLOOKUP('Données projet'!$B$10,Paramètres!$A$1:$I$89,3,0)*VLOOKUP('Données projet'!$B$10,Paramètres!$A$1:$I$89,5,0)</f>
        <v>-2.1282176021486519E-13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370.42479501931444</v>
      </c>
      <c r="AO197" s="59">
        <f t="shared" ref="AO197:AO203" si="205">$AO$3</f>
        <v>351.95632347830144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35.424074651604734</v>
      </c>
      <c r="AV197" s="21">
        <f>EXP(-LN(2)/25)*AV196+(1-EXP(-LN(2)/25))/(LN(2)/25)*Calculateur!AQ197*Calculateur!AS197*VLOOKUP('Données projet'!$B$10,Paramètres!$A$1:$I$89,3,0)*0.475*44/12</f>
        <v>7.1441274335787606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42.568202085183493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69.655873914193762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7.1054273576010019E-14</v>
      </c>
      <c r="BE197" s="13">
        <f>BD197*VLOOKUP('Données projet'!$B$11,Paramètres!$A$1:$I$89,3,0)*VLOOKUP('Données projet'!$B$11,Paramètres!$A$1:$I$89,5,0)</f>
        <v>6.2073013396002357E-14</v>
      </c>
      <c r="BF197" s="13">
        <f t="shared" si="167"/>
        <v>9.8573687844725482E-13</v>
      </c>
      <c r="BG197" s="20">
        <f t="shared" si="168"/>
        <v>1.8249355616270061E-12</v>
      </c>
      <c r="BH197" s="59">
        <f t="shared" si="194"/>
        <v>292.07153768537893</v>
      </c>
      <c r="BI197" s="59">
        <f ca="1">AVERAGE(OFFSET($BH$3,0,0,'Données projet'!$E$11+1,1))-AVERAGE(OFFSET($H$3,0,0,'Données projet'!$E$11+1,1))</f>
        <v>128.92423054779167</v>
      </c>
      <c r="BJ197" s="59">
        <f t="shared" ref="BJ197:BJ203" si="206">$BJ$3</f>
        <v>127.5443711972687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2.9621682947441816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2.9621682947441816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69.655873914193762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4.8316906031686813E-13</v>
      </c>
      <c r="BZ197" s="13">
        <f>BY197*VLOOKUP('Données projet'!$B$12,Paramètres!$A$1:$I$89,3,0)*VLOOKUP('Données projet'!$B$12,Paramètres!$A$1:$I$89,5,0)</f>
        <v>4.3717136577470225E-13</v>
      </c>
      <c r="CA197" s="13">
        <f t="shared" si="170"/>
        <v>5.5313598682231701E-12</v>
      </c>
      <c r="CB197" s="20">
        <f t="shared" si="171"/>
        <v>1.039519189921296E-11</v>
      </c>
      <c r="CC197" s="59">
        <f t="shared" si="195"/>
        <v>292.07153768538751</v>
      </c>
      <c r="CD197" s="59">
        <f ca="1">AVERAGE(OFFSET($CC$3,0,0,'Données projet'!$E$12+1,1))-AVERAGE(OFFSET($H$3,0,0,'Données projet'!$E$12+1,1))</f>
        <v>601.17090553269054</v>
      </c>
      <c r="CE197" s="59">
        <f t="shared" ref="CE197:CE203" si="207">$CE$3</f>
        <v>279.37477930888042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149.637181726081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149.637181726081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69.655873914193762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-2.8421709430404007E-14</v>
      </c>
      <c r="CU197" s="17">
        <f>CT197*VLOOKUP('Données projet'!$B$13,Paramètres!$A$1:$I$89,3,0)*VLOOKUP('Données projet'!$B$13,Paramètres!$A$1:$I$89,5,0)</f>
        <v>-2.7046098693972454E-14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418.79317359649315</v>
      </c>
      <c r="CZ197" s="59">
        <f t="shared" ref="CZ197:CZ203" si="208">$CZ$3</f>
        <v>286.46514989661011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38.2937863193143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38.2937863193143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69.655873914193762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69.655873914193762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69.655873914193762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69.655873914193762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69.655873914193762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1.35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1.7339399999999927</v>
      </c>
      <c r="D198" s="11">
        <f t="shared" si="202"/>
        <v>0.74948434358331595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5.0922029317853781</v>
      </c>
      <c r="H198" s="67">
        <f t="shared" si="192"/>
        <v>228.32196406507427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69.661843732431834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4.8316906031686813E-13</v>
      </c>
      <c r="O198" s="13">
        <f>N198*VLOOKUP('Données projet'!$B$9,Paramètres!$A$1:$I$89,3,0)*VLOOKUP('Données projet'!$B$9,Paramètres!$A$1:$I$89,5,0)</f>
        <v>4.8993342716130437E-13</v>
      </c>
      <c r="P198" s="13">
        <f t="shared" si="203"/>
        <v>6.1172634040517391E-12</v>
      </c>
      <c r="Q198" s="20">
        <f t="shared" si="162"/>
        <v>1.1507534481029384E-11</v>
      </c>
      <c r="R198" s="59">
        <f t="shared" si="191"/>
        <v>292.0934270189282</v>
      </c>
      <c r="S198" s="59">
        <f ca="1">AVERAGE(OFFSET($R$3,0,0,'Données projet'!$E$9+1,1))-AVERAGE(OFFSET($H$3,0,0,'Données projet'!$E$9+1,1))</f>
        <v>665.7907881991157</v>
      </c>
      <c r="T198" s="59">
        <f t="shared" si="204"/>
        <v>306.76923535735227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164.40840881097554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164.40840881097554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69.661843732431834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-4.5474735088646412E-13</v>
      </c>
      <c r="AJ198" s="13">
        <f>AI198*VLOOKUP('Données projet'!$B$10,Paramètres!$A$1:$I$89,3,0)*VLOOKUP('Données projet'!$B$10,Paramètres!$A$1:$I$89,5,0)</f>
        <v>-2.1282176021486519E-13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370.42479501931444</v>
      </c>
      <c r="AO198" s="59">
        <f t="shared" si="205"/>
        <v>351.95632347830144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34.729430154238834</v>
      </c>
      <c r="AV198" s="21">
        <f>EXP(-LN(2)/25)*AV197+(1-EXP(-LN(2)/25))/(LN(2)/25)*Calculateur!AQ198*Calculateur!AS198*VLOOKUP('Données projet'!$B$10,Paramètres!$A$1:$I$89,3,0)*0.475*44/12</f>
        <v>6.948770893214216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41.678201047453051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69.661843732431834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7.1054273576010019E-14</v>
      </c>
      <c r="BE198" s="13">
        <f>BD198*VLOOKUP('Données projet'!$B$11,Paramètres!$A$1:$I$89,3,0)*VLOOKUP('Données projet'!$B$11,Paramètres!$A$1:$I$89,5,0)</f>
        <v>6.2073013396002357E-14</v>
      </c>
      <c r="BF198" s="13">
        <f t="shared" si="167"/>
        <v>9.8573687844725482E-13</v>
      </c>
      <c r="BG198" s="20">
        <f t="shared" si="168"/>
        <v>1.8249355616270061E-12</v>
      </c>
      <c r="BH198" s="59">
        <f t="shared" si="194"/>
        <v>292.09342701891853</v>
      </c>
      <c r="BI198" s="59">
        <f ca="1">AVERAGE(OFFSET($BH$3,0,0,'Données projet'!$E$11+1,1))-AVERAGE(OFFSET($H$3,0,0,'Données projet'!$E$11+1,1))</f>
        <v>128.92423054779167</v>
      </c>
      <c r="BJ198" s="59">
        <f t="shared" si="206"/>
        <v>127.5443711972687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2.904081981228507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2.904081981228507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69.661843732431834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4.8316906031686813E-13</v>
      </c>
      <c r="BZ198" s="13">
        <f>BY198*VLOOKUP('Données projet'!$B$12,Paramètres!$A$1:$I$89,3,0)*VLOOKUP('Données projet'!$B$12,Paramètres!$A$1:$I$89,5,0)</f>
        <v>4.3717136577470225E-13</v>
      </c>
      <c r="CA198" s="13">
        <f t="shared" si="170"/>
        <v>5.5313598682231701E-12</v>
      </c>
      <c r="CB198" s="20">
        <f t="shared" si="171"/>
        <v>1.039519189921296E-11</v>
      </c>
      <c r="CC198" s="59">
        <f t="shared" si="195"/>
        <v>292.09342701892712</v>
      </c>
      <c r="CD198" s="59">
        <f ca="1">AVERAGE(OFFSET($CC$3,0,0,'Données projet'!$E$12+1,1))-AVERAGE(OFFSET($H$3,0,0,'Données projet'!$E$12+1,1))</f>
        <v>601.17090553269054</v>
      </c>
      <c r="CE198" s="59">
        <f t="shared" si="207"/>
        <v>279.37477930888042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146.70288786210128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146.70288786210128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69.661843732431834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-2.8421709430404007E-14</v>
      </c>
      <c r="CU198" s="17">
        <f>CT198*VLOOKUP('Données projet'!$B$13,Paramètres!$A$1:$I$89,3,0)*VLOOKUP('Données projet'!$B$13,Paramètres!$A$1:$I$89,5,0)</f>
        <v>-2.7046098693972454E-14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418.79317359649315</v>
      </c>
      <c r="CZ198" s="59">
        <f t="shared" si="208"/>
        <v>286.46514989661011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37.542868526495901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37.542868526495901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69.661843732431834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69.661843732431834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69.661843732431834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69.661843732431834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69.661843732431834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1.35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1.7428319999999926</v>
      </c>
      <c r="D199" s="11">
        <f t="shared" si="202"/>
        <v>0.75287945685355584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5.0931514107044844</v>
      </c>
      <c r="H199" s="67">
        <f t="shared" si="192"/>
        <v>228.3433641206866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69.66770998766998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4.8316906031686813E-13</v>
      </c>
      <c r="O199" s="13">
        <f>N199*VLOOKUP('Données projet'!$B$9,Paramètres!$A$1:$I$89,3,0)*VLOOKUP('Données projet'!$B$9,Paramètres!$A$1:$I$89,5,0)</f>
        <v>4.8993342716130437E-13</v>
      </c>
      <c r="P199" s="13">
        <f t="shared" si="203"/>
        <v>6.1172634040517391E-12</v>
      </c>
      <c r="Q199" s="20">
        <f t="shared" si="162"/>
        <v>1.1507534481029384E-11</v>
      </c>
      <c r="R199" s="59">
        <f t="shared" si="191"/>
        <v>292.11493662146808</v>
      </c>
      <c r="S199" s="59">
        <f ca="1">AVERAGE(OFFSET($R$3,0,0,'Données projet'!$E$9+1,1))-AVERAGE(OFFSET($H$3,0,0,'Données projet'!$E$9+1,1))</f>
        <v>665.7907881991157</v>
      </c>
      <c r="T199" s="59">
        <f t="shared" si="204"/>
        <v>306.76923535735227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161.18446019341994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161.18446019341994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69.66770998766998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-4.5474735088646412E-13</v>
      </c>
      <c r="AJ199" s="13">
        <f>AI199*VLOOKUP('Données projet'!$B$10,Paramètres!$A$1:$I$89,3,0)*VLOOKUP('Données projet'!$B$10,Paramètres!$A$1:$I$89,5,0)</f>
        <v>-2.1282176021486519E-13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370.42479501931444</v>
      </c>
      <c r="AO199" s="59">
        <f t="shared" si="205"/>
        <v>351.95632347830144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34.048407211774972</v>
      </c>
      <c r="AV199" s="21">
        <f>EXP(-LN(2)/25)*AV198+(1-EXP(-LN(2)/25))/(LN(2)/25)*Calculateur!AQ199*Calculateur!AS199*VLOOKUP('Données projet'!$B$10,Paramètres!$A$1:$I$89,3,0)*0.475*44/12</f>
        <v>6.758756387719294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40.807163599494267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69.66770998766998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7.1054273576010019E-14</v>
      </c>
      <c r="BE199" s="13">
        <f>BD199*VLOOKUP('Données projet'!$B$11,Paramètres!$A$1:$I$89,3,0)*VLOOKUP('Données projet'!$B$11,Paramètres!$A$1:$I$89,5,0)</f>
        <v>6.2073013396002357E-14</v>
      </c>
      <c r="BF199" s="13">
        <f t="shared" si="167"/>
        <v>9.8573687844725482E-13</v>
      </c>
      <c r="BG199" s="20">
        <f t="shared" si="168"/>
        <v>1.8249355616270061E-12</v>
      </c>
      <c r="BH199" s="59">
        <f t="shared" si="194"/>
        <v>292.11493662145841</v>
      </c>
      <c r="BI199" s="59">
        <f ca="1">AVERAGE(OFFSET($BH$3,0,0,'Données projet'!$E$11+1,1))-AVERAGE(OFFSET($H$3,0,0,'Données projet'!$E$11+1,1))</f>
        <v>128.92423054779167</v>
      </c>
      <c r="BJ199" s="59">
        <f t="shared" si="206"/>
        <v>127.5443711972687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2.8471347048917215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2.8471347048917215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69.66770998766998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4.8316906031686813E-13</v>
      </c>
      <c r="BZ199" s="13">
        <f>BY199*VLOOKUP('Données projet'!$B$12,Paramètres!$A$1:$I$89,3,0)*VLOOKUP('Données projet'!$B$12,Paramètres!$A$1:$I$89,5,0)</f>
        <v>4.3717136577470225E-13</v>
      </c>
      <c r="CA199" s="13">
        <f t="shared" si="170"/>
        <v>5.5313598682231701E-12</v>
      </c>
      <c r="CB199" s="20">
        <f t="shared" si="171"/>
        <v>1.039519189921296E-11</v>
      </c>
      <c r="CC199" s="59">
        <f t="shared" si="195"/>
        <v>292.114936621467</v>
      </c>
      <c r="CD199" s="59">
        <f ca="1">AVERAGE(OFFSET($CC$3,0,0,'Données projet'!$E$12+1,1))-AVERAGE(OFFSET($H$3,0,0,'Données projet'!$E$12+1,1))</f>
        <v>601.17090553269054</v>
      </c>
      <c r="CE199" s="59">
        <f t="shared" si="207"/>
        <v>279.37477930888042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143.82613371105165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143.82613371105165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69.66770998766998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-2.8421709430404007E-14</v>
      </c>
      <c r="CU199" s="17">
        <f>CT199*VLOOKUP('Données projet'!$B$13,Paramètres!$A$1:$I$89,3,0)*VLOOKUP('Données projet'!$B$13,Paramètres!$A$1:$I$89,5,0)</f>
        <v>-2.7046098693972454E-14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418.79317359649315</v>
      </c>
      <c r="CZ199" s="59">
        <f t="shared" si="208"/>
        <v>286.46514989661011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36.806675773580039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36.806675773580039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69.66770998766998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69.66770998766998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69.66770998766998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69.66770998766998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69.66770998766998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1.35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1.7517239999999925</v>
      </c>
      <c r="D200" s="11">
        <f t="shared" si="202"/>
        <v>0.75627255443158359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5.0940997340262975</v>
      </c>
      <c r="H200" s="67">
        <f t="shared" si="192"/>
        <v>228.364760665635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69.673474476494732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4.8316906031686813E-13</v>
      </c>
      <c r="O200" s="13">
        <f>N200*VLOOKUP('Données projet'!$B$9,Paramètres!$A$1:$I$89,3,0)*VLOOKUP('Données projet'!$B$9,Paramètres!$A$1:$I$89,5,0)</f>
        <v>4.8993342716130437E-13</v>
      </c>
      <c r="P200" s="13">
        <f t="shared" si="203"/>
        <v>6.1172634040517391E-12</v>
      </c>
      <c r="Q200" s="20">
        <f t="shared" si="162"/>
        <v>1.1507534481029384E-11</v>
      </c>
      <c r="R200" s="59">
        <f t="shared" si="191"/>
        <v>292.13607308049217</v>
      </c>
      <c r="S200" s="59">
        <f ca="1">AVERAGE(OFFSET($R$3,0,0,'Données projet'!$E$9+1,1))-AVERAGE(OFFSET($H$3,0,0,'Données projet'!$E$9+1,1))</f>
        <v>665.7907881991157</v>
      </c>
      <c r="T200" s="59">
        <f t="shared" si="204"/>
        <v>306.76923535735227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158.0237312418401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158.0237312418401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69.673474476494732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-4.5474735088646412E-13</v>
      </c>
      <c r="AJ200" s="13">
        <f>AI200*VLOOKUP('Données projet'!$B$10,Paramètres!$A$1:$I$89,3,0)*VLOOKUP('Données projet'!$B$10,Paramètres!$A$1:$I$89,5,0)</f>
        <v>-2.1282176021486519E-13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370.42479501931444</v>
      </c>
      <c r="AO200" s="59">
        <f t="shared" si="205"/>
        <v>351.95632347830144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33.380738713829842</v>
      </c>
      <c r="AV200" s="21">
        <f>EXP(-LN(2)/25)*AV199+(1-EXP(-LN(2)/25))/(LN(2)/25)*Calculateur!AQ200*Calculateur!AS200*VLOOKUP('Données projet'!$B$10,Paramètres!$A$1:$I$89,3,0)*0.475*44/12</f>
        <v>6.5739378388695586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39.954676552699404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69.673474476494732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7.1054273576010019E-14</v>
      </c>
      <c r="BE200" s="13">
        <f>BD200*VLOOKUP('Données projet'!$B$11,Paramètres!$A$1:$I$89,3,0)*VLOOKUP('Données projet'!$B$11,Paramètres!$A$1:$I$89,5,0)</f>
        <v>6.2073013396002357E-14</v>
      </c>
      <c r="BF200" s="13">
        <f t="shared" si="167"/>
        <v>9.8573687844725482E-13</v>
      </c>
      <c r="BG200" s="20">
        <f t="shared" si="168"/>
        <v>1.8249355616270061E-12</v>
      </c>
      <c r="BH200" s="59">
        <f t="shared" si="194"/>
        <v>292.1360730804825</v>
      </c>
      <c r="BI200" s="59">
        <f ca="1">AVERAGE(OFFSET($BH$3,0,0,'Données projet'!$E$11+1,1))-AVERAGE(OFFSET($H$3,0,0,'Données projet'!$E$11+1,1))</f>
        <v>128.92423054779167</v>
      </c>
      <c r="BJ200" s="59">
        <f t="shared" si="206"/>
        <v>127.5443711972687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2.7913041299094918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2.7913041299094918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69.673474476494732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4.8316906031686813E-13</v>
      </c>
      <c r="BZ200" s="13">
        <f>BY200*VLOOKUP('Données projet'!$B$12,Paramètres!$A$1:$I$89,3,0)*VLOOKUP('Données projet'!$B$12,Paramètres!$A$1:$I$89,5,0)</f>
        <v>4.3717136577470225E-13</v>
      </c>
      <c r="CA200" s="13">
        <f t="shared" si="170"/>
        <v>5.5313598682231701E-12</v>
      </c>
      <c r="CB200" s="20">
        <f t="shared" si="171"/>
        <v>1.039519189921296E-11</v>
      </c>
      <c r="CC200" s="59">
        <f t="shared" si="195"/>
        <v>292.13607308049109</v>
      </c>
      <c r="CD200" s="59">
        <f ca="1">AVERAGE(OFFSET($CC$3,0,0,'Données projet'!$E$12+1,1))-AVERAGE(OFFSET($H$3,0,0,'Données projet'!$E$12+1,1))</f>
        <v>601.17090553269054</v>
      </c>
      <c r="CE200" s="59">
        <f t="shared" si="207"/>
        <v>279.37477930888042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141.00579095425735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141.00579095425735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69.673474476494732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-2.8421709430404007E-14</v>
      </c>
      <c r="CU200" s="17">
        <f>CT200*VLOOKUP('Données projet'!$B$13,Paramètres!$A$1:$I$89,3,0)*VLOOKUP('Données projet'!$B$13,Paramètres!$A$1:$I$89,5,0)</f>
        <v>-2.7046098693972454E-14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418.79317359649315</v>
      </c>
      <c r="CZ200" s="59">
        <f t="shared" si="208"/>
        <v>286.46514989661011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36.08491931151562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36.08491931151562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69.673474476494732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69.673474476494732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69.673474476494732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69.673474476494732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69.673474476494732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1.35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1.7606159999999924</v>
      </c>
      <c r="D201" s="11">
        <f t="shared" si="202"/>
        <v>0.75966364773706174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5.0950479026323343</v>
      </c>
      <c r="H201" s="67">
        <f t="shared" si="192"/>
        <v>228.3861537198087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69.67913896432583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4.8316906031686813E-13</v>
      </c>
      <c r="O201" s="13">
        <f>N201*VLOOKUP('Données projet'!$B$9,Paramètres!$A$1:$I$89,3,0)*VLOOKUP('Données projet'!$B$9,Paramètres!$A$1:$I$89,5,0)</f>
        <v>4.8993342716130437E-13</v>
      </c>
      <c r="P201" s="13">
        <f t="shared" si="203"/>
        <v>6.1172634040517391E-12</v>
      </c>
      <c r="Q201" s="20">
        <f t="shared" si="162"/>
        <v>1.1507534481029384E-11</v>
      </c>
      <c r="R201" s="59">
        <f t="shared" si="191"/>
        <v>292.15684286920617</v>
      </c>
      <c r="S201" s="59">
        <f ca="1">AVERAGE(OFFSET($R$3,0,0,'Données projet'!$E$9+1,1))-AVERAGE(OFFSET($H$3,0,0,'Données projet'!$E$9+1,1))</f>
        <v>665.7907881991157</v>
      </c>
      <c r="T201" s="59">
        <f t="shared" si="204"/>
        <v>306.76923535735227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154.92498225714644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154.92498225714644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69.67913896432583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-4.5474735088646412E-13</v>
      </c>
      <c r="AJ201" s="13">
        <f>AI201*VLOOKUP('Données projet'!$B$10,Paramètres!$A$1:$I$89,3,0)*VLOOKUP('Données projet'!$B$10,Paramètres!$A$1:$I$89,5,0)</f>
        <v>-2.1282176021486519E-13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370.42479501931444</v>
      </c>
      <c r="AO201" s="59">
        <f t="shared" si="205"/>
        <v>351.95632347830144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32.726162787891845</v>
      </c>
      <c r="AV201" s="21">
        <f>EXP(-LN(2)/25)*AV200+(1-EXP(-LN(2)/25))/(LN(2)/25)*Calculateur!AQ201*Calculateur!AS201*VLOOKUP('Données projet'!$B$10,Paramètres!$A$1:$I$89,3,0)*0.475*44/12</f>
        <v>6.3941731629573049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39.120335950849153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69.67913896432583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7.1054273576010019E-14</v>
      </c>
      <c r="BE201" s="13">
        <f>BD201*VLOOKUP('Données projet'!$B$11,Paramètres!$A$1:$I$89,3,0)*VLOOKUP('Données projet'!$B$11,Paramètres!$A$1:$I$89,5,0)</f>
        <v>6.2073013396002357E-14</v>
      </c>
      <c r="BF201" s="13">
        <f t="shared" si="167"/>
        <v>9.8573687844725482E-13</v>
      </c>
      <c r="BG201" s="20">
        <f t="shared" si="168"/>
        <v>1.8249355616270061E-12</v>
      </c>
      <c r="BH201" s="59">
        <f t="shared" si="194"/>
        <v>292.15684286919651</v>
      </c>
      <c r="BI201" s="59">
        <f ca="1">AVERAGE(OFFSET($BH$3,0,0,'Données projet'!$E$11+1,1))-AVERAGE(OFFSET($H$3,0,0,'Données projet'!$E$11+1,1))</f>
        <v>128.92423054779167</v>
      </c>
      <c r="BJ201" s="59">
        <f t="shared" si="206"/>
        <v>127.5443711972687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2.7365683584493752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2.7365683584493752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69.67913896432583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4.8316906031686813E-13</v>
      </c>
      <c r="BZ201" s="13">
        <f>BY201*VLOOKUP('Données projet'!$B$12,Paramètres!$A$1:$I$89,3,0)*VLOOKUP('Données projet'!$B$12,Paramètres!$A$1:$I$89,5,0)</f>
        <v>4.3717136577470225E-13</v>
      </c>
      <c r="CA201" s="13">
        <f t="shared" si="170"/>
        <v>5.5313598682231701E-12</v>
      </c>
      <c r="CB201" s="20">
        <f t="shared" si="171"/>
        <v>1.039519189921296E-11</v>
      </c>
      <c r="CC201" s="59">
        <f t="shared" si="195"/>
        <v>292.15684286920509</v>
      </c>
      <c r="CD201" s="59">
        <f ca="1">AVERAGE(OFFSET($CC$3,0,0,'Données projet'!$E$12+1,1))-AVERAGE(OFFSET($H$3,0,0,'Données projet'!$E$12+1,1))</f>
        <v>601.17090553269054</v>
      </c>
      <c r="CE201" s="59">
        <f t="shared" si="207"/>
        <v>279.37477930888042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138.24075339868455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138.24075339868455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69.67913896432583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-2.8421709430404007E-14</v>
      </c>
      <c r="CU201" s="17">
        <f>CT201*VLOOKUP('Données projet'!$B$13,Paramètres!$A$1:$I$89,3,0)*VLOOKUP('Données projet'!$B$13,Paramètres!$A$1:$I$89,5,0)</f>
        <v>-2.7046098693972454E-14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418.79317359649315</v>
      </c>
      <c r="CZ201" s="59">
        <f t="shared" si="208"/>
        <v>286.46514989661011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35.377316053444311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35.377316053444311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69.67913896432583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69.67913896432583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69.67913896432583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69.67913896432583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69.67913896432583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1.35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1.7695079999999923</v>
      </c>
      <c r="D202" s="11">
        <f t="shared" si="202"/>
        <v>0.76305274806762324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5.0959959173946929</v>
      </c>
      <c r="H202" s="67">
        <f t="shared" si="192"/>
        <v>228.40754330288442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69.684705185956972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4.8316906031686813E-13</v>
      </c>
      <c r="O202" s="13">
        <f>N202*VLOOKUP('Données projet'!$B$9,Paramètres!$A$1:$I$89,3,0)*VLOOKUP('Données projet'!$B$9,Paramètres!$A$1:$I$89,5,0)</f>
        <v>4.8993342716130437E-13</v>
      </c>
      <c r="P202" s="13">
        <f t="shared" si="203"/>
        <v>6.1172634040517391E-12</v>
      </c>
      <c r="Q202" s="20">
        <f t="shared" si="162"/>
        <v>1.1507534481029384E-11</v>
      </c>
      <c r="R202" s="59">
        <f t="shared" si="191"/>
        <v>292.17725234852037</v>
      </c>
      <c r="S202" s="59">
        <f ca="1">AVERAGE(OFFSET($R$3,0,0,'Données projet'!$E$9+1,1))-AVERAGE(OFFSET($H$3,0,0,'Données projet'!$E$9+1,1))</f>
        <v>665.7907881991157</v>
      </c>
      <c r="T202" s="59">
        <f t="shared" si="204"/>
        <v>306.76923535735227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151.88699784999238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151.88699784999238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69.684705185956972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-4.5474735088646412E-13</v>
      </c>
      <c r="AJ202" s="13">
        <f>AI202*VLOOKUP('Données projet'!$B$10,Paramètres!$A$1:$I$89,3,0)*VLOOKUP('Données projet'!$B$10,Paramètres!$A$1:$I$89,5,0)</f>
        <v>-2.1282176021486519E-13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370.42479501931444</v>
      </c>
      <c r="AO202" s="59">
        <f t="shared" si="205"/>
        <v>351.95632347830144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32.0844226966096</v>
      </c>
      <c r="AV202" s="21">
        <f>EXP(-LN(2)/25)*AV201+(1-EXP(-LN(2)/25))/(LN(2)/25)*Calculateur!AQ202*Calculateur!AS202*VLOOKUP('Données projet'!$B$10,Paramètres!$A$1:$I$89,3,0)*0.475*44/12</f>
        <v>6.2193241615612846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38.303746858170882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69.684705185956972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7.1054273576010019E-14</v>
      </c>
      <c r="BE202" s="13">
        <f>BD202*VLOOKUP('Données projet'!$B$11,Paramètres!$A$1:$I$89,3,0)*VLOOKUP('Données projet'!$B$11,Paramètres!$A$1:$I$89,5,0)</f>
        <v>6.2073013396002357E-14</v>
      </c>
      <c r="BF202" s="13">
        <f t="shared" si="167"/>
        <v>9.8573687844725482E-13</v>
      </c>
      <c r="BG202" s="20">
        <f t="shared" si="168"/>
        <v>1.8249355616270061E-12</v>
      </c>
      <c r="BH202" s="59">
        <f t="shared" si="194"/>
        <v>292.17725234851071</v>
      </c>
      <c r="BI202" s="59">
        <f ca="1">AVERAGE(OFFSET($BH$3,0,0,'Données projet'!$E$11+1,1))-AVERAGE(OFFSET($H$3,0,0,'Données projet'!$E$11+1,1))</f>
        <v>128.92423054779167</v>
      </c>
      <c r="BJ202" s="59">
        <f t="shared" si="206"/>
        <v>127.5443711972687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2.6829059220820675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2.6829059220820675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69.684705185956972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4.8316906031686813E-13</v>
      </c>
      <c r="BZ202" s="13">
        <f>BY202*VLOOKUP('Données projet'!$B$12,Paramètres!$A$1:$I$89,3,0)*VLOOKUP('Données projet'!$B$12,Paramètres!$A$1:$I$89,5,0)</f>
        <v>4.3717136577470225E-13</v>
      </c>
      <c r="CA202" s="13">
        <f t="shared" si="170"/>
        <v>5.5313598682231701E-12</v>
      </c>
      <c r="CB202" s="20">
        <f t="shared" si="171"/>
        <v>1.039519189921296E-11</v>
      </c>
      <c r="CC202" s="59">
        <f t="shared" si="195"/>
        <v>292.17725234851929</v>
      </c>
      <c r="CD202" s="59">
        <f ca="1">AVERAGE(OFFSET($CC$3,0,0,'Données projet'!$E$12+1,1))-AVERAGE(OFFSET($H$3,0,0,'Données projet'!$E$12+1,1))</f>
        <v>601.17090553269054</v>
      </c>
      <c r="CE202" s="59">
        <f t="shared" si="207"/>
        <v>279.37477930888042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135.52993654307016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135.52993654307016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69.684705185956972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-2.8421709430404007E-14</v>
      </c>
      <c r="CU202" s="17">
        <f>CT202*VLOOKUP('Données projet'!$B$13,Paramètres!$A$1:$I$89,3,0)*VLOOKUP('Données projet'!$B$13,Paramètres!$A$1:$I$89,5,0)</f>
        <v>-2.7046098693972454E-14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418.79317359649315</v>
      </c>
      <c r="CZ202" s="59">
        <f t="shared" si="208"/>
        <v>286.46514989661011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34.683588463668407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34.683588463668407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69.684705185956972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69.684705185956972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69.684705185956972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69.684705185956972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69.684705185956972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1.35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1.7783999999999922</v>
      </c>
      <c r="D203" s="11">
        <f t="shared" si="202"/>
        <v>0.76643986660078256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59.74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5.0969437791762005</v>
      </c>
      <c r="H203" s="67">
        <f t="shared" si="192"/>
        <v>228.42892943432969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69.690174846087018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4.8316906031686813E-13</v>
      </c>
      <c r="O203" s="13">
        <f>N203*VLOOKUP('Données projet'!$B$9,Paramètres!$A$1:$I$89,3,0)*VLOOKUP('Données projet'!$B$9,Paramètres!$A$1:$I$89,5,0)</f>
        <v>4.8993342716130437E-13</v>
      </c>
      <c r="P203" s="13">
        <f t="shared" si="203"/>
        <v>6.1172634040517391E-12</v>
      </c>
      <c r="Q203" s="20">
        <f t="shared" si="162"/>
        <v>1.1507534481029384E-11</v>
      </c>
      <c r="R203" s="59">
        <f t="shared" si="191"/>
        <v>292.19730776899718</v>
      </c>
      <c r="S203" s="59">
        <f ca="1">AVERAGE(OFFSET($R$3,0,0,'Données projet'!$E$9+1,1))-AVERAGE(OFFSET($H$3,0,0,'Données projet'!$E$9+1,1))</f>
        <v>665.7907881991157</v>
      </c>
      <c r="T203" s="59">
        <f t="shared" si="204"/>
        <v>306.76923535735227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148.90858646407509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148.90858646407509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69.690174846087018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-4.5474735088646412E-13</v>
      </c>
      <c r="AJ203" s="13">
        <f>AI203*VLOOKUP('Données projet'!$B$10,Paramètres!$A$1:$I$89,3,0)*VLOOKUP('Données projet'!$B$10,Paramètres!$A$1:$I$89,5,0)</f>
        <v>-2.1282176021486519E-13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370.42479501931444</v>
      </c>
      <c r="AO203" s="59">
        <f t="shared" si="205"/>
        <v>351.95632347830144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31.455266737094597</v>
      </c>
      <c r="AV203" s="21">
        <f>EXP(-LN(2)/25)*AV202+(1-EXP(-LN(2)/25))/(LN(2)/25)*Calculateur!AQ203*Calculateur!AS203*VLOOKUP('Données projet'!$B$10,Paramètres!$A$1:$I$89,3,0)*0.475*44/12</f>
        <v>6.0492564153033479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37.504523152397944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69.690174846087018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7.1054273576010019E-14</v>
      </c>
      <c r="BE203" s="13">
        <f>BD203*VLOOKUP('Données projet'!$B$11,Paramètres!$A$1:$I$89,3,0)*VLOOKUP('Données projet'!$B$11,Paramètres!$A$1:$I$89,5,0)</f>
        <v>6.2073013396002357E-14</v>
      </c>
      <c r="BF203" s="13">
        <f t="shared" si="167"/>
        <v>9.8573687844725482E-13</v>
      </c>
      <c r="BG203" s="20">
        <f t="shared" si="168"/>
        <v>1.8249355616270061E-12</v>
      </c>
      <c r="BH203" s="59">
        <f t="shared" si="194"/>
        <v>292.19730776898751</v>
      </c>
      <c r="BI203" s="59">
        <f ca="1">AVERAGE(OFFSET($BH$3,0,0,'Données projet'!$E$11+1,1))-AVERAGE(OFFSET($H$3,0,0,'Données projet'!$E$11+1,1))</f>
        <v>128.92423054779167</v>
      </c>
      <c r="BJ203" s="59">
        <f t="shared" si="206"/>
        <v>127.5443711972687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2.6302957733610683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2.6302957733610683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69.690174846087018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4.8316906031686813E-13</v>
      </c>
      <c r="BZ203" s="13">
        <f>BY203*VLOOKUP('Données projet'!$B$12,Paramètres!$A$1:$I$89,3,0)*VLOOKUP('Données projet'!$B$12,Paramètres!$A$1:$I$89,5,0)</f>
        <v>4.3717136577470225E-13</v>
      </c>
      <c r="CA203" s="13">
        <f t="shared" si="170"/>
        <v>5.5313598682231701E-12</v>
      </c>
      <c r="CB203" s="20">
        <f t="shared" si="171"/>
        <v>1.039519189921296E-11</v>
      </c>
      <c r="CC203" s="59">
        <f t="shared" si="195"/>
        <v>292.1973077689961</v>
      </c>
      <c r="CD203" s="59">
        <f ca="1">AVERAGE(OFFSET($CC$3,0,0,'Données projet'!$E$12+1,1))-AVERAGE(OFFSET($H$3,0,0,'Données projet'!$E$12+1,1))</f>
        <v>601.17090553269054</v>
      </c>
      <c r="CE203" s="59">
        <f t="shared" si="207"/>
        <v>279.37477930888042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132.87227715255935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132.87227715255935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69.690174846087018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-2.8421709430404007E-14</v>
      </c>
      <c r="CU203" s="17">
        <f>CT203*VLOOKUP('Données projet'!$B$13,Paramètres!$A$1:$I$89,3,0)*VLOOKUP('Données projet'!$B$13,Paramètres!$A$1:$I$89,5,0)</f>
        <v>-2.7046098693972454E-14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418.79317359649315</v>
      </c>
      <c r="CZ203" s="59">
        <f t="shared" si="208"/>
        <v>286.46514989661011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34.00346444879596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34.00346444879596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69.690174846087018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69.690174846087018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69.690174846087018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69.690174846087018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69.690174846087018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1.1289835501862808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1.1544582689993719</v>
      </c>
      <c r="BA205" s="82">
        <f>EXP(LN('Données projet'!B88)/'Données projet'!A88)</f>
        <v>1.1555633617611898</v>
      </c>
      <c r="BV205" s="82">
        <f>EXP(LN('Données projet'!B114)/'Données projet'!A114)</f>
        <v>1.1289835501862808</v>
      </c>
      <c r="CQ205" s="82">
        <f>EXP(LN('Données projet'!B140)/'Données projet'!A140)</f>
        <v>1.1398946049533631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N11" sqref="N1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pubescent</v>
      </c>
      <c r="B6" s="146">
        <f>'Données projet'!D9</f>
        <v>2.8571180000000003</v>
      </c>
      <c r="C6" s="147">
        <f ca="1">IF(OR('Données projet'!B9="",'Données projet'!C9="",'Données projet'!C9=0%),0,Calculateur!S3)</f>
        <v>665.7907881991157</v>
      </c>
      <c r="D6" s="147">
        <f>IF(OR('Données projet'!B9="",'Données projet'!C9="",'Données projet'!C9=0%),0,Calculateur!T3)</f>
        <v>306.76923535735227</v>
      </c>
      <c r="E6" s="147">
        <f ca="1">MIN(C6,D6)</f>
        <v>306.76923535735227</v>
      </c>
      <c r="F6" s="147">
        <f ca="1">E6*B6</f>
        <v>876.4759041857277</v>
      </c>
      <c r="G6" s="147">
        <f ca="1">F6*(100%-'Données projet'!$C$24)*(100%-'Données projet'!$C$25)*(100%-'Données projet'!$C$26)*(100%-'Données projet'!$C$27)</f>
        <v>788.8283137671549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788.8283137671549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Cèdre de l'Atlas</v>
      </c>
      <c r="B7" s="154">
        <f>'Données projet'!D10</f>
        <v>2.088152</v>
      </c>
      <c r="C7" s="147">
        <f ca="1">IF(OR('Données projet'!B10="",'Données projet'!C10="",'Données projet'!C10=0%),0,Calculateur!AN3)</f>
        <v>370.42479501931444</v>
      </c>
      <c r="D7" s="147">
        <f>IF(OR('Données projet'!B10="",'Données projet'!C10="",'Données projet'!C10=0%),0,Calculateur!AO3)</f>
        <v>351.95632347830144</v>
      </c>
      <c r="E7" s="147">
        <f t="shared" ref="E7:E15" ca="1" si="0">MIN(C7,D7)</f>
        <v>351.95632347830144</v>
      </c>
      <c r="F7" s="147">
        <f t="shared" ref="F7:F15" ca="1" si="1">E7*B7</f>
        <v>734.93830078386213</v>
      </c>
      <c r="G7" s="147">
        <f ca="1">F7*(100%-'Données projet'!$C$24)*(100%-'Données projet'!$C$25)*(100%-'Données projet'!$C$26)*(100%-'Données projet'!$C$27)</f>
        <v>661.44447070547596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661.44447070547596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Erable champêtre</v>
      </c>
      <c r="B8" s="154">
        <f>'Données projet'!D11</f>
        <v>0.27980700000000003</v>
      </c>
      <c r="C8" s="147">
        <f ca="1">IF(OR('Données projet'!B11="",'Données projet'!C11="",'Données projet'!C11=0%),0,Calculateur!BI3)</f>
        <v>128.92423054779167</v>
      </c>
      <c r="D8" s="147">
        <f>IF(OR('Données projet'!B11="",'Données projet'!C11="",'Données projet'!C11=0%),0,Calculateur!BJ3)</f>
        <v>127.5443711972687</v>
      </c>
      <c r="E8" s="147">
        <f t="shared" ca="1" si="0"/>
        <v>127.5443711972687</v>
      </c>
      <c r="F8" s="147">
        <f t="shared" ca="1" si="1"/>
        <v>35.687807871594167</v>
      </c>
      <c r="G8" s="147">
        <f ca="1">F8*(100%-'Données projet'!$C$24)*(100%-'Données projet'!$C$25)*(100%-'Données projet'!$C$26)*(100%-'Données projet'!$C$27)</f>
        <v>32.119027084434748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1.5130563525</v>
      </c>
      <c r="K8" s="151">
        <f>J8*(100%-'Données projet'!$C$24)*(100%-'Données projet'!$C$25)*(100%-'Données projet'!$C$26)*(100%-'Données projet'!$C$27)</f>
        <v>1.3617507172500001</v>
      </c>
      <c r="L8" s="152">
        <f t="shared" ca="1" si="2"/>
        <v>33.480777801684745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sessile</v>
      </c>
      <c r="B9" s="154">
        <f>'Données projet'!D12</f>
        <v>1.3198570000000001</v>
      </c>
      <c r="C9" s="147">
        <f ca="1">IF(OR('Données projet'!B12="",'Données projet'!C12="",'Données projet'!C12=0%),0,Calculateur!CD3)</f>
        <v>601.17090553269054</v>
      </c>
      <c r="D9" s="147">
        <f>IF(OR('Données projet'!B12="",'Données projet'!C12="",'Données projet'!C12=0%),0,Calculateur!CE3)</f>
        <v>279.37477930888042</v>
      </c>
      <c r="E9" s="147">
        <f t="shared" ca="1" si="0"/>
        <v>279.37477930888042</v>
      </c>
      <c r="F9" s="147">
        <f t="shared" ca="1" si="1"/>
        <v>368.73475809428101</v>
      </c>
      <c r="G9" s="147">
        <f ca="1">F9*(100%-'Données projet'!$C$24)*(100%-'Données projet'!$C$25)*(100%-'Données projet'!$C$26)*(100%-'Données projet'!$C$27)</f>
        <v>331.8612822848529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331.8612822848529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Charme</v>
      </c>
      <c r="B10" s="154">
        <f>'Données projet'!D13</f>
        <v>0.16506599999999999</v>
      </c>
      <c r="C10" s="147">
        <f ca="1">IF(OR('Données projet'!B13="",'Données projet'!C13="",'Données projet'!C13=0%),0,Calculateur!CY3)</f>
        <v>418.79317359649315</v>
      </c>
      <c r="D10" s="147">
        <f>IF(OR('Données projet'!B13="",'Données projet'!C13="",'Données projet'!C13=0%),0,Calculateur!CZ3)</f>
        <v>286.46514989661011</v>
      </c>
      <c r="E10" s="147">
        <f t="shared" ca="1" si="0"/>
        <v>286.46514989661011</v>
      </c>
      <c r="F10" s="147">
        <f t="shared" ca="1" si="1"/>
        <v>47.285656432833839</v>
      </c>
      <c r="G10" s="147">
        <f ca="1">F10*(100%-'Données projet'!$C$24)*(100%-'Données projet'!$C$25)*(100%-'Données projet'!$C$26)*(100%-'Données projet'!$C$27)</f>
        <v>42.557090789550458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42.557090789550458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2063.1224273682988</v>
      </c>
      <c r="G16" s="166">
        <f t="shared" ca="1" si="3"/>
        <v>1856.8101846314692</v>
      </c>
      <c r="H16" s="167">
        <f t="shared" si="3"/>
        <v>0</v>
      </c>
      <c r="I16" s="167">
        <f t="shared" si="3"/>
        <v>0</v>
      </c>
      <c r="J16" s="168">
        <f t="shared" si="3"/>
        <v>1.5130563525</v>
      </c>
      <c r="K16" s="168">
        <f t="shared" si="3"/>
        <v>1.3617507172500001</v>
      </c>
      <c r="L16" s="169">
        <f t="shared" ca="1" si="3"/>
        <v>1858.1719353487192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Erable champêtre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8" zoomScale="80" zoomScaleNormal="80" workbookViewId="0">
      <selection activeCell="G24" sqref="G2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0" t="s">
        <v>315</v>
      </c>
      <c r="I4" s="270"/>
      <c r="K4" s="294" t="s">
        <v>253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4" t="s">
        <v>310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-6281.4286342105133</v>
      </c>
      <c r="U10" s="178">
        <f>'Données projet'!D9</f>
        <v>2.8571180000000003</v>
      </c>
      <c r="V10" s="177">
        <f>U10*T10</f>
        <v>-17946.782816518276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-3338.0973176090283</v>
      </c>
      <c r="U11" s="178">
        <f>'Données projet'!D10</f>
        <v>2.088152</v>
      </c>
      <c r="V11" s="177">
        <f t="shared" ref="V11" si="0">U11*T11</f>
        <v>-6970.4545899599279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champêtre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-5235.6142686801168</v>
      </c>
      <c r="U12" s="178">
        <f>'Données projet'!D11</f>
        <v>0.27980700000000003</v>
      </c>
      <c r="V12" s="177">
        <f t="shared" ref="V12:V19" si="1">U12*T12</f>
        <v>-1464.9615216765776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-2378.0346529206727</v>
      </c>
      <c r="U13" s="178">
        <f>'Données projet'!D12</f>
        <v>1.3198570000000001</v>
      </c>
      <c r="V13" s="177">
        <f t="shared" si="1"/>
        <v>-3138.6656828999203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pubescent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Charme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-3246.2369219245193</v>
      </c>
      <c r="U14" s="178">
        <f>'Données projet'!D13</f>
        <v>0.16506599999999999</v>
      </c>
      <c r="V14" s="177">
        <f t="shared" si="1"/>
        <v>-535.84334375439266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7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7"/>
      <c r="H16" s="190"/>
      <c r="I16" s="191"/>
      <c r="J16" s="202"/>
      <c r="K16" s="208"/>
      <c r="L16" s="294" t="s">
        <v>254</v>
      </c>
      <c r="M16" s="295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(2.06+0.44+0.18)*1600</f>
        <v>4288</v>
      </c>
      <c r="F17" s="230"/>
      <c r="G17" s="297"/>
      <c r="I17" s="195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0.30000000000000016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297"/>
      <c r="J18" s="202"/>
      <c r="K18" s="208"/>
      <c r="L18" s="267" t="s">
        <v>255</v>
      </c>
      <c r="M18" s="269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1473.1999999999998</v>
      </c>
      <c r="F19" s="230"/>
      <c r="G19" s="297"/>
      <c r="H19" s="212" t="s">
        <v>178</v>
      </c>
      <c r="I19" s="212" t="s">
        <v>287</v>
      </c>
      <c r="J19" s="93"/>
      <c r="K19" s="173"/>
      <c r="L19" s="294" t="s">
        <v>288</v>
      </c>
      <c r="M19" s="295"/>
      <c r="N19" s="179">
        <f>N17*N18</f>
        <v>1.5000000000000009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297"/>
      <c r="H20" s="190">
        <v>1</v>
      </c>
      <c r="I20" s="191">
        <f>20+(400/SUM(U10:U19)+20)+(200/SUM(U10:U19)+10)</f>
        <v>139.41877794336807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20+200/SUM(U10:U19)+10</f>
        <v>59.806259314456028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42</v>
      </c>
      <c r="B23" s="181">
        <f>'Données projet'!D36</f>
        <v>43.21</v>
      </c>
      <c r="C23" s="193">
        <v>18.5</v>
      </c>
      <c r="D23" s="182">
        <f>B23*C23</f>
        <v>799.38499999999999</v>
      </c>
      <c r="E23" s="193"/>
      <c r="F23" s="230"/>
      <c r="H23" s="190">
        <v>4</v>
      </c>
      <c r="I23" s="191">
        <v>20</v>
      </c>
      <c r="K23" s="208"/>
      <c r="L23" s="296" t="s">
        <v>260</v>
      </c>
      <c r="M23" s="296"/>
      <c r="N23" s="296"/>
      <c r="O23" s="23"/>
      <c r="P23" s="23"/>
      <c r="Q23" s="234"/>
      <c r="R23" s="23"/>
      <c r="S23" s="36" t="s">
        <v>264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-36342.790504284145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50</v>
      </c>
      <c r="B24" s="181">
        <f>'Données projet'!D37</f>
        <v>35.58</v>
      </c>
      <c r="C24" s="193">
        <v>18.5</v>
      </c>
      <c r="D24" s="182">
        <f t="shared" ref="D24:D42" si="2">B24*C24</f>
        <v>658.23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20+8%*(SUM(E17:E22)*U10+SUM(E$48:E53)*U11+SUM(E79:E84)*U12+SUM(E110:E115)*U13+SUM(E141:E146)*U14+SUM(E172:E177)*U15+SUM(E203:E208)*U16+SUM(E234:E239)*U17+SUM(E265:E270)*U18+SUM(E296:E301)*U19)/SUM(U10:U19)</f>
        <v>539.85486079999998</v>
      </c>
      <c r="K24" s="208"/>
      <c r="O24" s="23"/>
      <c r="P24" s="23"/>
      <c r="Q24" s="234"/>
      <c r="R24" s="23"/>
      <c r="S24" s="36" t="s">
        <v>261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2.6873551560779873E-2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58</v>
      </c>
      <c r="B25" s="181">
        <f>'Données projet'!D38</f>
        <v>44.93</v>
      </c>
      <c r="C25" s="193">
        <v>18.5</v>
      </c>
      <c r="D25" s="182">
        <f t="shared" si="2"/>
        <v>831.20500000000004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11">
        <f ca="1">T23-T24</f>
        <v>-36342.817377835709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66</v>
      </c>
      <c r="B26" s="181">
        <f>'Données projet'!D39</f>
        <v>49.91</v>
      </c>
      <c r="C26" s="193">
        <v>32</v>
      </c>
      <c r="D26" s="182">
        <f t="shared" si="2"/>
        <v>1597.12</v>
      </c>
      <c r="E26" s="193"/>
      <c r="F26" s="233"/>
      <c r="G26" s="229"/>
      <c r="H26" s="190">
        <v>7</v>
      </c>
      <c r="I26" s="191">
        <v>20</v>
      </c>
      <c r="K26" s="208"/>
      <c r="L26" s="298" t="s">
        <v>258</v>
      </c>
      <c r="M26" s="299"/>
      <c r="N26" s="299"/>
      <c r="O26" s="299"/>
      <c r="P26" s="300"/>
      <c r="Q26" s="234"/>
      <c r="R26" s="23"/>
      <c r="S26" s="186" t="s">
        <v>265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74</v>
      </c>
      <c r="B27" s="181">
        <f>'Données projet'!D40</f>
        <v>47.4</v>
      </c>
      <c r="C27" s="193">
        <v>32</v>
      </c>
      <c r="D27" s="182">
        <f t="shared" si="2"/>
        <v>1516.8</v>
      </c>
      <c r="E27" s="193"/>
      <c r="F27" s="233"/>
      <c r="G27" s="229"/>
      <c r="H27" s="190">
        <v>8</v>
      </c>
      <c r="I27" s="191">
        <v>20</v>
      </c>
      <c r="K27" s="208"/>
      <c r="L27" s="301"/>
      <c r="M27" s="302"/>
      <c r="N27" s="302"/>
      <c r="O27" s="302"/>
      <c r="P27" s="303"/>
      <c r="Q27" s="234"/>
      <c r="R27" s="23"/>
      <c r="S27" s="307" t="s">
        <v>267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84</v>
      </c>
      <c r="B28" s="181">
        <f>'Données projet'!D41</f>
        <v>61.47</v>
      </c>
      <c r="C28" s="193">
        <v>32</v>
      </c>
      <c r="D28" s="182">
        <f t="shared" si="2"/>
        <v>1967.04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94</v>
      </c>
      <c r="B29" s="181">
        <f>'Données projet'!D42</f>
        <v>61.85</v>
      </c>
      <c r="C29" s="193">
        <v>32</v>
      </c>
      <c r="D29" s="182">
        <f t="shared" si="2"/>
        <v>1979.2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104</v>
      </c>
      <c r="B30" s="181">
        <f>'Données projet'!D43</f>
        <v>60.19</v>
      </c>
      <c r="C30" s="193">
        <v>32</v>
      </c>
      <c r="D30" s="182">
        <f t="shared" si="2"/>
        <v>1926.08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43602.826449600005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114</v>
      </c>
      <c r="B31" s="181">
        <f>'Données projet'!D44</f>
        <v>56.07</v>
      </c>
      <c r="C31" s="193">
        <v>32</v>
      </c>
      <c r="D31" s="182">
        <f t="shared" si="2"/>
        <v>1794.24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1605.2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124</v>
      </c>
      <c r="B32" s="181">
        <f>'Données projet'!D45</f>
        <v>52.53</v>
      </c>
      <c r="C32" s="193">
        <v>32</v>
      </c>
      <c r="D32" s="182">
        <f t="shared" si="2"/>
        <v>1680.96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134</v>
      </c>
      <c r="B33" s="181">
        <f>'Données projet'!D46</f>
        <v>54.95</v>
      </c>
      <c r="C33" s="193">
        <v>32</v>
      </c>
      <c r="D33" s="182">
        <f t="shared" si="2"/>
        <v>1758.4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46708.026449600002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144</v>
      </c>
      <c r="B34" s="181">
        <f>'Données projet'!D47</f>
        <v>56.01</v>
      </c>
      <c r="C34" s="193">
        <v>32</v>
      </c>
      <c r="D34" s="182">
        <f t="shared" si="2"/>
        <v>1792.32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154</v>
      </c>
      <c r="B35" s="181">
        <f>'Données projet'!D48</f>
        <v>55.13</v>
      </c>
      <c r="C35" s="193">
        <v>32</v>
      </c>
      <c r="D35" s="182">
        <f t="shared" si="2"/>
        <v>1764.16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164</v>
      </c>
      <c r="B36" s="181">
        <f>'Données projet'!D49</f>
        <v>59.58</v>
      </c>
      <c r="C36" s="193">
        <v>32</v>
      </c>
      <c r="D36" s="182">
        <f t="shared" si="2"/>
        <v>1906.56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174</v>
      </c>
      <c r="B37" s="181">
        <f>'Données projet'!D50</f>
        <v>214.77</v>
      </c>
      <c r="C37" s="193">
        <v>32</v>
      </c>
      <c r="D37" s="182">
        <f t="shared" si="2"/>
        <v>6872.64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177</v>
      </c>
      <c r="B38" s="181">
        <f>'Données projet'!D51</f>
        <v>115.19</v>
      </c>
      <c r="C38" s="193">
        <v>32</v>
      </c>
      <c r="D38" s="182">
        <f t="shared" si="2"/>
        <v>3686.08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180</v>
      </c>
      <c r="B39" s="181">
        <f>'Données projet'!D52</f>
        <v>77.72</v>
      </c>
      <c r="C39" s="193">
        <v>32</v>
      </c>
      <c r="D39" s="182">
        <f t="shared" si="2"/>
        <v>2487.04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183</v>
      </c>
      <c r="B40" s="181">
        <f>'Données projet'!D53</f>
        <v>169.76</v>
      </c>
      <c r="C40" s="193">
        <v>32</v>
      </c>
      <c r="D40" s="182">
        <f t="shared" si="2"/>
        <v>5432.32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(1.6+0.44+0.18)*1400</f>
        <v>3108.0000000000005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1296.2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42</v>
      </c>
      <c r="B54" s="181">
        <f>'Données projet'!D62</f>
        <v>182.39</v>
      </c>
      <c r="C54" s="191">
        <v>32.5</v>
      </c>
      <c r="D54" s="179">
        <f>B54*C54</f>
        <v>5927.6749999999993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49</v>
      </c>
      <c r="B55" s="181">
        <f>'Données projet'!D63</f>
        <v>100.16</v>
      </c>
      <c r="C55" s="191">
        <v>32.5</v>
      </c>
      <c r="D55" s="179">
        <f t="shared" ref="D55:D73" si="4">B55*C55</f>
        <v>3255.2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56</v>
      </c>
      <c r="B56" s="181">
        <f>'Données projet'!D64</f>
        <v>79.39</v>
      </c>
      <c r="C56" s="191">
        <v>43.5</v>
      </c>
      <c r="D56" s="179">
        <f t="shared" si="4"/>
        <v>3453.4650000000001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63</v>
      </c>
      <c r="B57" s="181">
        <f>'Données projet'!D65</f>
        <v>79.099999999999994</v>
      </c>
      <c r="C57" s="191">
        <v>43.5</v>
      </c>
      <c r="D57" s="179">
        <f t="shared" si="4"/>
        <v>3440.85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71</v>
      </c>
      <c r="B58" s="181">
        <f>'Données projet'!D66</f>
        <v>90.8</v>
      </c>
      <c r="C58" s="191">
        <v>43.5</v>
      </c>
      <c r="D58" s="179">
        <f t="shared" si="4"/>
        <v>3949.7999999999997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79</v>
      </c>
      <c r="B59" s="181">
        <f>'Données projet'!D67</f>
        <v>87.99</v>
      </c>
      <c r="C59" s="191">
        <v>43.5</v>
      </c>
      <c r="D59" s="179">
        <f t="shared" si="4"/>
        <v>3827.5649999999996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87</v>
      </c>
      <c r="B60" s="181">
        <f>'Données projet'!D68</f>
        <v>88.62</v>
      </c>
      <c r="C60" s="191">
        <v>43.5</v>
      </c>
      <c r="D60" s="179">
        <f t="shared" si="4"/>
        <v>3854.9700000000003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95</v>
      </c>
      <c r="B61" s="181">
        <f>'Données projet'!D69</f>
        <v>268.81</v>
      </c>
      <c r="C61" s="191">
        <v>43.5</v>
      </c>
      <c r="D61" s="179">
        <f t="shared" si="4"/>
        <v>11693.235000000001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105</v>
      </c>
      <c r="B62" s="181">
        <f>'Données projet'!D70</f>
        <v>356.68</v>
      </c>
      <c r="C62" s="191">
        <v>43.5</v>
      </c>
      <c r="D62" s="179">
        <f t="shared" si="4"/>
        <v>15515.58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Erable champêtre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(1.27+0.44+0.18)*1600</f>
        <v>3024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1283.5999999999999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6.4889999999999999</v>
      </c>
      <c r="C85" s="191">
        <v>5</v>
      </c>
      <c r="D85" s="179">
        <f>B85*C85</f>
        <v>32.445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7.5705</v>
      </c>
      <c r="C86" s="191">
        <v>5</v>
      </c>
      <c r="D86" s="179">
        <f t="shared" ref="D86:D104" si="6">B86*C86</f>
        <v>37.852499999999999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7.5705</v>
      </c>
      <c r="C87" s="191">
        <v>5</v>
      </c>
      <c r="D87" s="179">
        <f t="shared" si="6"/>
        <v>37.852499999999999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7.5705</v>
      </c>
      <c r="C88" s="191">
        <v>5</v>
      </c>
      <c r="D88" s="179">
        <f t="shared" si="6"/>
        <v>37.852499999999999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40</v>
      </c>
      <c r="B89" s="181">
        <f>'Données projet'!D92</f>
        <v>7.5705</v>
      </c>
      <c r="C89" s="191">
        <v>5</v>
      </c>
      <c r="D89" s="179">
        <f t="shared" si="6"/>
        <v>37.852499999999999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45</v>
      </c>
      <c r="B90" s="181">
        <f>'Données projet'!D93</f>
        <v>6.8494999999999999</v>
      </c>
      <c r="C90" s="191">
        <v>15.5</v>
      </c>
      <c r="D90" s="179">
        <f t="shared" si="6"/>
        <v>106.16725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50</v>
      </c>
      <c r="B91" s="181">
        <f>'Données projet'!D94</f>
        <v>5.2272499999999997</v>
      </c>
      <c r="C91" s="191">
        <v>15.5</v>
      </c>
      <c r="D91" s="179">
        <f t="shared" si="6"/>
        <v>81.022374999999997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55</v>
      </c>
      <c r="B92" s="181">
        <f>'Données projet'!D95</f>
        <v>4.1457499999999996</v>
      </c>
      <c r="C92" s="191">
        <v>15.5</v>
      </c>
      <c r="D92" s="179">
        <f t="shared" si="6"/>
        <v>64.259124999999997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60</v>
      </c>
      <c r="B93" s="181">
        <f>'Données projet'!D96</f>
        <v>3.42475</v>
      </c>
      <c r="C93" s="191">
        <v>15.5</v>
      </c>
      <c r="D93" s="179">
        <f t="shared" si="6"/>
        <v>53.083624999999998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65</v>
      </c>
      <c r="B94" s="181">
        <f>'Données projet'!D97</f>
        <v>3.0642499999999999</v>
      </c>
      <c r="C94" s="191">
        <v>26</v>
      </c>
      <c r="D94" s="179">
        <f t="shared" si="6"/>
        <v>79.670500000000004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70</v>
      </c>
      <c r="B95" s="181">
        <f>'Données projet'!D98</f>
        <v>2.7037499999999999</v>
      </c>
      <c r="C95" s="191">
        <v>26</v>
      </c>
      <c r="D95" s="179">
        <f t="shared" si="6"/>
        <v>70.297499999999999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75</v>
      </c>
      <c r="B96" s="181">
        <f>'Données projet'!D99</f>
        <v>2.3432499999999998</v>
      </c>
      <c r="C96" s="191">
        <v>26</v>
      </c>
      <c r="D96" s="179">
        <f t="shared" si="6"/>
        <v>60.924499999999995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80</v>
      </c>
      <c r="B97" s="181">
        <f>'Données projet'!D100</f>
        <v>80.030999999999992</v>
      </c>
      <c r="C97" s="191">
        <v>26</v>
      </c>
      <c r="D97" s="179">
        <f t="shared" si="6"/>
        <v>2080.8059999999996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(1.97+0.44+0.18)*1600</f>
        <v>4144.0000000000009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>220+430</f>
        <v>650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400+430+15%*E110</f>
        <v>1451.6000000000001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f>220+430</f>
        <v>650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42</v>
      </c>
      <c r="B116" s="181">
        <f>'Données projet'!D114</f>
        <v>43.21</v>
      </c>
      <c r="C116" s="191">
        <v>58</v>
      </c>
      <c r="D116" s="179">
        <f>B116*C116</f>
        <v>2506.1799999999998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50</v>
      </c>
      <c r="B117" s="181">
        <f>'Données projet'!D115</f>
        <v>35.58</v>
      </c>
      <c r="C117" s="191">
        <v>58</v>
      </c>
      <c r="D117" s="179">
        <f t="shared" ref="D117:D135" si="8">B117*C117</f>
        <v>2063.64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58</v>
      </c>
      <c r="B118" s="181">
        <f>'Données projet'!D116</f>
        <v>44.93</v>
      </c>
      <c r="C118" s="191">
        <v>58</v>
      </c>
      <c r="D118" s="179">
        <f t="shared" si="8"/>
        <v>2605.94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66</v>
      </c>
      <c r="B119" s="181">
        <f>'Données projet'!D117</f>
        <v>49.91</v>
      </c>
      <c r="C119" s="191">
        <v>106</v>
      </c>
      <c r="D119" s="179">
        <f t="shared" si="8"/>
        <v>5290.46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74</v>
      </c>
      <c r="B120" s="181">
        <f>'Données projet'!D118</f>
        <v>47.4</v>
      </c>
      <c r="C120" s="191">
        <v>106</v>
      </c>
      <c r="D120" s="179">
        <f t="shared" si="8"/>
        <v>5024.3999999999996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84</v>
      </c>
      <c r="B121" s="181">
        <f>'Données projet'!D119</f>
        <v>61.47</v>
      </c>
      <c r="C121" s="191">
        <v>106</v>
      </c>
      <c r="D121" s="179">
        <f t="shared" si="8"/>
        <v>6515.82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94</v>
      </c>
      <c r="B122" s="181">
        <f>'Données projet'!D120</f>
        <v>61.85</v>
      </c>
      <c r="C122" s="191">
        <v>106</v>
      </c>
      <c r="D122" s="179">
        <f t="shared" si="8"/>
        <v>6556.1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104</v>
      </c>
      <c r="B123" s="181">
        <f>'Données projet'!D121</f>
        <v>60.19</v>
      </c>
      <c r="C123" s="191">
        <v>106</v>
      </c>
      <c r="D123" s="179">
        <f t="shared" si="8"/>
        <v>6380.1399999999994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114</v>
      </c>
      <c r="B124" s="181">
        <f>'Données projet'!D122</f>
        <v>56.07</v>
      </c>
      <c r="C124" s="191">
        <v>106</v>
      </c>
      <c r="D124" s="179">
        <f t="shared" si="8"/>
        <v>5943.42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124</v>
      </c>
      <c r="B125" s="181">
        <f>'Données projet'!D123</f>
        <v>52.53</v>
      </c>
      <c r="C125" s="191">
        <v>106</v>
      </c>
      <c r="D125" s="179">
        <f t="shared" si="8"/>
        <v>5568.18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134</v>
      </c>
      <c r="B126" s="181">
        <f>'Données projet'!D124</f>
        <v>54.95</v>
      </c>
      <c r="C126" s="191">
        <v>106</v>
      </c>
      <c r="D126" s="179">
        <f t="shared" si="8"/>
        <v>5824.7000000000007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144</v>
      </c>
      <c r="B127" s="181">
        <f>'Données projet'!D125</f>
        <v>56.01</v>
      </c>
      <c r="C127" s="191">
        <v>106</v>
      </c>
      <c r="D127" s="179">
        <f t="shared" si="8"/>
        <v>5937.0599999999995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154</v>
      </c>
      <c r="B128" s="181">
        <f>'Données projet'!D126</f>
        <v>55.13</v>
      </c>
      <c r="C128" s="191">
        <v>106</v>
      </c>
      <c r="D128" s="179">
        <f t="shared" si="8"/>
        <v>5843.7800000000007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164</v>
      </c>
      <c r="B129" s="181">
        <f>'Données projet'!D127</f>
        <v>59.58</v>
      </c>
      <c r="C129" s="191">
        <v>106</v>
      </c>
      <c r="D129" s="179">
        <f t="shared" si="8"/>
        <v>6315.48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174</v>
      </c>
      <c r="B130" s="181">
        <f>'Données projet'!D128</f>
        <v>214.77</v>
      </c>
      <c r="C130" s="191">
        <v>106</v>
      </c>
      <c r="D130" s="179">
        <f t="shared" si="8"/>
        <v>22765.620000000003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177</v>
      </c>
      <c r="B131" s="181">
        <f>'Données projet'!D129</f>
        <v>115.19</v>
      </c>
      <c r="C131" s="191">
        <v>106</v>
      </c>
      <c r="D131" s="179">
        <f t="shared" si="8"/>
        <v>12210.14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180</v>
      </c>
      <c r="B132" s="181">
        <f>'Données projet'!D130</f>
        <v>77.72</v>
      </c>
      <c r="C132" s="191">
        <v>106</v>
      </c>
      <c r="D132" s="179">
        <f t="shared" si="8"/>
        <v>8238.32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183</v>
      </c>
      <c r="B133" s="181">
        <f>'Données projet'!D131</f>
        <v>169.76</v>
      </c>
      <c r="C133" s="191">
        <v>106</v>
      </c>
      <c r="D133" s="179">
        <f t="shared" si="8"/>
        <v>17994.559999999998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Charme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(1.01+0.44+0.18)*1600</f>
        <v>2608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f>220+430</f>
        <v>650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f>400+430+15%*E141</f>
        <v>1221.2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>
        <f>220+430</f>
        <v>650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38</v>
      </c>
      <c r="B147" s="175">
        <f>'Données projet'!D140</f>
        <v>69.08</v>
      </c>
      <c r="C147" s="191">
        <v>5</v>
      </c>
      <c r="D147" s="182">
        <f>B147*C147</f>
        <v>345.4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45</v>
      </c>
      <c r="B148" s="175">
        <f>'Données projet'!D141</f>
        <v>39.119999999999997</v>
      </c>
      <c r="C148" s="191">
        <v>18.5</v>
      </c>
      <c r="D148" s="182">
        <f t="shared" ref="D148:D166" si="10">B148*C148</f>
        <v>723.71999999999991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52</v>
      </c>
      <c r="B149" s="175">
        <f>'Données projet'!D142</f>
        <v>40.9</v>
      </c>
      <c r="C149" s="191">
        <v>18.5</v>
      </c>
      <c r="D149" s="182">
        <f t="shared" si="10"/>
        <v>756.65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59</v>
      </c>
      <c r="B150" s="175">
        <f>'Données projet'!D143</f>
        <v>38.119999999999997</v>
      </c>
      <c r="C150" s="191">
        <v>18.5</v>
      </c>
      <c r="D150" s="182">
        <f t="shared" si="10"/>
        <v>705.21999999999991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67</v>
      </c>
      <c r="B151" s="175">
        <f>'Données projet'!D144</f>
        <v>38.229999999999997</v>
      </c>
      <c r="C151" s="191">
        <v>32</v>
      </c>
      <c r="D151" s="182">
        <f t="shared" si="10"/>
        <v>1223.3599999999999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75</v>
      </c>
      <c r="B152" s="175">
        <f>'Données projet'!D145</f>
        <v>38.909999999999997</v>
      </c>
      <c r="C152" s="191">
        <v>32</v>
      </c>
      <c r="D152" s="182">
        <f t="shared" si="10"/>
        <v>1245.1199999999999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83</v>
      </c>
      <c r="B153" s="175">
        <f>'Données projet'!D146</f>
        <v>44.22</v>
      </c>
      <c r="C153" s="191">
        <v>32</v>
      </c>
      <c r="D153" s="182">
        <f t="shared" si="10"/>
        <v>1415.04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93</v>
      </c>
      <c r="B154" s="175">
        <f>'Données projet'!D147</f>
        <v>59.26</v>
      </c>
      <c r="C154" s="191">
        <v>32</v>
      </c>
      <c r="D154" s="182">
        <f t="shared" si="10"/>
        <v>1896.32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103</v>
      </c>
      <c r="B155" s="175">
        <f>'Données projet'!D148</f>
        <v>58.98</v>
      </c>
      <c r="C155" s="191">
        <v>32</v>
      </c>
      <c r="D155" s="182">
        <f t="shared" si="10"/>
        <v>1887.36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113</v>
      </c>
      <c r="B156" s="175">
        <f>'Données projet'!D149</f>
        <v>59.52</v>
      </c>
      <c r="C156" s="191">
        <v>32</v>
      </c>
      <c r="D156" s="182">
        <f t="shared" si="10"/>
        <v>1904.64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123</v>
      </c>
      <c r="B157" s="175">
        <f>'Données projet'!D150</f>
        <v>175.3</v>
      </c>
      <c r="C157" s="191">
        <v>32</v>
      </c>
      <c r="D157" s="182">
        <f t="shared" si="10"/>
        <v>5609.6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125</v>
      </c>
      <c r="B158" s="175">
        <f>'Données projet'!D151</f>
        <v>60.7</v>
      </c>
      <c r="C158" s="191">
        <v>32</v>
      </c>
      <c r="D158" s="182">
        <f t="shared" si="10"/>
        <v>1942.4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127</v>
      </c>
      <c r="B159" s="175">
        <f>'Données projet'!D152</f>
        <v>39.56</v>
      </c>
      <c r="C159" s="191">
        <v>32</v>
      </c>
      <c r="D159" s="182">
        <f t="shared" si="10"/>
        <v>1265.92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130</v>
      </c>
      <c r="B160" s="175">
        <f>'Données projet'!D153</f>
        <v>96.57</v>
      </c>
      <c r="C160" s="191">
        <v>32</v>
      </c>
      <c r="D160" s="182">
        <f t="shared" si="10"/>
        <v>3090.24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>
        <f>220+430</f>
        <v>650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f>400+430+15%*E172</f>
        <v>830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>
        <f>220+430</f>
        <v>650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Nathan AMIENS</cp:lastModifiedBy>
  <dcterms:created xsi:type="dcterms:W3CDTF">2021-02-01T08:22:39Z</dcterms:created>
  <dcterms:modified xsi:type="dcterms:W3CDTF">2025-02-19T16:22:26Z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