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Le Bourgneuf/"/>
    </mc:Choice>
  </mc:AlternateContent>
  <xr:revisionPtr revIDLastSave="75" documentId="8_{DB5BA354-2CCA-4032-8B2C-EA5D77F1A233}" xr6:coauthVersionLast="47" xr6:coauthVersionMax="47" xr10:uidLastSave="{21FC1D7A-7B87-4B3A-BFCF-82C49351F7CE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B15" i="1"/>
  <c r="B14" i="1"/>
  <c r="B13" i="1"/>
  <c r="B12" i="1"/>
  <c r="B11" i="1"/>
  <c r="B10" i="1"/>
  <c r="B9" i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R4" i="2"/>
  <c r="EC4" i="2"/>
  <c r="FR4" i="2"/>
  <c r="GL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V7" i="2"/>
  <c r="EX7" i="2"/>
  <c r="EA7" i="2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EA18" i="2"/>
  <c r="EX18" i="2"/>
  <c r="EV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HG20" i="2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B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A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FR24" i="2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V33" i="2"/>
  <c r="EA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EB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A38" i="2"/>
  <c r="EW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EX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FS113" i="2"/>
  <c r="HG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X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FS128" i="2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HH130" i="2"/>
  <c r="FS130" i="2"/>
  <c r="HG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X144" i="2"/>
  <c r="FR144" i="2"/>
  <c r="EA144" i="2"/>
  <c r="HH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HG145" i="2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I146" i="2"/>
  <c r="FS146" i="2"/>
  <c r="HG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I150" i="2"/>
  <c r="EC150" i="2"/>
  <c r="FS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Y154" i="2"/>
  <c r="AC154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FS156" i="2"/>
  <c r="HI156" i="2"/>
  <c r="DH156" i="2"/>
  <c r="EB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X157" i="2"/>
  <c r="HH157" i="2"/>
  <c r="EA157" i="2"/>
  <c r="EB157" i="2"/>
  <c r="ED157" i="2" s="1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HH158" i="2"/>
  <c r="HG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Y159" i="2"/>
  <c r="FS160" i="2"/>
  <c r="ED159" i="2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D160" i="2"/>
  <c r="EX161" i="2"/>
  <c r="AB161" i="2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DI161" i="2"/>
  <c r="EY161" i="2"/>
  <c r="EC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FS164" i="2" l="1"/>
  <c r="EY163" i="2"/>
  <c r="EV164" i="2"/>
  <c r="DI163" i="2"/>
  <c r="EX164" i="2"/>
  <c r="DH164" i="2"/>
  <c r="FR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HG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D165" i="2"/>
  <c r="CN165" i="2"/>
  <c r="HG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X167" i="2"/>
  <c r="EA167" i="2"/>
  <c r="EB167" i="2"/>
  <c r="EY166" i="2"/>
  <c r="DG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DI167" i="2"/>
  <c r="HI168" i="2"/>
  <c r="HH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Y168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HG172" i="2"/>
  <c r="EV172" i="2"/>
  <c r="EA172" i="2"/>
  <c r="EW172" i="2"/>
  <c r="EY171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B175" i="2" l="1"/>
  <c r="AA175" i="2"/>
  <c r="EA175" i="2"/>
  <c r="FS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Y175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G178" i="2"/>
  <c r="HH178" i="2"/>
  <c r="EB178" i="2"/>
  <c r="ED177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HG179" i="2"/>
  <c r="HI179" i="2"/>
  <c r="EV179" i="2"/>
  <c r="DF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FS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Y184" i="2"/>
  <c r="ED184" i="2"/>
  <c r="EW185" i="2"/>
  <c r="EB185" i="2"/>
  <c r="HI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HH186" i="2"/>
  <c r="HG186" i="2"/>
  <c r="EA186" i="2"/>
  <c r="ED185" i="2"/>
  <c r="EB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B189" i="2"/>
  <c r="EY188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B192" i="2"/>
  <c r="EA192" i="2"/>
  <c r="EY191" i="2"/>
  <c r="HI192" i="2"/>
  <c r="EW192" i="2"/>
  <c r="EC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B193" i="2"/>
  <c r="EA193" i="2"/>
  <c r="EY192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EA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DH195" i="2"/>
  <c r="EY194" i="2"/>
  <c r="EB195" i="2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FS197" i="2"/>
  <c r="EY196" i="2"/>
  <c r="AA197" i="2"/>
  <c r="EC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V199" i="2"/>
  <c r="EY198" i="2"/>
  <c r="FS199" i="2"/>
  <c r="EB199" i="2"/>
  <c r="EW199" i="2"/>
  <c r="EA199" i="2"/>
  <c r="HH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A201" i="2"/>
  <c r="DI200" i="2"/>
  <c r="FS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HG202" i="2"/>
  <c r="EY201" i="2"/>
  <c r="EX202" i="2"/>
  <c r="ED201" i="2"/>
  <c r="FZ6" i="2"/>
  <c r="FR202" i="2"/>
  <c r="HI202" i="2"/>
  <c r="HJ202" i="2" s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144" i="2" a="1"/>
  <c r="FD144" i="2" s="1"/>
  <c r="BC34" i="2" a="1"/>
  <c r="BC34" i="2" s="1"/>
  <c r="BC58" i="2" a="1"/>
  <c r="BC58" i="2" s="1"/>
  <c r="BC68" i="2" a="1"/>
  <c r="BC68" i="2" s="1"/>
  <c r="BC47" i="2" a="1"/>
  <c r="BC47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33" i="2" a="1"/>
  <c r="GT1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9" i="2" a="1"/>
  <c r="AH19" i="2" s="1"/>
  <c r="FY182" i="2" a="1"/>
  <c r="FY182" i="2" s="1"/>
  <c r="FY82" i="2" a="1"/>
  <c r="FY82" i="2" s="1"/>
  <c r="FD43" i="2" a="1"/>
  <c r="FD43" i="2" s="1"/>
  <c r="FD131" i="2" a="1"/>
  <c r="FD13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EY202" i="2"/>
  <c r="AX200" i="2"/>
  <c r="HG203" i="2" l="1"/>
  <c r="GT33" i="2" a="1"/>
  <c r="GT33" i="2" s="1"/>
  <c r="GT121" i="2" a="1"/>
  <c r="GT121" i="2" s="1"/>
  <c r="HH203" i="2"/>
  <c r="FR203" i="2"/>
  <c r="FD137" i="2" a="1"/>
  <c r="FD137" i="2" s="1"/>
  <c r="FD159" i="2" a="1"/>
  <c r="FD159" i="2" s="1"/>
  <c r="FD107" i="2" a="1"/>
  <c r="FD107" i="2" s="1"/>
  <c r="FD167" i="2" a="1"/>
  <c r="FD167" i="2" s="1"/>
  <c r="FD21" i="2" a="1"/>
  <c r="FD21" i="2" s="1"/>
  <c r="FD64" i="2" a="1"/>
  <c r="FD64" i="2" s="1"/>
  <c r="FD189" i="2" a="1"/>
  <c r="FD189" i="2" s="1"/>
  <c r="FD187" i="2" a="1"/>
  <c r="FD187" i="2" s="1"/>
  <c r="FD14" i="2" a="1"/>
  <c r="FD14" i="2" s="1"/>
  <c r="FD82" i="2" a="1"/>
  <c r="FD82" i="2" s="1"/>
  <c r="FD194" i="2" a="1"/>
  <c r="FD194" i="2" s="1"/>
  <c r="FD48" i="2" a="1"/>
  <c r="FD48" i="2" s="1"/>
  <c r="FD19" i="2" a="1"/>
  <c r="FD19" i="2" s="1"/>
  <c r="FD44" i="2" a="1"/>
  <c r="FD44" i="2" s="1"/>
  <c r="FD160" i="2" a="1"/>
  <c r="FD160" i="2" s="1"/>
  <c r="FD188" i="2" a="1"/>
  <c r="FD188" i="2" s="1"/>
  <c r="FD60" i="2" a="1"/>
  <c r="FD60" i="2" s="1"/>
  <c r="FD59" i="2" a="1"/>
  <c r="FD59" i="2" s="1"/>
  <c r="AH90" i="2" a="1"/>
  <c r="AH90" i="2" s="1"/>
  <c r="CS38" i="2" a="1"/>
  <c r="CS38" i="2" s="1"/>
  <c r="CS77" i="2" a="1"/>
  <c r="CS77" i="2" s="1"/>
  <c r="BP203" i="2"/>
  <c r="AH151" i="2" a="1"/>
  <c r="AH151" i="2" s="1"/>
  <c r="EI145" i="2" a="1"/>
  <c r="EI145" i="2" s="1"/>
  <c r="BC114" i="2" a="1"/>
  <c r="BC114" i="2" s="1"/>
  <c r="BC126" i="2" a="1"/>
  <c r="BC126" i="2" s="1"/>
  <c r="BC82" i="2" a="1"/>
  <c r="BC82" i="2" s="1"/>
  <c r="DN132" i="2" a="1"/>
  <c r="DN132" i="2" s="1"/>
  <c r="DN29" i="2" a="1"/>
  <c r="DN29" i="2" s="1"/>
  <c r="DN86" i="2" a="1"/>
  <c r="DN86" i="2" s="1"/>
  <c r="FY34" i="2" a="1"/>
  <c r="FY34" i="2" s="1"/>
  <c r="FY86" i="2" a="1"/>
  <c r="FY86" i="2" s="1"/>
  <c r="FY140" i="2" a="1"/>
  <c r="FY140" i="2" s="1"/>
  <c r="DN115" i="2" a="1"/>
  <c r="DN115" i="2" s="1"/>
  <c r="FY149" i="2" a="1"/>
  <c r="FY149" i="2" s="1"/>
  <c r="FY35" i="2" a="1"/>
  <c r="FY35" i="2" s="1"/>
  <c r="DN187" i="2" a="1"/>
  <c r="DN187" i="2" s="1"/>
  <c r="CS137" i="2" a="1"/>
  <c r="CS137" i="2" s="1"/>
  <c r="DN133" i="2" a="1"/>
  <c r="DN133" i="2" s="1"/>
  <c r="DN38" i="2" a="1"/>
  <c r="DN38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67" i="2" a="1"/>
  <c r="DN167" i="2" s="1"/>
  <c r="DN16" i="2" a="1"/>
  <c r="DN16" i="2" s="1"/>
  <c r="DN41" i="2" a="1"/>
  <c r="DN41" i="2" s="1"/>
  <c r="FY126" i="2" a="1"/>
  <c r="FY126" i="2" s="1"/>
  <c r="DN46" i="2" a="1"/>
  <c r="DN46" i="2" s="1"/>
  <c r="DN43" i="2" a="1"/>
  <c r="DN43" i="2" s="1"/>
  <c r="FY188" i="2" a="1"/>
  <c r="FY188" i="2" s="1"/>
  <c r="DN49" i="2" a="1"/>
  <c r="DN49" i="2" s="1"/>
  <c r="DN186" i="2" a="1"/>
  <c r="DN186" i="2" s="1"/>
  <c r="FY29" i="2" a="1"/>
  <c r="FY29" i="2" s="1"/>
  <c r="FY121" i="2" a="1"/>
  <c r="FY121" i="2" s="1"/>
  <c r="FY191" i="2" a="1"/>
  <c r="FY191" i="2" s="1"/>
  <c r="DN190" i="2" a="1"/>
  <c r="DN190" i="2" s="1"/>
  <c r="DN170" i="2" a="1"/>
  <c r="DN170" i="2" s="1"/>
  <c r="FY174" i="2" a="1"/>
  <c r="FY174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30" i="2" a="1"/>
  <c r="DN30" i="2" s="1"/>
  <c r="FY115" i="2" a="1"/>
  <c r="FY115" i="2" s="1"/>
  <c r="FY133" i="2" a="1"/>
  <c r="FY133" i="2" s="1"/>
  <c r="DN114" i="2" a="1"/>
  <c r="DN114" i="2" s="1"/>
  <c r="FY79" i="2" a="1"/>
  <c r="FY79" i="2" s="1"/>
  <c r="FY143" i="2" a="1"/>
  <c r="FY143" i="2" s="1"/>
  <c r="DN176" i="2" a="1"/>
  <c r="DN176" i="2" s="1"/>
  <c r="DN135" i="2" a="1"/>
  <c r="DN135" i="2" s="1"/>
  <c r="CS129" i="2" a="1"/>
  <c r="CS129" i="2" s="1"/>
  <c r="FY124" i="2" a="1"/>
  <c r="FY124" i="2" s="1"/>
  <c r="CS72" i="2" a="1"/>
  <c r="CS72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88" i="2" a="1"/>
  <c r="DN188" i="2" s="1"/>
  <c r="FY109" i="2" a="1"/>
  <c r="FY109" i="2" s="1"/>
  <c r="FY159" i="2" a="1"/>
  <c r="FY159" i="2" s="1"/>
  <c r="DN103" i="2" a="1"/>
  <c r="DN103" i="2" s="1"/>
  <c r="FY47" i="2" a="1"/>
  <c r="FY47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BX107" i="2" a="1"/>
  <c r="BX107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FY173" i="2" a="1"/>
  <c r="FY173" i="2" s="1"/>
  <c r="DN162" i="2" a="1"/>
  <c r="DN162" i="2" s="1"/>
  <c r="DN177" i="2" a="1"/>
  <c r="DN177" i="2" s="1"/>
  <c r="FY164" i="2" a="1"/>
  <c r="FY164" i="2" s="1"/>
  <c r="FY58" i="2" a="1"/>
  <c r="FY58" i="2" s="1"/>
  <c r="FY28" i="2" a="1"/>
  <c r="FY28" i="2" s="1"/>
  <c r="DN153" i="2" a="1"/>
  <c r="DN153" i="2" s="1"/>
  <c r="FY24" i="2" a="1"/>
  <c r="FY24" i="2" s="1"/>
  <c r="FY167" i="2" a="1"/>
  <c r="FY167" i="2" s="1"/>
  <c r="FY165" i="2" a="1"/>
  <c r="FY165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DI203" i="2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Y58" i="2" l="1"/>
  <c r="CY168" i="2"/>
  <c r="CY96" i="2"/>
  <c r="CY114" i="2"/>
  <c r="CY25" i="2"/>
  <c r="CY132" i="2"/>
  <c r="CY10" i="2"/>
  <c r="CY170" i="2"/>
  <c r="CY103" i="2"/>
  <c r="CY5" i="2"/>
  <c r="CY156" i="2"/>
  <c r="CY80" i="2"/>
  <c r="CY191" i="2"/>
  <c r="CY74" i="2"/>
  <c r="CY163" i="2"/>
  <c r="CY35" i="2"/>
  <c r="CY154" i="2"/>
  <c r="CY8" i="2"/>
  <c r="CY54" i="2"/>
  <c r="CY61" i="2"/>
  <c r="CY20" i="2"/>
  <c r="CY31" i="2"/>
  <c r="CY94" i="2"/>
  <c r="CY84" i="2"/>
  <c r="CY152" i="2"/>
  <c r="CY108" i="2"/>
  <c r="CY37" i="2"/>
  <c r="CY26" i="2"/>
  <c r="CY196" i="2"/>
  <c r="CY71" i="2"/>
  <c r="CY125" i="2"/>
  <c r="CY176" i="2"/>
  <c r="CY12" i="2"/>
  <c r="CY21" i="2"/>
  <c r="CY116" i="2"/>
  <c r="CY120" i="2"/>
  <c r="CY106" i="2"/>
  <c r="CY185" i="2"/>
  <c r="CY171" i="2"/>
  <c r="CY123" i="2"/>
  <c r="CY151" i="2"/>
  <c r="CY200" i="2"/>
  <c r="CY139" i="2"/>
  <c r="CY130" i="2"/>
  <c r="CY88" i="2"/>
  <c r="CY201" i="2"/>
  <c r="CY18" i="2"/>
  <c r="CY91" i="2"/>
  <c r="CY42" i="2"/>
  <c r="CY129" i="2"/>
  <c r="CY159" i="2"/>
  <c r="CY52" i="2"/>
  <c r="CY158" i="2"/>
  <c r="CY175" i="2"/>
  <c r="CY51" i="2"/>
  <c r="CY104" i="2"/>
  <c r="CY55" i="2"/>
  <c r="CY65" i="2"/>
  <c r="CY90" i="2"/>
  <c r="CY118" i="2"/>
  <c r="CY72" i="2"/>
  <c r="CY174" i="2"/>
  <c r="CY60" i="2"/>
  <c r="CY102" i="2"/>
  <c r="CY109" i="2"/>
  <c r="CY43" i="2"/>
  <c r="CY95" i="2"/>
  <c r="CY3" i="2"/>
  <c r="C10" i="4" s="1"/>
  <c r="E10" i="4" s="1"/>
  <c r="F10" i="4" s="1"/>
  <c r="G10" i="4" s="1"/>
  <c r="L10" i="4" s="1"/>
  <c r="CY164" i="2"/>
  <c r="CY183" i="2"/>
  <c r="CY161" i="2"/>
  <c r="CY140" i="2"/>
  <c r="CY66" i="2"/>
  <c r="CY22" i="2"/>
  <c r="CY190" i="2"/>
  <c r="CY81" i="2"/>
  <c r="CY166" i="2"/>
  <c r="CY82" i="2"/>
  <c r="CY198" i="2"/>
  <c r="CY203" i="2"/>
  <c r="CY45" i="2"/>
  <c r="CY115" i="2"/>
  <c r="CY149" i="2"/>
  <c r="CY179" i="2"/>
  <c r="CY73" i="2"/>
  <c r="CY150" i="2"/>
  <c r="CY131" i="2"/>
  <c r="CY162" i="2"/>
  <c r="CY13" i="2"/>
  <c r="CY111" i="2"/>
  <c r="CY19" i="2"/>
  <c r="CY9" i="2"/>
  <c r="CY53" i="2"/>
  <c r="CY77" i="2"/>
  <c r="CY189" i="2"/>
  <c r="CY122" i="2"/>
  <c r="CY147" i="2"/>
  <c r="CY86" i="2"/>
  <c r="CY187" i="2"/>
  <c r="CY44" i="2"/>
  <c r="CY76" i="2"/>
  <c r="CY39" i="2"/>
  <c r="CY157" i="2"/>
  <c r="CY134" i="2"/>
  <c r="CY135" i="2"/>
  <c r="CY199" i="2"/>
  <c r="CY182" i="2"/>
  <c r="CY46" i="2"/>
  <c r="CY124" i="2"/>
  <c r="CY6" i="2"/>
  <c r="CY194" i="2"/>
  <c r="CY141" i="2"/>
  <c r="CY188" i="2"/>
  <c r="CY38" i="2"/>
  <c r="CY41" i="2"/>
  <c r="CY165" i="2"/>
  <c r="CY119" i="2"/>
  <c r="CY142" i="2"/>
  <c r="CY97" i="2"/>
  <c r="CY148" i="2"/>
  <c r="CY192" i="2"/>
  <c r="CY67" i="2"/>
  <c r="CY98" i="2"/>
  <c r="CY107" i="2"/>
  <c r="CY93" i="2"/>
  <c r="CY7" i="2"/>
  <c r="CY15" i="2"/>
  <c r="CY137" i="2"/>
  <c r="CY160" i="2"/>
  <c r="CY70" i="2"/>
  <c r="CY59" i="2"/>
  <c r="CY57" i="2"/>
  <c r="CY68" i="2"/>
  <c r="CY24" i="2"/>
  <c r="CY197" i="2"/>
  <c r="CY112" i="2"/>
  <c r="CY16" i="2"/>
  <c r="CY100" i="2"/>
  <c r="CY145" i="2"/>
  <c r="CY40" i="2"/>
  <c r="CY113" i="2"/>
  <c r="CY36" i="2"/>
  <c r="CY62" i="2"/>
  <c r="CY126" i="2"/>
  <c r="CY138" i="2"/>
  <c r="CY195" i="2"/>
  <c r="CY69" i="2"/>
  <c r="CY167" i="2"/>
  <c r="CY144" i="2"/>
  <c r="CY184" i="2"/>
  <c r="CY4" i="2"/>
  <c r="CY117" i="2"/>
  <c r="CY23" i="2"/>
  <c r="CY85" i="2"/>
  <c r="CY155" i="2"/>
  <c r="CY178" i="2"/>
  <c r="CY17" i="2"/>
  <c r="CY92" i="2"/>
  <c r="CY32" i="2"/>
  <c r="CY29" i="2"/>
  <c r="CY169" i="2"/>
  <c r="CY75" i="2"/>
  <c r="CY193" i="2"/>
  <c r="CY30" i="2"/>
  <c r="CY89" i="2"/>
  <c r="CY56" i="2"/>
  <c r="CY83" i="2"/>
  <c r="CY27" i="2"/>
  <c r="CY153" i="2"/>
  <c r="CY177" i="2"/>
  <c r="CY127" i="2"/>
  <c r="CY133" i="2"/>
  <c r="CY136" i="2"/>
  <c r="CY181" i="2"/>
  <c r="CY34" i="2"/>
  <c r="CY64" i="2"/>
  <c r="CY63" i="2"/>
  <c r="CY180" i="2"/>
  <c r="CY110" i="2"/>
  <c r="CY14" i="2"/>
  <c r="CY47" i="2"/>
  <c r="CY79" i="2"/>
  <c r="CY78" i="2"/>
  <c r="CY28" i="2"/>
  <c r="CY101" i="2"/>
  <c r="CY99" i="2"/>
  <c r="CY128" i="2"/>
  <c r="CY11" i="2"/>
  <c r="CY48" i="2"/>
  <c r="CY50" i="2"/>
  <c r="CY172" i="2"/>
  <c r="CY87" i="2"/>
  <c r="CY143" i="2"/>
  <c r="CY121" i="2"/>
  <c r="CY146" i="2"/>
  <c r="CY49" i="2"/>
  <c r="CY173" i="2"/>
  <c r="CY33" i="2"/>
  <c r="CY202" i="2"/>
  <c r="CY186" i="2"/>
  <c r="CY105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EO47" i="2" l="1"/>
  <c r="EO111" i="2"/>
  <c r="EO44" i="2"/>
  <c r="EO66" i="2"/>
  <c r="EO118" i="2"/>
  <c r="EO33" i="2"/>
  <c r="EO168" i="2"/>
  <c r="EO150" i="2"/>
  <c r="EO193" i="2"/>
  <c r="EO52" i="2"/>
  <c r="EO61" i="2"/>
  <c r="EO196" i="2"/>
  <c r="EO55" i="2"/>
  <c r="EO20" i="2"/>
  <c r="EO53" i="2"/>
  <c r="EO113" i="2"/>
  <c r="EO26" i="2"/>
  <c r="EO17" i="2"/>
  <c r="EO156" i="2"/>
  <c r="EO142" i="2"/>
  <c r="EO141" i="2"/>
  <c r="EO88" i="2"/>
  <c r="EO174" i="2"/>
  <c r="EO72" i="2"/>
  <c r="EO70" i="2"/>
  <c r="EO203" i="2"/>
  <c r="EO112" i="2"/>
  <c r="EO92" i="2"/>
  <c r="EO180" i="2"/>
  <c r="EO201" i="2"/>
  <c r="EO98" i="2"/>
  <c r="EO75" i="2"/>
  <c r="EO136" i="2"/>
  <c r="EO93" i="2"/>
  <c r="EO45" i="2"/>
  <c r="EO77" i="2"/>
  <c r="EO202" i="2"/>
  <c r="EO121" i="2"/>
  <c r="EO12" i="2"/>
  <c r="EO152" i="2"/>
  <c r="EO116" i="2"/>
  <c r="EO108" i="2"/>
  <c r="EO6" i="2"/>
  <c r="EO65" i="2"/>
  <c r="EO10" i="2"/>
  <c r="EO8" i="2"/>
  <c r="EO30" i="2"/>
  <c r="EO163" i="2"/>
  <c r="EO5" i="2"/>
  <c r="EO90" i="2"/>
  <c r="EO84" i="2"/>
  <c r="EO68" i="2"/>
  <c r="EO91" i="2"/>
  <c r="EO32" i="2"/>
  <c r="EO160" i="2"/>
  <c r="EO131" i="2"/>
  <c r="EO105" i="2"/>
  <c r="EO182" i="2"/>
  <c r="EO64" i="2"/>
  <c r="EO11" i="2"/>
  <c r="EO115" i="2"/>
  <c r="EO125" i="2"/>
  <c r="EO80" i="2"/>
  <c r="EO89" i="2"/>
  <c r="EO145" i="2"/>
  <c r="EO3" i="2"/>
  <c r="C12" i="4" s="1"/>
  <c r="E12" i="4" s="1"/>
  <c r="F12" i="4" s="1"/>
  <c r="G12" i="4" s="1"/>
  <c r="L12" i="4" s="1"/>
  <c r="EO9" i="2"/>
  <c r="EO50" i="2"/>
  <c r="EO144" i="2"/>
  <c r="EO175" i="2"/>
  <c r="EO15" i="2"/>
  <c r="EO83" i="2"/>
  <c r="EO22" i="2"/>
  <c r="EO153" i="2"/>
  <c r="EO24" i="2"/>
  <c r="EO155" i="2"/>
  <c r="EO129" i="2"/>
  <c r="EO63" i="2"/>
  <c r="EO102" i="2"/>
  <c r="EO117" i="2"/>
  <c r="EO78" i="2"/>
  <c r="EO181" i="2"/>
  <c r="EO104" i="2"/>
  <c r="EO151" i="2"/>
  <c r="EO67" i="2"/>
  <c r="EO143" i="2"/>
  <c r="EO94" i="2"/>
  <c r="EO39" i="2"/>
  <c r="EO27" i="2"/>
  <c r="EO183" i="2"/>
  <c r="EO171" i="2"/>
  <c r="EO133" i="2"/>
  <c r="EO87" i="2"/>
  <c r="EO188" i="2"/>
  <c r="EO110" i="2"/>
  <c r="EO198" i="2"/>
  <c r="EO128" i="2"/>
  <c r="EO42" i="2"/>
  <c r="EO96" i="2"/>
  <c r="EO172" i="2"/>
  <c r="EO69" i="2"/>
  <c r="EO122" i="2"/>
  <c r="EO146" i="2"/>
  <c r="EO165" i="2"/>
  <c r="EO51" i="2"/>
  <c r="EO103" i="2"/>
  <c r="EO97" i="2"/>
  <c r="EO157" i="2"/>
  <c r="EO167" i="2"/>
  <c r="EO37" i="2"/>
  <c r="EO81" i="2"/>
  <c r="EO186" i="2"/>
  <c r="EO16" i="2"/>
  <c r="EO36" i="2"/>
  <c r="EO185" i="2"/>
  <c r="EO54" i="2"/>
  <c r="EO49" i="2"/>
  <c r="EO4" i="2"/>
  <c r="EO114" i="2"/>
  <c r="EO148" i="2"/>
  <c r="EO14" i="2"/>
  <c r="EO149" i="2"/>
  <c r="EO130" i="2"/>
  <c r="EO46" i="2"/>
  <c r="EO147" i="2"/>
  <c r="EO28" i="2"/>
  <c r="EO109" i="2"/>
  <c r="EO127" i="2"/>
  <c r="EO189" i="2"/>
  <c r="EO57" i="2"/>
  <c r="EO74" i="2"/>
  <c r="EO162" i="2"/>
  <c r="EO200" i="2"/>
  <c r="EO19" i="2"/>
  <c r="EO159" i="2"/>
  <c r="EO95" i="2"/>
  <c r="EO158" i="2"/>
  <c r="EO71" i="2"/>
  <c r="EO101" i="2"/>
  <c r="EO120" i="2"/>
  <c r="EO197" i="2"/>
  <c r="EO187" i="2"/>
  <c r="EO132" i="2"/>
  <c r="EO76" i="2"/>
  <c r="EO25" i="2"/>
  <c r="EO173" i="2"/>
  <c r="EO86" i="2"/>
  <c r="EO154" i="2"/>
  <c r="EO106" i="2"/>
  <c r="EO7" i="2"/>
  <c r="EO123" i="2"/>
  <c r="EO161" i="2"/>
  <c r="EO190" i="2"/>
  <c r="EO134" i="2"/>
  <c r="EO13" i="2"/>
  <c r="EO184" i="2"/>
  <c r="EO176" i="2"/>
  <c r="EO137" i="2"/>
  <c r="EO138" i="2"/>
  <c r="EO179" i="2"/>
  <c r="EO195" i="2"/>
  <c r="EO73" i="2"/>
  <c r="EO79" i="2"/>
  <c r="EO59" i="2"/>
  <c r="EO35" i="2"/>
  <c r="EO18" i="2"/>
  <c r="EO21" i="2"/>
  <c r="EO48" i="2"/>
  <c r="EO177" i="2"/>
  <c r="EO107" i="2"/>
  <c r="EO135" i="2"/>
  <c r="EO85" i="2"/>
  <c r="EO100" i="2"/>
  <c r="EO23" i="2"/>
  <c r="EO58" i="2"/>
  <c r="EO31" i="2"/>
  <c r="EO41" i="2"/>
  <c r="EO119" i="2"/>
  <c r="EO60" i="2"/>
  <c r="EO191" i="2"/>
  <c r="EO124" i="2"/>
  <c r="EO192" i="2"/>
  <c r="EO199" i="2"/>
  <c r="EO178" i="2"/>
  <c r="EO34" i="2"/>
  <c r="EO99" i="2"/>
  <c r="EO38" i="2"/>
  <c r="EO56" i="2"/>
  <c r="EO170" i="2"/>
  <c r="EO29" i="2"/>
  <c r="EO82" i="2"/>
  <c r="EO166" i="2"/>
  <c r="EO194" i="2"/>
  <c r="EO43" i="2"/>
  <c r="EO169" i="2"/>
  <c r="EO164" i="2"/>
  <c r="EO140" i="2"/>
  <c r="EO40" i="2"/>
  <c r="EO62" i="2"/>
  <c r="EO126" i="2"/>
  <c r="EO139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187" i="2" l="1"/>
  <c r="BI168" i="2"/>
  <c r="BI47" i="2"/>
  <c r="BI18" i="2"/>
  <c r="BI51" i="2"/>
  <c r="BI183" i="2"/>
  <c r="BI111" i="2"/>
  <c r="BI114" i="2"/>
  <c r="BI144" i="2"/>
  <c r="BI80" i="2"/>
  <c r="BI43" i="2"/>
  <c r="BI91" i="2"/>
  <c r="BI68" i="2"/>
  <c r="BI102" i="2"/>
  <c r="BI76" i="2"/>
  <c r="BI142" i="2"/>
  <c r="BI162" i="2"/>
  <c r="BI59" i="2"/>
  <c r="BI64" i="2"/>
  <c r="BI81" i="2"/>
  <c r="BI77" i="2"/>
  <c r="BI193" i="2"/>
  <c r="BI152" i="2"/>
  <c r="BI5" i="2"/>
  <c r="BI50" i="2"/>
  <c r="BI55" i="2"/>
  <c r="BI134" i="2"/>
  <c r="BI189" i="2"/>
  <c r="BI113" i="2"/>
  <c r="BI86" i="2"/>
  <c r="BI65" i="2"/>
  <c r="BI62" i="2"/>
  <c r="BI25" i="2"/>
  <c r="BI151" i="2"/>
  <c r="BI100" i="2"/>
  <c r="BI171" i="2"/>
  <c r="BI22" i="2"/>
  <c r="BI103" i="2"/>
  <c r="BI82" i="2"/>
  <c r="BI33" i="2"/>
  <c r="BI88" i="2"/>
  <c r="BI139" i="2"/>
  <c r="BI196" i="2"/>
  <c r="BI78" i="2"/>
  <c r="BI67" i="2"/>
  <c r="BI186" i="2"/>
  <c r="BI131" i="2"/>
  <c r="BI96" i="2"/>
  <c r="BI53" i="2"/>
  <c r="BI24" i="2"/>
  <c r="BI161" i="2"/>
  <c r="BI6" i="2"/>
  <c r="BI132" i="2"/>
  <c r="BI198" i="2"/>
  <c r="BI124" i="2"/>
  <c r="BI147" i="2"/>
  <c r="BI146" i="2"/>
  <c r="BI137" i="2"/>
  <c r="BI158" i="2"/>
  <c r="BI79" i="2"/>
  <c r="BI57" i="2"/>
  <c r="BI60" i="2"/>
  <c r="BI46" i="2"/>
  <c r="BI149" i="2"/>
  <c r="BI56" i="2"/>
  <c r="BI74" i="2"/>
  <c r="BI166" i="2"/>
  <c r="BI95" i="2"/>
  <c r="BI85" i="2"/>
  <c r="BI45" i="2"/>
  <c r="BI126" i="2"/>
  <c r="BI118" i="2"/>
  <c r="BI129" i="2"/>
  <c r="BI26" i="2"/>
  <c r="BI99" i="2"/>
  <c r="BI73" i="2"/>
  <c r="BI72" i="2"/>
  <c r="BI112" i="2"/>
  <c r="BI122" i="2"/>
  <c r="BI9" i="2"/>
  <c r="BI185" i="2"/>
  <c r="BI49" i="2"/>
  <c r="BI52" i="2"/>
  <c r="BI44" i="2"/>
  <c r="BI20" i="2"/>
  <c r="BI173" i="2"/>
  <c r="BI110" i="2"/>
  <c r="BI23" i="2"/>
  <c r="BI154" i="2"/>
  <c r="BI150" i="2"/>
  <c r="BI8" i="2"/>
  <c r="BI98" i="2"/>
  <c r="BI115" i="2"/>
  <c r="BI10" i="2"/>
  <c r="BI148" i="2"/>
  <c r="BI145" i="2"/>
  <c r="BI135" i="2"/>
  <c r="BI21" i="2"/>
  <c r="BI179" i="2"/>
  <c r="BI94" i="2"/>
  <c r="BI27" i="2"/>
  <c r="BI117" i="2"/>
  <c r="BI195" i="2"/>
  <c r="BI159" i="2"/>
  <c r="BI39" i="2"/>
  <c r="BI92" i="2"/>
  <c r="BI141" i="2"/>
  <c r="BI153" i="2"/>
  <c r="BI29" i="2"/>
  <c r="BI172" i="2"/>
  <c r="BI28" i="2"/>
  <c r="BI203" i="2"/>
  <c r="BI202" i="2"/>
  <c r="BI90" i="2"/>
  <c r="BI12" i="2"/>
  <c r="BI7" i="2"/>
  <c r="BI71" i="2"/>
  <c r="BI175" i="2"/>
  <c r="BI130" i="2"/>
  <c r="BI32" i="2"/>
  <c r="BI160" i="2"/>
  <c r="BI70" i="2"/>
  <c r="BI89" i="2"/>
  <c r="BI15" i="2"/>
  <c r="BI84" i="2"/>
  <c r="BI35" i="2"/>
  <c r="BI169" i="2"/>
  <c r="BI105" i="2"/>
  <c r="BI75" i="2"/>
  <c r="BI127" i="2"/>
  <c r="BI136" i="2"/>
  <c r="BI184" i="2"/>
  <c r="BI200" i="2"/>
  <c r="BI123" i="2"/>
  <c r="BI37" i="2"/>
  <c r="BI163" i="2"/>
  <c r="BI128" i="2"/>
  <c r="BI176" i="2"/>
  <c r="BI167" i="2"/>
  <c r="BI108" i="2"/>
  <c r="BI40" i="2"/>
  <c r="BI199" i="2"/>
  <c r="BI116" i="2"/>
  <c r="BI201" i="2"/>
  <c r="BI177" i="2"/>
  <c r="BI165" i="2"/>
  <c r="BI34" i="2"/>
  <c r="BI106" i="2"/>
  <c r="BI17" i="2"/>
  <c r="BI3" i="2"/>
  <c r="C8" i="4" s="1"/>
  <c r="E8" i="4" s="1"/>
  <c r="F8" i="4" s="1"/>
  <c r="G8" i="4" s="1"/>
  <c r="L8" i="4" s="1"/>
  <c r="BI119" i="2"/>
  <c r="BI188" i="2"/>
  <c r="BI120" i="2"/>
  <c r="BI36" i="2"/>
  <c r="BI14" i="2"/>
  <c r="BI157" i="2"/>
  <c r="BI182" i="2"/>
  <c r="BI181" i="2"/>
  <c r="BI178" i="2"/>
  <c r="BI197" i="2"/>
  <c r="BI190" i="2"/>
  <c r="BI42" i="2"/>
  <c r="BI104" i="2"/>
  <c r="BI58" i="2"/>
  <c r="BI107" i="2"/>
  <c r="BI87" i="2"/>
  <c r="BI164" i="2"/>
  <c r="BI13" i="2"/>
  <c r="BI93" i="2"/>
  <c r="BI194" i="2"/>
  <c r="BI125" i="2"/>
  <c r="BI121" i="2"/>
  <c r="BI4" i="2"/>
  <c r="BI140" i="2"/>
  <c r="BI143" i="2"/>
  <c r="BI101" i="2"/>
  <c r="BI41" i="2"/>
  <c r="BI191" i="2"/>
  <c r="BI180" i="2"/>
  <c r="BI109" i="2"/>
  <c r="BI11" i="2"/>
  <c r="BI156" i="2"/>
  <c r="BI31" i="2"/>
  <c r="BI192" i="2"/>
  <c r="BI133" i="2"/>
  <c r="BI97" i="2"/>
  <c r="BI69" i="2"/>
  <c r="BI174" i="2"/>
  <c r="BI48" i="2"/>
  <c r="BI66" i="2"/>
  <c r="BI38" i="2"/>
  <c r="BI61" i="2"/>
  <c r="BI83" i="2"/>
  <c r="BI170" i="2"/>
  <c r="BI155" i="2"/>
  <c r="BI30" i="2"/>
  <c r="BI54" i="2"/>
  <c r="BI16" i="2"/>
  <c r="BI138" i="2"/>
  <c r="BI63" i="2"/>
  <c r="BI19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<sst xmlns="http://schemas.openxmlformats.org/spreadsheetml/2006/main" count="1176" uniqueCount="325">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</sst>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color rgb="FF000000"/>
      <name val="Times New Roman"/>
      <charset val="204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" xfId="3" xr:uid="{C3D2FE47-01EF-4177-A2DF-ACD724846AC7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2.8300887377079711</c:v>
                </c:pt>
                <c:pt idx="2">
                  <c:v>3.3023042337395179</c:v>
                </c:pt>
                <c:pt idx="3">
                  <c:v>3.8535970165131981</c:v>
                </c:pt>
                <c:pt idx="4">
                  <c:v>4.4972545440769327</c:v>
                </c:pt>
                <c:pt idx="5">
                  <c:v>5.2488040989672156</c:v>
                </c:pt>
                <c:pt idx="6">
                  <c:v>6.1263914656658001</c:v>
                </c:pt>
                <c:pt idx="7">
                  <c:v>7.1512238043191303</c:v>
                </c:pt>
                <c:pt idx="8">
                  <c:v>8.3480876310517598</c:v>
                </c:pt>
                <c:pt idx="9">
                  <c:v>9.7459546736940528</c:v>
                </c:pt>
                <c:pt idx="10">
                  <c:v>11.378690547472175</c:v>
                </c:pt>
                <c:pt idx="11">
                  <c:v>13.285883742428437</c:v>
                </c:pt>
                <c:pt idx="12">
                  <c:v>15.513815396600551</c:v>
                </c:pt>
                <c:pt idx="13">
                  <c:v>18.116593820726411</c:v>
                </c:pt>
                <c:pt idx="14">
                  <c:v>21.15748182865056</c:v>
                </c:pt>
                <c:pt idx="15">
                  <c:v>24.710449714832063</c:v>
                </c:pt>
                <c:pt idx="16">
                  <c:v>28.861992326044312</c:v>
                </c:pt>
                <c:pt idx="17">
                  <c:v>33.713255238692668</c:v>
                </c:pt>
                <c:pt idx="18">
                  <c:v>39.382522740372629</c:v>
                </c:pt>
                <c:pt idx="19">
                  <c:v>46.008129316747045</c:v>
                </c:pt>
                <c:pt idx="20">
                  <c:v>53.751866887941766</c:v>
                </c:pt>
                <c:pt idx="21">
                  <c:v>62.802972386545882</c:v>
                </c:pt>
                <c:pt idx="22">
                  <c:v>73.382794731387975</c:v>
                </c:pt>
                <c:pt idx="23">
                  <c:v>85.75025719011127</c:v>
                </c:pt>
                <c:pt idx="24">
                  <c:v>100.20825096401774</c:v>
                </c:pt>
                <c:pt idx="25">
                  <c:v>117.11111906849764</c:v>
                </c:pt>
                <c:pt idx="26">
                  <c:v>136.87341680492963</c:v>
                </c:pt>
                <c:pt idx="27">
                  <c:v>159.98016700878466</c:v>
                </c:pt>
                <c:pt idx="28">
                  <c:v>186.99886561482674</c:v>
                </c:pt>
                <c:pt idx="29">
                  <c:v>218.59353684249234</c:v>
                </c:pt>
                <c:pt idx="30">
                  <c:v>255.54118857285985</c:v>
                </c:pt>
                <c:pt idx="31">
                  <c:v>272.00849893770356</c:v>
                </c:pt>
                <c:pt idx="32">
                  <c:v>288.45339557729767</c:v>
                </c:pt>
                <c:pt idx="33">
                  <c:v>304.87733608853677</c:v>
                </c:pt>
                <c:pt idx="34">
                  <c:v>321.28160818268685</c:v>
                </c:pt>
                <c:pt idx="35">
                  <c:v>337.66735733157566</c:v>
                </c:pt>
                <c:pt idx="36">
                  <c:v>233.00479235221312</c:v>
                </c:pt>
                <c:pt idx="37">
                  <c:v>252.07911005273732</c:v>
                </c:pt>
                <c:pt idx="38">
                  <c:v>271.12073056771482</c:v>
                </c:pt>
                <c:pt idx="39">
                  <c:v>290.13227292366406</c:v>
                </c:pt>
                <c:pt idx="40">
                  <c:v>309.115984816913</c:v>
                </c:pt>
                <c:pt idx="41">
                  <c:v>328.07381531509895</c:v>
                </c:pt>
                <c:pt idx="42">
                  <c:v>268.61756659218918</c:v>
                </c:pt>
                <c:pt idx="43">
                  <c:v>287.69644712108328</c:v>
                </c:pt>
                <c:pt idx="44">
                  <c:v>306.74703867547379</c:v>
                </c:pt>
                <c:pt idx="45">
                  <c:v>325.77134476699888</c:v>
                </c:pt>
                <c:pt idx="46">
                  <c:v>344.77111581751478</c:v>
                </c:pt>
                <c:pt idx="47">
                  <c:v>363.74789360697088</c:v>
                </c:pt>
                <c:pt idx="48">
                  <c:v>382.70304595619928</c:v>
                </c:pt>
                <c:pt idx="49">
                  <c:v>303.13874281695564</c:v>
                </c:pt>
                <c:pt idx="50">
                  <c:v>321.20818384530156</c:v>
                </c:pt>
                <c:pt idx="51">
                  <c:v>339.25514505794769</c:v>
                </c:pt>
                <c:pt idx="52">
                  <c:v>357.28099019111329</c:v>
                </c:pt>
                <c:pt idx="53">
                  <c:v>375.28693416610736</c:v>
                </c:pt>
                <c:pt idx="54">
                  <c:v>393.27406583754754</c:v>
                </c:pt>
                <c:pt idx="55">
                  <c:v>411.24336636167533</c:v>
                </c:pt>
                <c:pt idx="56">
                  <c:v>336.65582481935542</c:v>
                </c:pt>
                <c:pt idx="57">
                  <c:v>353.67047661829503</c:v>
                </c:pt>
                <c:pt idx="58">
                  <c:v>370.66719819613382</c:v>
                </c:pt>
                <c:pt idx="59">
                  <c:v>387.64692722663199</c:v>
                </c:pt>
                <c:pt idx="60">
                  <c:v>404.61051255538331</c:v>
                </c:pt>
                <c:pt idx="61">
                  <c:v>421.55872606332355</c:v>
                </c:pt>
                <c:pt idx="62">
                  <c:v>438.49227252285419</c:v>
                </c:pt>
                <c:pt idx="63">
                  <c:v>455.41179785218742</c:v>
                </c:pt>
                <c:pt idx="64">
                  <c:v>387.38872307420428</c:v>
                </c:pt>
                <c:pt idx="65">
                  <c:v>403.79766892561094</c:v>
                </c:pt>
                <c:pt idx="66">
                  <c:v>420.19219977213396</c:v>
                </c:pt>
                <c:pt idx="67">
                  <c:v>436.57295704245297</c:v>
                </c:pt>
                <c:pt idx="68">
                  <c:v>452.94053011940122</c:v>
                </c:pt>
                <c:pt idx="69">
                  <c:v>469.29546233005067</c:v>
                </c:pt>
                <c:pt idx="70">
                  <c:v>485.63825605742119</c:v>
                </c:pt>
                <c:pt idx="71">
                  <c:v>501.96937712842765</c:v>
                </c:pt>
                <c:pt idx="72">
                  <c:v>437.19421236262428</c:v>
                </c:pt>
                <c:pt idx="73">
                  <c:v>453.0410551730152</c:v>
                </c:pt>
                <c:pt idx="74">
                  <c:v>468.87605144643567</c:v>
                </c:pt>
                <c:pt idx="75">
                  <c:v>484.69965746072268</c:v>
                </c:pt>
                <c:pt idx="76">
                  <c:v>500.51229728372147</c:v>
                </c:pt>
                <c:pt idx="77">
                  <c:v>516.31436601390897</c:v>
                </c:pt>
                <c:pt idx="78">
                  <c:v>532.1062326037669</c:v>
                </c:pt>
                <c:pt idx="79">
                  <c:v>547.8882423306602</c:v>
                </c:pt>
                <c:pt idx="80">
                  <c:v>563.66071896831943</c:v>
                </c:pt>
                <c:pt idx="81">
                  <c:v>486.91617505470657</c:v>
                </c:pt>
                <c:pt idx="82">
                  <c:v>502.02679715904873</c:v>
                </c:pt>
                <c:pt idx="83">
                  <c:v>517.12779786762223</c:v>
                </c:pt>
                <c:pt idx="84">
                  <c:v>532.21949760445716</c:v>
                </c:pt>
                <c:pt idx="85">
                  <c:v>547.30219714726127</c:v>
                </c:pt>
                <c:pt idx="86">
                  <c:v>562.37617935144647</c:v>
                </c:pt>
                <c:pt idx="87">
                  <c:v>577.44171067977061</c:v>
                </c:pt>
                <c:pt idx="88">
                  <c:v>592.49904256411321</c:v>
                </c:pt>
                <c:pt idx="89">
                  <c:v>607.54841262168736</c:v>
                </c:pt>
                <c:pt idx="90">
                  <c:v>522.68079568006328</c:v>
                </c:pt>
                <c:pt idx="91">
                  <c:v>537.13155805678423</c:v>
                </c:pt>
                <c:pt idx="92">
                  <c:v>551.57415134559483</c:v>
                </c:pt>
                <c:pt idx="93">
                  <c:v>566.00881949527275</c:v>
                </c:pt>
                <c:pt idx="94">
                  <c:v>580.43579300269312</c:v>
                </c:pt>
                <c:pt idx="95">
                  <c:v>594.85528997745757</c:v>
                </c:pt>
                <c:pt idx="96">
                  <c:v>609.26751709797009</c:v>
                </c:pt>
                <c:pt idx="97">
                  <c:v>623.67267047239375</c:v>
                </c:pt>
                <c:pt idx="98">
                  <c:v>638.07093641596532</c:v>
                </c:pt>
                <c:pt idx="99">
                  <c:v>652.46249215454304</c:v>
                </c:pt>
                <c:pt idx="100">
                  <c:v>570.11686164257083</c:v>
                </c:pt>
                <c:pt idx="101">
                  <c:v>584.17078847527091</c:v>
                </c:pt>
                <c:pt idx="102">
                  <c:v>598.21767026439147</c:v>
                </c:pt>
                <c:pt idx="103">
                  <c:v>612.25769566680685</c:v>
                </c:pt>
                <c:pt idx="104">
                  <c:v>626.29104398570837</c:v>
                </c:pt>
                <c:pt idx="105">
                  <c:v>640.31788583791365</c:v>
                </c:pt>
                <c:pt idx="106">
                  <c:v>654.33838375969526</c:v>
                </c:pt>
                <c:pt idx="107">
                  <c:v>668.3526927580142</c:v>
                </c:pt>
                <c:pt idx="108">
                  <c:v>682.36096081314474</c:v>
                </c:pt>
                <c:pt idx="109">
                  <c:v>696.36332933790538</c:v>
                </c:pt>
                <c:pt idx="110">
                  <c:v>607.27818492619883</c:v>
                </c:pt>
                <c:pt idx="111">
                  <c:v>621.01805551064149</c:v>
                </c:pt>
                <c:pt idx="112">
                  <c:v>634.75163059249928</c:v>
                </c:pt>
                <c:pt idx="113">
                  <c:v>648.47906550545724</c:v>
                </c:pt>
                <c:pt idx="114">
                  <c:v>662.2005084740648</c:v>
                </c:pt>
                <c:pt idx="115">
                  <c:v>675.91610108272448</c:v>
                </c:pt>
                <c:pt idx="116">
                  <c:v>689.62597870465913</c:v>
                </c:pt>
                <c:pt idx="117">
                  <c:v>703.3302708950132</c:v>
                </c:pt>
                <c:pt idx="118">
                  <c:v>717.029101751746</c:v>
                </c:pt>
                <c:pt idx="119">
                  <c:v>730.722590247531</c:v>
                </c:pt>
                <c:pt idx="120">
                  <c:v>436.93577821132686</c:v>
                </c:pt>
                <c:pt idx="121">
                  <c:v>444.6765915779776</c:v>
                </c:pt>
                <c:pt idx="122">
                  <c:v>452.41451914994468</c:v>
                </c:pt>
                <c:pt idx="123">
                  <c:v>460.14961727083966</c:v>
                </c:pt>
                <c:pt idx="124">
                  <c:v>308.4272601205509</c:v>
                </c:pt>
                <c:pt idx="125">
                  <c:v>313.18235897057895</c:v>
                </c:pt>
                <c:pt idx="126">
                  <c:v>317.93585661948782</c:v>
                </c:pt>
                <c:pt idx="127">
                  <c:v>322.68778042083636</c:v>
                </c:pt>
                <c:pt idx="128">
                  <c:v>223.80295212162545</c:v>
                </c:pt>
                <c:pt idx="129">
                  <c:v>226.89309000196636</c:v>
                </c:pt>
                <c:pt idx="130">
                  <c:v>229.98226419151877</c:v>
                </c:pt>
                <c:pt idx="131">
                  <c:v>233.07048949321802</c:v>
                </c:pt>
                <c:pt idx="132">
                  <c:v>1.2570369120605403E-11</c:v>
                </c:pt>
                <c:pt idx="133">
                  <c:v>1.2570369120605403E-11</c:v>
                </c:pt>
                <c:pt idx="134">
                  <c:v>1.2570369120605403E-11</c:v>
                </c:pt>
                <c:pt idx="135">
                  <c:v>1.2570369120605403E-11</c:v>
                </c:pt>
                <c:pt idx="136">
                  <c:v>1.2570369120605403E-11</c:v>
                </c:pt>
                <c:pt idx="137">
                  <c:v>1.2570369120605403E-11</c:v>
                </c:pt>
                <c:pt idx="138">
                  <c:v>1.2570369120605403E-11</c:v>
                </c:pt>
                <c:pt idx="139">
                  <c:v>1.2570369120605403E-11</c:v>
                </c:pt>
                <c:pt idx="140">
                  <c:v>1.2570369120605403E-11</c:v>
                </c:pt>
                <c:pt idx="141">
                  <c:v>1.2570369120605403E-11</c:v>
                </c:pt>
                <c:pt idx="142">
                  <c:v>1.2570369120605403E-11</c:v>
                </c:pt>
                <c:pt idx="143">
                  <c:v>1.2570369120605403E-11</c:v>
                </c:pt>
                <c:pt idx="144">
                  <c:v>1.2570369120605403E-11</c:v>
                </c:pt>
                <c:pt idx="145">
                  <c:v>1.2570369120605403E-11</c:v>
                </c:pt>
                <c:pt idx="146">
                  <c:v>1.2570369120605403E-11</c:v>
                </c:pt>
                <c:pt idx="147">
                  <c:v>1.2570369120605403E-11</c:v>
                </c:pt>
                <c:pt idx="148">
                  <c:v>1.2570369120605403E-11</c:v>
                </c:pt>
                <c:pt idx="149">
                  <c:v>1.2570369120605403E-11</c:v>
                </c:pt>
                <c:pt idx="150">
                  <c:v>1.2570369120605403E-11</c:v>
                </c:pt>
                <c:pt idx="151">
                  <c:v>1.2570369120605403E-11</c:v>
                </c:pt>
                <c:pt idx="152">
                  <c:v>1.2570369120605403E-11</c:v>
                </c:pt>
                <c:pt idx="153">
                  <c:v>1.2570369120605403E-11</c:v>
                </c:pt>
                <c:pt idx="154">
                  <c:v>1.2570369120605403E-11</c:v>
                </c:pt>
                <c:pt idx="155">
                  <c:v>1.2570369120605403E-11</c:v>
                </c:pt>
                <c:pt idx="156">
                  <c:v>1.2570369120605403E-11</c:v>
                </c:pt>
                <c:pt idx="157">
                  <c:v>1.2570369120605403E-11</c:v>
                </c:pt>
                <c:pt idx="158">
                  <c:v>1.2570369120605403E-11</c:v>
                </c:pt>
                <c:pt idx="159">
                  <c:v>1.2570369120605403E-11</c:v>
                </c:pt>
                <c:pt idx="160">
                  <c:v>1.2570369120605403E-11</c:v>
                </c:pt>
                <c:pt idx="161">
                  <c:v>1.2570369120605403E-11</c:v>
                </c:pt>
                <c:pt idx="162">
                  <c:v>1.2570369120605403E-11</c:v>
                </c:pt>
                <c:pt idx="163">
                  <c:v>1.2570369120605403E-11</c:v>
                </c:pt>
                <c:pt idx="164">
                  <c:v>1.2570369120605403E-11</c:v>
                </c:pt>
                <c:pt idx="165">
                  <c:v>1.2570369120605403E-11</c:v>
                </c:pt>
                <c:pt idx="166">
                  <c:v>1.2570369120605403E-11</c:v>
                </c:pt>
                <c:pt idx="167">
                  <c:v>1.2570369120605403E-11</c:v>
                </c:pt>
                <c:pt idx="168">
                  <c:v>1.2570369120605403E-11</c:v>
                </c:pt>
                <c:pt idx="169">
                  <c:v>1.2570369120605403E-11</c:v>
                </c:pt>
                <c:pt idx="170">
                  <c:v>1.2570369120605403E-11</c:v>
                </c:pt>
                <c:pt idx="171">
                  <c:v>1.2570369120605403E-11</c:v>
                </c:pt>
                <c:pt idx="172">
                  <c:v>1.2570369120605403E-11</c:v>
                </c:pt>
                <c:pt idx="173">
                  <c:v>1.2570369120605403E-11</c:v>
                </c:pt>
                <c:pt idx="174">
                  <c:v>1.2570369120605403E-11</c:v>
                </c:pt>
                <c:pt idx="175">
                  <c:v>1.2570369120605403E-11</c:v>
                </c:pt>
                <c:pt idx="176">
                  <c:v>1.2570369120605403E-11</c:v>
                </c:pt>
                <c:pt idx="177">
                  <c:v>1.2570369120605403E-11</c:v>
                </c:pt>
                <c:pt idx="178">
                  <c:v>1.2570369120605403E-11</c:v>
                </c:pt>
                <c:pt idx="179">
                  <c:v>1.2570369120605403E-11</c:v>
                </c:pt>
                <c:pt idx="180">
                  <c:v>1.2570369120605403E-11</c:v>
                </c:pt>
                <c:pt idx="181">
                  <c:v>1.2570369120605403E-11</c:v>
                </c:pt>
                <c:pt idx="182">
                  <c:v>1.2570369120605403E-11</c:v>
                </c:pt>
                <c:pt idx="183">
                  <c:v>1.2570369120605403E-11</c:v>
                </c:pt>
                <c:pt idx="184">
                  <c:v>1.2570369120605403E-11</c:v>
                </c:pt>
                <c:pt idx="185">
                  <c:v>1.2570369120605403E-11</c:v>
                </c:pt>
                <c:pt idx="186">
                  <c:v>1.2570369120605403E-11</c:v>
                </c:pt>
                <c:pt idx="187">
                  <c:v>1.2570369120605403E-11</c:v>
                </c:pt>
                <c:pt idx="188">
                  <c:v>1.2570369120605403E-11</c:v>
                </c:pt>
                <c:pt idx="189">
                  <c:v>1.2570369120605403E-11</c:v>
                </c:pt>
                <c:pt idx="190">
                  <c:v>1.2570369120605403E-11</c:v>
                </c:pt>
                <c:pt idx="191">
                  <c:v>1.2570369120605403E-11</c:v>
                </c:pt>
                <c:pt idx="192">
                  <c:v>1.2570369120605403E-11</c:v>
                </c:pt>
                <c:pt idx="193">
                  <c:v>1.2570369120605403E-11</c:v>
                </c:pt>
                <c:pt idx="194">
                  <c:v>1.2570369120605403E-11</c:v>
                </c:pt>
                <c:pt idx="195">
                  <c:v>1.2570369120605403E-11</c:v>
                </c:pt>
                <c:pt idx="196">
                  <c:v>1.2570369120605403E-11</c:v>
                </c:pt>
                <c:pt idx="197">
                  <c:v>1.2570369120605403E-11</c:v>
                </c:pt>
                <c:pt idx="198">
                  <c:v>1.2570369120605403E-11</c:v>
                </c:pt>
                <c:pt idx="199">
                  <c:v>1.2570369120605403E-11</c:v>
                </c:pt>
                <c:pt idx="200">
                  <c:v>1.2570369120605403E-11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1.9338344915053816</c:v>
                </c:pt>
                <c:pt idx="2">
                  <c:v>2.5168792774880031</c:v>
                </c:pt>
                <c:pt idx="3">
                  <c:v>3.2764284552021476</c:v>
                </c:pt>
                <c:pt idx="4">
                  <c:v>4.2661201458786024</c:v>
                </c:pt>
                <c:pt idx="5">
                  <c:v>5.5559509893338399</c:v>
                </c:pt>
                <c:pt idx="6">
                  <c:v>7.237281695378214</c:v>
                </c:pt>
                <c:pt idx="7">
                  <c:v>9.4293789173990721</c:v>
                </c:pt>
                <c:pt idx="8">
                  <c:v>12.287966296384234</c:v>
                </c:pt>
                <c:pt idx="9">
                  <c:v>16.016403425468454</c:v>
                </c:pt>
                <c:pt idx="10">
                  <c:v>20.88030250950899</c:v>
                </c:pt>
                <c:pt idx="11">
                  <c:v>27.226642624964267</c:v>
                </c:pt>
                <c:pt idx="12">
                  <c:v>35.508769047857506</c:v>
                </c:pt>
                <c:pt idx="13">
                  <c:v>46.319094129132111</c:v>
                </c:pt>
                <c:pt idx="14">
                  <c:v>60.431878137154875</c:v>
                </c:pt>
                <c:pt idx="15">
                  <c:v>78.859204621460421</c:v>
                </c:pt>
                <c:pt idx="16">
                  <c:v>102.92422927625837</c:v>
                </c:pt>
                <c:pt idx="17">
                  <c:v>134.35704491997242</c:v>
                </c:pt>
                <c:pt idx="18">
                  <c:v>175.42016105015344</c:v>
                </c:pt>
                <c:pt idx="19">
                  <c:v>125.82879109366719</c:v>
                </c:pt>
                <c:pt idx="20">
                  <c:v>141.94238832170592</c:v>
                </c:pt>
                <c:pt idx="21">
                  <c:v>158.01211566910104</c:v>
                </c:pt>
                <c:pt idx="22">
                  <c:v>174.04306660404936</c:v>
                </c:pt>
                <c:pt idx="23">
                  <c:v>190.03931770153531</c:v>
                </c:pt>
                <c:pt idx="24">
                  <c:v>206.00420213768868</c:v>
                </c:pt>
                <c:pt idx="25">
                  <c:v>176.13246114489334</c:v>
                </c:pt>
                <c:pt idx="26">
                  <c:v>191.72935742098488</c:v>
                </c:pt>
                <c:pt idx="27">
                  <c:v>207.29672302421133</c:v>
                </c:pt>
                <c:pt idx="28">
                  <c:v>222.83708849639251</c:v>
                </c:pt>
                <c:pt idx="29">
                  <c:v>238.35260229410608</c:v>
                </c:pt>
                <c:pt idx="30">
                  <c:v>253.84511013669089</c:v>
                </c:pt>
                <c:pt idx="31">
                  <c:v>225.15962827390544</c:v>
                </c:pt>
                <c:pt idx="32">
                  <c:v>240.11122770634071</c:v>
                </c:pt>
                <c:pt idx="33">
                  <c:v>255.04163512038642</c:v>
                </c:pt>
                <c:pt idx="34">
                  <c:v>269.95226599479992</c:v>
                </c:pt>
                <c:pt idx="35">
                  <c:v>284.84436661088188</c:v>
                </c:pt>
                <c:pt idx="36">
                  <c:v>299.71904225404415</c:v>
                </c:pt>
                <c:pt idx="37">
                  <c:v>270.6458571543069</c:v>
                </c:pt>
                <c:pt idx="38">
                  <c:v>284.61186690817152</c:v>
                </c:pt>
                <c:pt idx="39">
                  <c:v>298.56253763341641</c:v>
                </c:pt>
                <c:pt idx="40">
                  <c:v>312.49868711783694</c:v>
                </c:pt>
                <c:pt idx="41">
                  <c:v>326.42105423723257</c:v>
                </c:pt>
                <c:pt idx="42">
                  <c:v>340.33030968214121</c:v>
                </c:pt>
                <c:pt idx="43">
                  <c:v>354.22706483856382</c:v>
                </c:pt>
                <c:pt idx="44">
                  <c:v>313.75623504954939</c:v>
                </c:pt>
                <c:pt idx="45">
                  <c:v>326.46270991876611</c:v>
                </c:pt>
                <c:pt idx="46">
                  <c:v>339.15826458212433</c:v>
                </c:pt>
                <c:pt idx="47">
                  <c:v>351.84336548552483</c:v>
                </c:pt>
                <c:pt idx="48">
                  <c:v>364.51844268873464</c:v>
                </c:pt>
                <c:pt idx="49">
                  <c:v>377.18389389712837</c:v>
                </c:pt>
                <c:pt idx="50">
                  <c:v>389.84008792349988</c:v>
                </c:pt>
                <c:pt idx="51">
                  <c:v>348.14169100820396</c:v>
                </c:pt>
                <c:pt idx="52">
                  <c:v>359.38093486712893</c:v>
                </c:pt>
                <c:pt idx="53">
                  <c:v>370.61249078254201</c:v>
                </c:pt>
                <c:pt idx="54">
                  <c:v>381.83662464817547</c:v>
                </c:pt>
                <c:pt idx="55">
                  <c:v>393.05358544574614</c:v>
                </c:pt>
                <c:pt idx="56">
                  <c:v>404.26360678288592</c:v>
                </c:pt>
                <c:pt idx="57">
                  <c:v>415.46690825155366</c:v>
                </c:pt>
                <c:pt idx="58">
                  <c:v>426.66369663226078</c:v>
                </c:pt>
                <c:pt idx="59">
                  <c:v>380.87671539481539</c:v>
                </c:pt>
                <c:pt idx="60">
                  <c:v>390.68520896319927</c:v>
                </c:pt>
                <c:pt idx="61">
                  <c:v>400.48836078912228</c:v>
                </c:pt>
                <c:pt idx="62">
                  <c:v>410.28632011431318</c:v>
                </c:pt>
                <c:pt idx="63">
                  <c:v>420.07922846824539</c:v>
                </c:pt>
                <c:pt idx="64">
                  <c:v>429.86722024105217</c:v>
                </c:pt>
                <c:pt idx="65">
                  <c:v>439.65042320152907</c:v>
                </c:pt>
                <c:pt idx="66">
                  <c:v>449.42895896661662</c:v>
                </c:pt>
                <c:pt idx="67">
                  <c:v>459.20294342788992</c:v>
                </c:pt>
                <c:pt idx="68">
                  <c:v>468.97248713983782</c:v>
                </c:pt>
                <c:pt idx="69">
                  <c:v>421.38133257324426</c:v>
                </c:pt>
                <c:pt idx="70">
                  <c:v>429.75315147072342</c:v>
                </c:pt>
                <c:pt idx="71">
                  <c:v>438.12146587044663</c:v>
                </c:pt>
                <c:pt idx="72">
                  <c:v>446.48635218091061</c:v>
                </c:pt>
                <c:pt idx="73">
                  <c:v>454.84788371276096</c:v>
                </c:pt>
                <c:pt idx="74">
                  <c:v>463.20613086026702</c:v>
                </c:pt>
                <c:pt idx="75">
                  <c:v>471.56116126901406</c:v>
                </c:pt>
                <c:pt idx="76">
                  <c:v>479.91303999108851</c:v>
                </c:pt>
                <c:pt idx="77">
                  <c:v>488.26182962889516</c:v>
                </c:pt>
                <c:pt idx="78">
                  <c:v>496.60759046862569</c:v>
                </c:pt>
                <c:pt idx="79">
                  <c:v>451.80236122992369</c:v>
                </c:pt>
                <c:pt idx="80">
                  <c:v>459.03861762211324</c:v>
                </c:pt>
                <c:pt idx="81">
                  <c:v>466.27243875376661</c:v>
                </c:pt>
                <c:pt idx="82">
                  <c:v>473.50386775452876</c:v>
                </c:pt>
                <c:pt idx="83">
                  <c:v>480.73294632855033</c:v>
                </c:pt>
                <c:pt idx="84">
                  <c:v>487.95971482280015</c:v>
                </c:pt>
                <c:pt idx="85">
                  <c:v>495.18421229111846</c:v>
                </c:pt>
                <c:pt idx="86">
                  <c:v>502.40647655433673</c:v>
                </c:pt>
                <c:pt idx="87">
                  <c:v>509.62654425675811</c:v>
                </c:pt>
                <c:pt idx="88">
                  <c:v>516.84445091927262</c:v>
                </c:pt>
                <c:pt idx="89">
                  <c:v>218.65542870960817</c:v>
                </c:pt>
                <c:pt idx="90">
                  <c:v>222.62203979798639</c:v>
                </c:pt>
                <c:pt idx="91">
                  <c:v>226.58702960261917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169.22076873606747</c:v>
                </c:pt>
                <c:pt idx="12">
                  <c:v>196.65973476943884</c:v>
                </c:pt>
                <c:pt idx="13">
                  <c:v>224.00971024958221</c:v>
                </c:pt>
                <c:pt idx="14">
                  <c:v>251.28309296155342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339.68777684695175</c:v>
                </c:pt>
                <c:pt idx="22">
                  <c:v>360.15946409007734</c:v>
                </c:pt>
                <c:pt idx="23">
                  <c:v>380.60570876556659</c:v>
                </c:pt>
                <c:pt idx="24">
                  <c:v>401.02806913443993</c:v>
                </c:pt>
                <c:pt idx="25">
                  <c:v>421.42793186976087</c:v>
                </c:pt>
                <c:pt idx="26">
                  <c:v>411.03827995947967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460.62919798538456</c:v>
                </c:pt>
                <c:pt idx="30">
                  <c:v>477.13349754486757</c:v>
                </c:pt>
                <c:pt idx="31">
                  <c:v>469.45861841140703</c:v>
                </c:pt>
                <c:pt idx="32">
                  <c:v>482.88793138454997</c:v>
                </c:pt>
                <c:pt idx="33">
                  <c:v>496.30931275327686</c:v>
                </c:pt>
                <c:pt idx="34">
                  <c:v>509.72300718239154</c:v>
                </c:pt>
                <c:pt idx="35">
                  <c:v>523.12924541243797</c:v>
                </c:pt>
                <c:pt idx="36">
                  <c:v>517.76763064124964</c:v>
                </c:pt>
                <c:pt idx="37">
                  <c:v>529.63822214325558</c:v>
                </c:pt>
                <c:pt idx="38">
                  <c:v>541.50321514451991</c:v>
                </c:pt>
                <c:pt idx="39">
                  <c:v>553.36274958383808</c:v>
                </c:pt>
                <c:pt idx="40">
                  <c:v>565.21695891368051</c:v>
                </c:pt>
                <c:pt idx="41">
                  <c:v>563.30534449457014</c:v>
                </c:pt>
                <c:pt idx="42">
                  <c:v>574.77301329675186</c:v>
                </c:pt>
                <c:pt idx="43">
                  <c:v>586.23590668718793</c:v>
                </c:pt>
                <c:pt idx="44">
                  <c:v>597.69413118158775</c:v>
                </c:pt>
                <c:pt idx="45">
                  <c:v>609.1477888796602</c:v>
                </c:pt>
                <c:pt idx="46">
                  <c:v>595.78474694239264</c:v>
                </c:pt>
                <c:pt idx="47">
                  <c:v>595.78474694239264</c:v>
                </c:pt>
                <c:pt idx="48">
                  <c:v>595.78474694239264</c:v>
                </c:pt>
                <c:pt idx="49">
                  <c:v>595.78474694239264</c:v>
                </c:pt>
                <c:pt idx="50">
                  <c:v>595.78474694239264</c:v>
                </c:pt>
                <c:pt idx="51">
                  <c:v>595.78474694239264</c:v>
                </c:pt>
                <c:pt idx="52">
                  <c:v>595.78474694239264</c:v>
                </c:pt>
                <c:pt idx="53">
                  <c:v>595.78474694239264</c:v>
                </c:pt>
                <c:pt idx="54">
                  <c:v>595.78474694239264</c:v>
                </c:pt>
                <c:pt idx="55">
                  <c:v>595.78474694239264</c:v>
                </c:pt>
                <c:pt idx="56">
                  <c:v>595.78474694239264</c:v>
                </c:pt>
                <c:pt idx="57">
                  <c:v>595.78474694239264</c:v>
                </c:pt>
                <c:pt idx="58">
                  <c:v>595.78474694239264</c:v>
                </c:pt>
                <c:pt idx="59">
                  <c:v>595.78474694239264</c:v>
                </c:pt>
                <c:pt idx="60">
                  <c:v>595.78474694239264</c:v>
                </c:pt>
                <c:pt idx="61">
                  <c:v>595.78474694239264</c:v>
                </c:pt>
                <c:pt idx="62">
                  <c:v>595.78474694239264</c:v>
                </c:pt>
                <c:pt idx="63">
                  <c:v>595.78474694239264</c:v>
                </c:pt>
                <c:pt idx="64">
                  <c:v>595.78474694239264</c:v>
                </c:pt>
                <c:pt idx="65">
                  <c:v>595.78474694239264</c:v>
                </c:pt>
                <c:pt idx="66">
                  <c:v>595.78474694239264</c:v>
                </c:pt>
                <c:pt idx="67">
                  <c:v>595.78474694239264</c:v>
                </c:pt>
                <c:pt idx="68">
                  <c:v>595.78474694239264</c:v>
                </c:pt>
                <c:pt idx="69">
                  <c:v>595.78474694239264</c:v>
                </c:pt>
                <c:pt idx="70">
                  <c:v>595.78474694239264</c:v>
                </c:pt>
                <c:pt idx="71">
                  <c:v>595.78474694239264</c:v>
                </c:pt>
                <c:pt idx="72">
                  <c:v>595.78474694239264</c:v>
                </c:pt>
                <c:pt idx="73">
                  <c:v>595.78474694239264</c:v>
                </c:pt>
                <c:pt idx="74">
                  <c:v>595.78474694239264</c:v>
                </c:pt>
                <c:pt idx="75">
                  <c:v>595.78474694239264</c:v>
                </c:pt>
                <c:pt idx="76">
                  <c:v>595.78474694239264</c:v>
                </c:pt>
                <c:pt idx="77">
                  <c:v>595.78474694239264</c:v>
                </c:pt>
                <c:pt idx="78">
                  <c:v>595.78474694239264</c:v>
                </c:pt>
                <c:pt idx="79">
                  <c:v>595.78474694239264</c:v>
                </c:pt>
                <c:pt idx="80">
                  <c:v>595.78474694239264</c:v>
                </c:pt>
                <c:pt idx="81">
                  <c:v>595.78474694239264</c:v>
                </c:pt>
                <c:pt idx="82">
                  <c:v>595.78474694239264</c:v>
                </c:pt>
                <c:pt idx="83">
                  <c:v>595.78474694239264</c:v>
                </c:pt>
                <c:pt idx="84">
                  <c:v>595.78474694239264</c:v>
                </c:pt>
                <c:pt idx="85">
                  <c:v>595.78474694239264</c:v>
                </c:pt>
                <c:pt idx="86">
                  <c:v>595.78474694239264</c:v>
                </c:pt>
                <c:pt idx="87">
                  <c:v>595.78474694239264</c:v>
                </c:pt>
                <c:pt idx="88">
                  <c:v>595.78474694239264</c:v>
                </c:pt>
                <c:pt idx="89">
                  <c:v>595.78474694239264</c:v>
                </c:pt>
                <c:pt idx="90">
                  <c:v>595.78474694239264</c:v>
                </c:pt>
                <c:pt idx="91">
                  <c:v>595.78474694239264</c:v>
                </c:pt>
                <c:pt idx="92">
                  <c:v>595.78474694239264</c:v>
                </c:pt>
                <c:pt idx="93">
                  <c:v>595.78474694239264</c:v>
                </c:pt>
                <c:pt idx="94">
                  <c:v>595.78474694239264</c:v>
                </c:pt>
                <c:pt idx="95">
                  <c:v>595.78474694239264</c:v>
                </c:pt>
                <c:pt idx="96">
                  <c:v>595.78474694239264</c:v>
                </c:pt>
                <c:pt idx="97">
                  <c:v>595.78474694239264</c:v>
                </c:pt>
                <c:pt idx="98">
                  <c:v>595.78474694239264</c:v>
                </c:pt>
                <c:pt idx="99">
                  <c:v>595.78474694239264</c:v>
                </c:pt>
                <c:pt idx="100">
                  <c:v>595.78474694239264</c:v>
                </c:pt>
                <c:pt idx="101">
                  <c:v>595.78474694239264</c:v>
                </c:pt>
                <c:pt idx="102">
                  <c:v>595.78474694239264</c:v>
                </c:pt>
                <c:pt idx="103">
                  <c:v>595.78474694239264</c:v>
                </c:pt>
                <c:pt idx="104">
                  <c:v>595.78474694239264</c:v>
                </c:pt>
                <c:pt idx="105">
                  <c:v>595.78474694239264</c:v>
                </c:pt>
                <c:pt idx="106">
                  <c:v>595.78474694239264</c:v>
                </c:pt>
                <c:pt idx="107">
                  <c:v>595.78474694239264</c:v>
                </c:pt>
                <c:pt idx="108">
                  <c:v>595.78474694239264</c:v>
                </c:pt>
                <c:pt idx="109">
                  <c:v>595.78474694239264</c:v>
                </c:pt>
                <c:pt idx="110">
                  <c:v>595.78474694239264</c:v>
                </c:pt>
                <c:pt idx="111">
                  <c:v>595.78474694239264</c:v>
                </c:pt>
                <c:pt idx="112">
                  <c:v>595.78474694239264</c:v>
                </c:pt>
                <c:pt idx="113">
                  <c:v>595.78474694239264</c:v>
                </c:pt>
                <c:pt idx="114">
                  <c:v>595.78474694239264</c:v>
                </c:pt>
                <c:pt idx="115">
                  <c:v>595.78474694239264</c:v>
                </c:pt>
                <c:pt idx="116">
                  <c:v>595.78474694239264</c:v>
                </c:pt>
                <c:pt idx="117">
                  <c:v>595.78474694239264</c:v>
                </c:pt>
                <c:pt idx="118">
                  <c:v>595.78474694239264</c:v>
                </c:pt>
                <c:pt idx="119">
                  <c:v>595.78474694239264</c:v>
                </c:pt>
                <c:pt idx="120">
                  <c:v>595.78474694239264</c:v>
                </c:pt>
                <c:pt idx="121">
                  <c:v>595.78474694239264</c:v>
                </c:pt>
                <c:pt idx="122">
                  <c:v>595.78474694239264</c:v>
                </c:pt>
                <c:pt idx="123">
                  <c:v>595.78474694239264</c:v>
                </c:pt>
                <c:pt idx="124">
                  <c:v>595.78474694239264</c:v>
                </c:pt>
                <c:pt idx="125">
                  <c:v>595.78474694239264</c:v>
                </c:pt>
                <c:pt idx="126">
                  <c:v>595.78474694239264</c:v>
                </c:pt>
                <c:pt idx="127">
                  <c:v>595.78474694239264</c:v>
                </c:pt>
                <c:pt idx="128">
                  <c:v>595.78474694239264</c:v>
                </c:pt>
                <c:pt idx="129">
                  <c:v>595.78474694239264</c:v>
                </c:pt>
                <c:pt idx="130">
                  <c:v>595.78474694239264</c:v>
                </c:pt>
                <c:pt idx="131">
                  <c:v>595.78474694239264</c:v>
                </c:pt>
                <c:pt idx="132">
                  <c:v>595.78474694239264</c:v>
                </c:pt>
                <c:pt idx="133">
                  <c:v>595.78474694239264</c:v>
                </c:pt>
                <c:pt idx="134">
                  <c:v>595.78474694239264</c:v>
                </c:pt>
                <c:pt idx="135">
                  <c:v>595.78474694239264</c:v>
                </c:pt>
                <c:pt idx="136">
                  <c:v>595.78474694239264</c:v>
                </c:pt>
                <c:pt idx="137">
                  <c:v>595.78474694239264</c:v>
                </c:pt>
                <c:pt idx="138">
                  <c:v>595.78474694239264</c:v>
                </c:pt>
                <c:pt idx="139">
                  <c:v>595.78474694239264</c:v>
                </c:pt>
                <c:pt idx="140">
                  <c:v>595.78474694239264</c:v>
                </c:pt>
                <c:pt idx="141">
                  <c:v>595.78474694239264</c:v>
                </c:pt>
                <c:pt idx="142">
                  <c:v>595.78474694239264</c:v>
                </c:pt>
                <c:pt idx="143">
                  <c:v>595.78474694239264</c:v>
                </c:pt>
                <c:pt idx="144">
                  <c:v>595.78474694239264</c:v>
                </c:pt>
                <c:pt idx="145">
                  <c:v>595.78474694239264</c:v>
                </c:pt>
                <c:pt idx="146">
                  <c:v>595.78474694239264</c:v>
                </c:pt>
                <c:pt idx="147">
                  <c:v>595.78474694239264</c:v>
                </c:pt>
                <c:pt idx="148">
                  <c:v>595.78474694239264</c:v>
                </c:pt>
                <c:pt idx="149">
                  <c:v>595.78474694239264</c:v>
                </c:pt>
                <c:pt idx="150">
                  <c:v>595.78474694239264</c:v>
                </c:pt>
                <c:pt idx="151">
                  <c:v>595.78474694239264</c:v>
                </c:pt>
                <c:pt idx="152">
                  <c:v>595.78474694239264</c:v>
                </c:pt>
                <c:pt idx="153">
                  <c:v>595.78474694239264</c:v>
                </c:pt>
                <c:pt idx="154">
                  <c:v>595.78474694239264</c:v>
                </c:pt>
                <c:pt idx="155">
                  <c:v>595.78474694239264</c:v>
                </c:pt>
                <c:pt idx="156">
                  <c:v>595.78474694239264</c:v>
                </c:pt>
                <c:pt idx="157">
                  <c:v>595.78474694239264</c:v>
                </c:pt>
                <c:pt idx="158">
                  <c:v>595.78474694239264</c:v>
                </c:pt>
                <c:pt idx="159">
                  <c:v>595.78474694239264</c:v>
                </c:pt>
                <c:pt idx="160">
                  <c:v>595.78474694239264</c:v>
                </c:pt>
                <c:pt idx="161">
                  <c:v>595.78474694239264</c:v>
                </c:pt>
                <c:pt idx="162">
                  <c:v>595.78474694239264</c:v>
                </c:pt>
                <c:pt idx="163">
                  <c:v>595.78474694239264</c:v>
                </c:pt>
                <c:pt idx="164">
                  <c:v>595.78474694239264</c:v>
                </c:pt>
                <c:pt idx="165">
                  <c:v>595.78474694239264</c:v>
                </c:pt>
                <c:pt idx="166">
                  <c:v>595.78474694239264</c:v>
                </c:pt>
                <c:pt idx="167">
                  <c:v>595.78474694239264</c:v>
                </c:pt>
                <c:pt idx="168">
                  <c:v>595.78474694239264</c:v>
                </c:pt>
                <c:pt idx="169">
                  <c:v>595.78474694239264</c:v>
                </c:pt>
                <c:pt idx="170">
                  <c:v>595.78474694239264</c:v>
                </c:pt>
                <c:pt idx="171">
                  <c:v>595.78474694239264</c:v>
                </c:pt>
                <c:pt idx="172">
                  <c:v>595.78474694239264</c:v>
                </c:pt>
                <c:pt idx="173">
                  <c:v>595.78474694239264</c:v>
                </c:pt>
                <c:pt idx="174">
                  <c:v>595.78474694239264</c:v>
                </c:pt>
                <c:pt idx="175">
                  <c:v>595.78474694239264</c:v>
                </c:pt>
                <c:pt idx="176">
                  <c:v>595.78474694239264</c:v>
                </c:pt>
                <c:pt idx="177">
                  <c:v>595.78474694239264</c:v>
                </c:pt>
                <c:pt idx="178">
                  <c:v>595.78474694239264</c:v>
                </c:pt>
                <c:pt idx="179">
                  <c:v>595.78474694239264</c:v>
                </c:pt>
                <c:pt idx="180">
                  <c:v>595.78474694239264</c:v>
                </c:pt>
                <c:pt idx="181">
                  <c:v>595.78474694239264</c:v>
                </c:pt>
                <c:pt idx="182">
                  <c:v>595.78474694239264</c:v>
                </c:pt>
                <c:pt idx="183">
                  <c:v>595.78474694239264</c:v>
                </c:pt>
                <c:pt idx="184">
                  <c:v>595.78474694239264</c:v>
                </c:pt>
                <c:pt idx="185">
                  <c:v>595.78474694239264</c:v>
                </c:pt>
                <c:pt idx="186">
                  <c:v>595.78474694239264</c:v>
                </c:pt>
                <c:pt idx="187">
                  <c:v>595.78474694239264</c:v>
                </c:pt>
                <c:pt idx="188">
                  <c:v>595.78474694239264</c:v>
                </c:pt>
                <c:pt idx="189">
                  <c:v>595.78474694239264</c:v>
                </c:pt>
                <c:pt idx="190">
                  <c:v>595.78474694239264</c:v>
                </c:pt>
                <c:pt idx="191">
                  <c:v>595.78474694239264</c:v>
                </c:pt>
                <c:pt idx="192">
                  <c:v>595.78474694239264</c:v>
                </c:pt>
                <c:pt idx="193">
                  <c:v>595.78474694239264</c:v>
                </c:pt>
                <c:pt idx="194">
                  <c:v>595.78474694239264</c:v>
                </c:pt>
                <c:pt idx="195">
                  <c:v>595.78474694239264</c:v>
                </c:pt>
                <c:pt idx="196">
                  <c:v>595.78474694239264</c:v>
                </c:pt>
                <c:pt idx="197">
                  <c:v>595.78474694239264</c:v>
                </c:pt>
                <c:pt idx="198">
                  <c:v>595.78474694239264</c:v>
                </c:pt>
                <c:pt idx="199">
                  <c:v>595.78474694239264</c:v>
                </c:pt>
                <c:pt idx="200">
                  <c:v>595.78474694239264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2.0208949481452367</c:v>
                </c:pt>
                <c:pt idx="2">
                  <c:v>2.3577061646663928</c:v>
                </c:pt>
                <c:pt idx="3">
                  <c:v>2.7508588125952431</c:v>
                </c:pt>
                <c:pt idx="4">
                  <c:v>3.2098103987231901</c:v>
                </c:pt>
                <c:pt idx="5">
                  <c:v>3.7456111416335549</c:v>
                </c:pt>
                <c:pt idx="6">
                  <c:v>4.3711730082502802</c:v>
                </c:pt>
                <c:pt idx="7">
                  <c:v>5.1015843226071391</c:v>
                </c:pt>
                <c:pt idx="8">
                  <c:v>5.9544776862203825</c:v>
                </c:pt>
                <c:pt idx="9">
                  <c:v>6.9504602668994044</c:v>
                </c:pt>
                <c:pt idx="10">
                  <c:v>8.1136170550287403</c:v>
                </c:pt>
                <c:pt idx="11">
                  <c:v>9.4720994917150865</c:v>
                </c:pt>
                <c:pt idx="12">
                  <c:v>11.058813986707358</c:v>
                </c:pt>
                <c:pt idx="13">
                  <c:v>12.912227318363817</c:v>
                </c:pt>
                <c:pt idx="14">
                  <c:v>15.077308804883041</c:v>
                </c:pt>
                <c:pt idx="15">
                  <c:v>17.606632527836044</c:v>
                </c:pt>
                <c:pt idx="16">
                  <c:v>20.561666860427287</c:v>
                </c:pt>
                <c:pt idx="17">
                  <c:v>24.014283203082368</c:v>
                </c:pt>
                <c:pt idx="18">
                  <c:v>28.048521274128948</c:v>
                </c:pt>
                <c:pt idx="19">
                  <c:v>32.762654679655618</c:v>
                </c:pt>
                <c:pt idx="20">
                  <c:v>38.271607953602867</c:v>
                </c:pt>
                <c:pt idx="21">
                  <c:v>44.70978500363038</c:v>
                </c:pt>
                <c:pt idx="22">
                  <c:v>52.234379139246528</c:v>
                </c:pt>
                <c:pt idx="23">
                  <c:v>61.029246852589097</c:v>
                </c:pt>
                <c:pt idx="24">
                  <c:v>71.309441569652833</c:v>
                </c:pt>
                <c:pt idx="25">
                  <c:v>83.326520042809591</c:v>
                </c:pt>
                <c:pt idx="26">
                  <c:v>97.374753326781288</c:v>
                </c:pt>
                <c:pt idx="27">
                  <c:v>113.79839685328822</c:v>
                </c:pt>
                <c:pt idx="28">
                  <c:v>133.00020056095437</c:v>
                </c:pt>
                <c:pt idx="29">
                  <c:v>155.45137101059979</c:v>
                </c:pt>
                <c:pt idx="30">
                  <c:v>181.70323369977314</c:v>
                </c:pt>
                <c:pt idx="31">
                  <c:v>193.40255165386267</c:v>
                </c:pt>
                <c:pt idx="32">
                  <c:v>205.08541341658324</c:v>
                </c:pt>
                <c:pt idx="33">
                  <c:v>216.7528891578047</c:v>
                </c:pt>
                <c:pt idx="34">
                  <c:v>228.40592431710874</c:v>
                </c:pt>
                <c:pt idx="35">
                  <c:v>240.04535990166377</c:v>
                </c:pt>
                <c:pt idx="36">
                  <c:v>165.69115771460889</c:v>
                </c:pt>
                <c:pt idx="37">
                  <c:v>179.24350412069813</c:v>
                </c:pt>
                <c:pt idx="38">
                  <c:v>192.77184420313543</c:v>
                </c:pt>
                <c:pt idx="39">
                  <c:v>206.27810085519761</c:v>
                </c:pt>
                <c:pt idx="40">
                  <c:v>219.76392433896743</c:v>
                </c:pt>
                <c:pt idx="41">
                  <c:v>233.23074566288599</c:v>
                </c:pt>
                <c:pt idx="42">
                  <c:v>190.99348436339017</c:v>
                </c:pt>
                <c:pt idx="43">
                  <c:v>204.54766968595877</c:v>
                </c:pt>
                <c:pt idx="44">
                  <c:v>218.08108520016762</c:v>
                </c:pt>
                <c:pt idx="45">
                  <c:v>231.59520188732631</c:v>
                </c:pt>
                <c:pt idx="46">
                  <c:v>245.09130490984001</c:v>
                </c:pt>
                <c:pt idx="47">
                  <c:v>258.57052624490609</c:v>
                </c:pt>
                <c:pt idx="48">
                  <c:v>272.03387014867241</c:v>
                </c:pt>
                <c:pt idx="49">
                  <c:v>215.51782486994964</c:v>
                </c:pt>
                <c:pt idx="50">
                  <c:v>228.35376717662632</c:v>
                </c:pt>
                <c:pt idx="51">
                  <c:v>241.17320476822431</c:v>
                </c:pt>
                <c:pt idx="52">
                  <c:v>253.97713890196232</c:v>
                </c:pt>
                <c:pt idx="53">
                  <c:v>266.76646157492382</c:v>
                </c:pt>
                <c:pt idx="54">
                  <c:v>279.54197222583531</c:v>
                </c:pt>
                <c:pt idx="55">
                  <c:v>292.30439122111011</c:v>
                </c:pt>
                <c:pt idx="56">
                  <c:v>239.32684131117045</c:v>
                </c:pt>
                <c:pt idx="57">
                  <c:v>251.41259476877573</c:v>
                </c:pt>
                <c:pt idx="58">
                  <c:v>263.4851838306173</c:v>
                </c:pt>
                <c:pt idx="59">
                  <c:v>275.5452969382045</c:v>
                </c:pt>
                <c:pt idx="60">
                  <c:v>287.59355731527074</c:v>
                </c:pt>
                <c:pt idx="61">
                  <c:v>299.63053167798034</c:v>
                </c:pt>
                <c:pt idx="62">
                  <c:v>311.65673747130842</c:v>
                </c:pt>
                <c:pt idx="63">
                  <c:v>323.67264892939465</c:v>
                </c:pt>
                <c:pt idx="64">
                  <c:v>275.36190642044943</c:v>
                </c:pt>
                <c:pt idx="65">
                  <c:v>287.01624971493624</c:v>
                </c:pt>
                <c:pt idx="66">
                  <c:v>298.66000949078386</c:v>
                </c:pt>
                <c:pt idx="67">
                  <c:v>310.29365668591032</c:v>
                </c:pt>
                <c:pt idx="68">
                  <c:v>321.91762402609339</c:v>
                </c:pt>
                <c:pt idx="69">
                  <c:v>333.53231042290076</c:v>
                </c:pt>
                <c:pt idx="70">
                  <c:v>345.138084726714</c:v>
                </c:pt>
                <c:pt idx="71">
                  <c:v>356.73528894836682</c:v>
                </c:pt>
                <c:pt idx="72">
                  <c:v>310.73486716429267</c:v>
                </c:pt>
                <c:pt idx="73">
                  <c:v>321.98901422939684</c:v>
                </c:pt>
                <c:pt idx="74">
                  <c:v>333.23446354893332</c:v>
                </c:pt>
                <c:pt idx="75">
                  <c:v>344.47155012278796</c:v>
                </c:pt>
                <c:pt idx="76">
                  <c:v>355.70058530222167</c:v>
                </c:pt>
                <c:pt idx="77">
                  <c:v>366.92185916914059</c:v>
                </c:pt>
                <c:pt idx="78">
                  <c:v>378.13564260902132</c:v>
                </c:pt>
                <c:pt idx="79">
                  <c:v>389.3421891250332</c:v>
                </c:pt>
                <c:pt idx="80">
                  <c:v>400.54173643234503</c:v>
                </c:pt>
                <c:pt idx="81">
                  <c:v>346.04558217808716</c:v>
                </c:pt>
                <c:pt idx="82">
                  <c:v>356.77606409934492</c:v>
                </c:pt>
                <c:pt idx="83">
                  <c:v>367.49948197710972</c:v>
                </c:pt>
                <c:pt idx="84">
                  <c:v>378.21607106719443</c:v>
                </c:pt>
                <c:pt idx="85">
                  <c:v>388.92605220105247</c:v>
                </c:pt>
                <c:pt idx="86">
                  <c:v>399.62963305155955</c:v>
                </c:pt>
                <c:pt idx="87">
                  <c:v>410.32700925608077</c:v>
                </c:pt>
                <c:pt idx="88">
                  <c:v>421.01836541628609</c:v>
                </c:pt>
                <c:pt idx="89">
                  <c:v>431.70387599109745</c:v>
                </c:pt>
                <c:pt idx="90">
                  <c:v>371.4426815006525</c:v>
                </c:pt>
                <c:pt idx="91">
                  <c:v>381.7040692840315</c:v>
                </c:pt>
                <c:pt idx="92">
                  <c:v>391.95945931056889</c:v>
                </c:pt>
                <c:pt idx="93">
                  <c:v>402.20903068783019</c:v>
                </c:pt>
                <c:pt idx="94">
                  <c:v>412.45295264697421</c:v>
                </c:pt>
                <c:pt idx="95">
                  <c:v>422.69138532440371</c:v>
                </c:pt>
                <c:pt idx="96">
                  <c:v>432.92448046371942</c:v>
                </c:pt>
                <c:pt idx="97">
                  <c:v>443.15238204783446</c:v>
                </c:pt>
                <c:pt idx="98">
                  <c:v>453.37522686968094</c:v>
                </c:pt>
                <c:pt idx="99">
                  <c:v>463.59314504875488</c:v>
                </c:pt>
                <c:pt idx="100">
                  <c:v>405.1259787713231</c:v>
                </c:pt>
                <c:pt idx="101">
                  <c:v>415.10496933847588</c:v>
                </c:pt>
                <c:pt idx="102">
                  <c:v>425.07878742385446</c:v>
                </c:pt>
                <c:pt idx="103">
                  <c:v>435.04757153962441</c:v>
                </c:pt>
                <c:pt idx="104">
                  <c:v>445.01145333046315</c:v>
                </c:pt>
                <c:pt idx="105">
                  <c:v>454.97055806349954</c:v>
                </c:pt>
                <c:pt idx="106">
                  <c:v>464.92500507311314</c:v>
                </c:pt>
                <c:pt idx="107">
                  <c:v>474.87490816565196</c:v>
                </c:pt>
                <c:pt idx="108">
                  <c:v>484.82037598845983</c:v>
                </c:pt>
                <c:pt idx="109">
                  <c:v>494.76151236704459</c:v>
                </c:pt>
                <c:pt idx="110">
                  <c:v>431.51200777148068</c:v>
                </c:pt>
                <c:pt idx="111">
                  <c:v>441.26757335402812</c:v>
                </c:pt>
                <c:pt idx="112">
                  <c:v>451.01851676894626</c:v>
                </c:pt>
                <c:pt idx="113">
                  <c:v>460.76495206246437</c:v>
                </c:pt>
                <c:pt idx="114">
                  <c:v>470.50698806127343</c:v>
                </c:pt>
                <c:pt idx="115">
                  <c:v>480.24472871685845</c:v>
                </c:pt>
                <c:pt idx="116">
                  <c:v>489.97827342044621</c:v>
                </c:pt>
                <c:pt idx="117">
                  <c:v>499.70771729162249</c:v>
                </c:pt>
                <c:pt idx="118">
                  <c:v>509.43315144329898</c:v>
                </c:pt>
                <c:pt idx="119">
                  <c:v>519.15466322539407</c:v>
                </c:pt>
                <c:pt idx="120">
                  <c:v>310.55132938606818</c:v>
                </c:pt>
                <c:pt idx="121">
                  <c:v>316.04875653207085</c:v>
                </c:pt>
                <c:pt idx="122">
                  <c:v>321.54406492320192</c:v>
                </c:pt>
                <c:pt idx="123">
                  <c:v>327.03729592702717</c:v>
                </c:pt>
                <c:pt idx="124">
                  <c:v>219.27467281098714</c:v>
                </c:pt>
                <c:pt idx="125">
                  <c:v>222.652550840891</c:v>
                </c:pt>
                <c:pt idx="126">
                  <c:v>226.02925326648355</c:v>
                </c:pt>
                <c:pt idx="127">
                  <c:v>229.40480017078934</c:v>
                </c:pt>
                <c:pt idx="128">
                  <c:v>159.15293146715459</c:v>
                </c:pt>
                <c:pt idx="129">
                  <c:v>161.34860392933342</c:v>
                </c:pt>
                <c:pt idx="130">
                  <c:v>163.54356884826106</c:v>
                </c:pt>
                <c:pt idx="131">
                  <c:v>165.73783709227521</c:v>
                </c:pt>
                <c:pt idx="132">
                  <c:v>9.2015960881277352E-12</c:v>
                </c:pt>
                <c:pt idx="133">
                  <c:v>9.2015960881277352E-12</c:v>
                </c:pt>
                <c:pt idx="134">
                  <c:v>9.2015960881277352E-12</c:v>
                </c:pt>
                <c:pt idx="135">
                  <c:v>9.2015960881277352E-12</c:v>
                </c:pt>
                <c:pt idx="136">
                  <c:v>9.2015960881277352E-12</c:v>
                </c:pt>
                <c:pt idx="137">
                  <c:v>9.2015960881277352E-12</c:v>
                </c:pt>
                <c:pt idx="138">
                  <c:v>9.2015960881277352E-12</c:v>
                </c:pt>
                <c:pt idx="139">
                  <c:v>9.2015960881277352E-12</c:v>
                </c:pt>
                <c:pt idx="140">
                  <c:v>9.2015960881277352E-12</c:v>
                </c:pt>
                <c:pt idx="141">
                  <c:v>9.2015960881277352E-12</c:v>
                </c:pt>
                <c:pt idx="142">
                  <c:v>9.2015960881277352E-12</c:v>
                </c:pt>
                <c:pt idx="143">
                  <c:v>9.2015960881277352E-12</c:v>
                </c:pt>
                <c:pt idx="144">
                  <c:v>9.2015960881277352E-12</c:v>
                </c:pt>
                <c:pt idx="145">
                  <c:v>9.2015960881277352E-12</c:v>
                </c:pt>
                <c:pt idx="146">
                  <c:v>9.2015960881277352E-12</c:v>
                </c:pt>
                <c:pt idx="147">
                  <c:v>9.2015960881277352E-12</c:v>
                </c:pt>
                <c:pt idx="148">
                  <c:v>9.2015960881277352E-12</c:v>
                </c:pt>
                <c:pt idx="149">
                  <c:v>9.2015960881277352E-12</c:v>
                </c:pt>
                <c:pt idx="150">
                  <c:v>9.2015960881277352E-12</c:v>
                </c:pt>
                <c:pt idx="151">
                  <c:v>9.2015960881277352E-12</c:v>
                </c:pt>
                <c:pt idx="152">
                  <c:v>9.2015960881277352E-12</c:v>
                </c:pt>
                <c:pt idx="153">
                  <c:v>9.2015960881277352E-12</c:v>
                </c:pt>
                <c:pt idx="154">
                  <c:v>9.2015960881277352E-12</c:v>
                </c:pt>
                <c:pt idx="155">
                  <c:v>9.2015960881277352E-12</c:v>
                </c:pt>
                <c:pt idx="156">
                  <c:v>9.2015960881277352E-12</c:v>
                </c:pt>
                <c:pt idx="157">
                  <c:v>9.2015960881277352E-12</c:v>
                </c:pt>
                <c:pt idx="158">
                  <c:v>9.2015960881277352E-12</c:v>
                </c:pt>
                <c:pt idx="159">
                  <c:v>9.2015960881277352E-12</c:v>
                </c:pt>
                <c:pt idx="160">
                  <c:v>9.2015960881277352E-12</c:v>
                </c:pt>
                <c:pt idx="161">
                  <c:v>9.2015960881277352E-12</c:v>
                </c:pt>
                <c:pt idx="162">
                  <c:v>9.2015960881277352E-12</c:v>
                </c:pt>
                <c:pt idx="163">
                  <c:v>9.2015960881277352E-12</c:v>
                </c:pt>
                <c:pt idx="164">
                  <c:v>9.2015960881277352E-12</c:v>
                </c:pt>
                <c:pt idx="165">
                  <c:v>9.2015960881277352E-12</c:v>
                </c:pt>
                <c:pt idx="166">
                  <c:v>9.2015960881277352E-12</c:v>
                </c:pt>
                <c:pt idx="167">
                  <c:v>9.2015960881277352E-12</c:v>
                </c:pt>
                <c:pt idx="168">
                  <c:v>9.2015960881277352E-12</c:v>
                </c:pt>
                <c:pt idx="169">
                  <c:v>9.2015960881277352E-12</c:v>
                </c:pt>
                <c:pt idx="170">
                  <c:v>9.2015960881277352E-12</c:v>
                </c:pt>
                <c:pt idx="171">
                  <c:v>9.2015960881277352E-12</c:v>
                </c:pt>
                <c:pt idx="172">
                  <c:v>9.2015960881277352E-12</c:v>
                </c:pt>
                <c:pt idx="173">
                  <c:v>9.2015960881277352E-12</c:v>
                </c:pt>
                <c:pt idx="174">
                  <c:v>9.2015960881277352E-12</c:v>
                </c:pt>
                <c:pt idx="175">
                  <c:v>9.2015960881277352E-12</c:v>
                </c:pt>
                <c:pt idx="176">
                  <c:v>9.2015960881277352E-12</c:v>
                </c:pt>
                <c:pt idx="177">
                  <c:v>9.2015960881277352E-12</c:v>
                </c:pt>
                <c:pt idx="178">
                  <c:v>9.2015960881277352E-12</c:v>
                </c:pt>
                <c:pt idx="179">
                  <c:v>9.2015960881277352E-12</c:v>
                </c:pt>
                <c:pt idx="180">
                  <c:v>9.2015960881277352E-12</c:v>
                </c:pt>
                <c:pt idx="181">
                  <c:v>9.2015960881277352E-12</c:v>
                </c:pt>
                <c:pt idx="182">
                  <c:v>9.2015960881277352E-12</c:v>
                </c:pt>
                <c:pt idx="183">
                  <c:v>9.2015960881277352E-12</c:v>
                </c:pt>
                <c:pt idx="184">
                  <c:v>9.2015960881277352E-12</c:v>
                </c:pt>
                <c:pt idx="185">
                  <c:v>9.2015960881277352E-12</c:v>
                </c:pt>
                <c:pt idx="186">
                  <c:v>9.2015960881277352E-12</c:v>
                </c:pt>
                <c:pt idx="187">
                  <c:v>9.2015960881277352E-12</c:v>
                </c:pt>
                <c:pt idx="188">
                  <c:v>9.2015960881277352E-12</c:v>
                </c:pt>
                <c:pt idx="189">
                  <c:v>9.2015960881277352E-12</c:v>
                </c:pt>
                <c:pt idx="190">
                  <c:v>9.2015960881277352E-12</c:v>
                </c:pt>
                <c:pt idx="191">
                  <c:v>9.2015960881277352E-12</c:v>
                </c:pt>
                <c:pt idx="192">
                  <c:v>9.2015960881277352E-12</c:v>
                </c:pt>
                <c:pt idx="193">
                  <c:v>9.2015960881277352E-12</c:v>
                </c:pt>
                <c:pt idx="194">
                  <c:v>9.2015960881277352E-12</c:v>
                </c:pt>
                <c:pt idx="195">
                  <c:v>9.2015960881277352E-12</c:v>
                </c:pt>
                <c:pt idx="196">
                  <c:v>9.2015960881277352E-12</c:v>
                </c:pt>
                <c:pt idx="197">
                  <c:v>9.2015960881277352E-12</c:v>
                </c:pt>
                <c:pt idx="198">
                  <c:v>9.2015960881277352E-12</c:v>
                </c:pt>
                <c:pt idx="199">
                  <c:v>9.2015960881277352E-12</c:v>
                </c:pt>
                <c:pt idx="200">
                  <c:v>9.2015960881277352E-12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161.4845145207187</c:v>
                </c:pt>
                <c:pt idx="27">
                  <c:v>180.25531254791363</c:v>
                </c:pt>
                <c:pt idx="28">
                  <c:v>198.98032494703705</c:v>
                </c:pt>
                <c:pt idx="29">
                  <c:v>217.6644679358476</c:v>
                </c:pt>
                <c:pt idx="30">
                  <c:v>236.31174371498548</c:v>
                </c:pt>
                <c:pt idx="31">
                  <c:v>209.11889593919315</c:v>
                </c:pt>
                <c:pt idx="32">
                  <c:v>226.20232842131611</c:v>
                </c:pt>
                <c:pt idx="33">
                  <c:v>243.2562184477562</c:v>
                </c:pt>
                <c:pt idx="34">
                  <c:v>260.28292868621458</c:v>
                </c:pt>
                <c:pt idx="35">
                  <c:v>277.28448730625314</c:v>
                </c:pt>
                <c:pt idx="36">
                  <c:v>248.30390605743386</c:v>
                </c:pt>
                <c:pt idx="37">
                  <c:v>263.43320731240294</c:v>
                </c:pt>
                <c:pt idx="38">
                  <c:v>278.54291135662532</c:v>
                </c:pt>
                <c:pt idx="39">
                  <c:v>293.63423101263402</c:v>
                </c:pt>
                <c:pt idx="40">
                  <c:v>308.70824422691641</c:v>
                </c:pt>
                <c:pt idx="41">
                  <c:v>277.59910531675143</c:v>
                </c:pt>
                <c:pt idx="42">
                  <c:v>290.49166725088827</c:v>
                </c:pt>
                <c:pt idx="43">
                  <c:v>303.37144778612083</c:v>
                </c:pt>
                <c:pt idx="44">
                  <c:v>316.23906615147223</c:v>
                </c:pt>
                <c:pt idx="45">
                  <c:v>329.09508705409189</c:v>
                </c:pt>
                <c:pt idx="46">
                  <c:v>305.88313923039249</c:v>
                </c:pt>
                <c:pt idx="47">
                  <c:v>317.1801373243116</c:v>
                </c:pt>
                <c:pt idx="48">
                  <c:v>328.46822517413659</c:v>
                </c:pt>
                <c:pt idx="49">
                  <c:v>339.74775226555511</c:v>
                </c:pt>
                <c:pt idx="50">
                  <c:v>351.01904297525942</c:v>
                </c:pt>
                <c:pt idx="51">
                  <c:v>333.79571492319059</c:v>
                </c:pt>
                <c:pt idx="52">
                  <c:v>343.1926172490393</c:v>
                </c:pt>
                <c:pt idx="53">
                  <c:v>352.58386588275084</c:v>
                </c:pt>
                <c:pt idx="54">
                  <c:v>361.96963273404782</c:v>
                </c:pt>
                <c:pt idx="55">
                  <c:v>371.35008006494354</c:v>
                </c:pt>
                <c:pt idx="56">
                  <c:v>359.15446843311406</c:v>
                </c:pt>
                <c:pt idx="57">
                  <c:v>367.28586264352111</c:v>
                </c:pt>
                <c:pt idx="58">
                  <c:v>375.41332750586366</c:v>
                </c:pt>
                <c:pt idx="59">
                  <c:v>383.53696014432609</c:v>
                </c:pt>
                <c:pt idx="60">
                  <c:v>391.65685323028885</c:v>
                </c:pt>
                <c:pt idx="61">
                  <c:v>379.78806142237414</c:v>
                </c:pt>
                <c:pt idx="62">
                  <c:v>386.66043357385661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409.44549880731046</c:v>
                </c:pt>
                <c:pt idx="72">
                  <c:v>414.74761709639341</c:v>
                </c:pt>
                <c:pt idx="73">
                  <c:v>420.04827352578349</c:v>
                </c:pt>
                <c:pt idx="74">
                  <c:v>425.34748916314447</c:v>
                </c:pt>
                <c:pt idx="75">
                  <c:v>430.64528450788202</c:v>
                </c:pt>
                <c:pt idx="76">
                  <c:v>420.98353332932419</c:v>
                </c:pt>
                <c:pt idx="77">
                  <c:v>425.34748916314447</c:v>
                </c:pt>
                <c:pt idx="78">
                  <c:v>429.71048176345192</c:v>
                </c:pt>
                <c:pt idx="79">
                  <c:v>434.07252230054763</c:v>
                </c:pt>
                <c:pt idx="80">
                  <c:v>438.43362170168325</c:v>
                </c:pt>
                <c:pt idx="81">
                  <c:v>425.9708325305989</c:v>
                </c:pt>
                <c:pt idx="82">
                  <c:v>425.9708325305989</c:v>
                </c:pt>
                <c:pt idx="83">
                  <c:v>425.9708325305989</c:v>
                </c:pt>
                <c:pt idx="84">
                  <c:v>425.9708325305989</c:v>
                </c:pt>
                <c:pt idx="85">
                  <c:v>425.9708325305989</c:v>
                </c:pt>
                <c:pt idx="86">
                  <c:v>425.9708325305989</c:v>
                </c:pt>
                <c:pt idx="87">
                  <c:v>425.9708325305989</c:v>
                </c:pt>
                <c:pt idx="88">
                  <c:v>425.9708325305989</c:v>
                </c:pt>
                <c:pt idx="89">
                  <c:v>425.9708325305989</c:v>
                </c:pt>
                <c:pt idx="90">
                  <c:v>425.9708325305989</c:v>
                </c:pt>
                <c:pt idx="91">
                  <c:v>425.9708325305989</c:v>
                </c:pt>
                <c:pt idx="92">
                  <c:v>425.9708325305989</c:v>
                </c:pt>
                <c:pt idx="93">
                  <c:v>425.9708325305989</c:v>
                </c:pt>
                <c:pt idx="94">
                  <c:v>425.9708325305989</c:v>
                </c:pt>
                <c:pt idx="95">
                  <c:v>425.9708325305989</c:v>
                </c:pt>
                <c:pt idx="96">
                  <c:v>425.9708325305989</c:v>
                </c:pt>
                <c:pt idx="97">
                  <c:v>425.9708325305989</c:v>
                </c:pt>
                <c:pt idx="98">
                  <c:v>425.9708325305989</c:v>
                </c:pt>
                <c:pt idx="99">
                  <c:v>425.9708325305989</c:v>
                </c:pt>
                <c:pt idx="100">
                  <c:v>425.9708325305989</c:v>
                </c:pt>
                <c:pt idx="101">
                  <c:v>425.9708325305989</c:v>
                </c:pt>
                <c:pt idx="102">
                  <c:v>425.9708325305989</c:v>
                </c:pt>
                <c:pt idx="103">
                  <c:v>425.9708325305989</c:v>
                </c:pt>
                <c:pt idx="104">
                  <c:v>425.9708325305989</c:v>
                </c:pt>
                <c:pt idx="105">
                  <c:v>425.9708325305989</c:v>
                </c:pt>
                <c:pt idx="106">
                  <c:v>425.9708325305989</c:v>
                </c:pt>
                <c:pt idx="107">
                  <c:v>425.9708325305989</c:v>
                </c:pt>
                <c:pt idx="108">
                  <c:v>425.9708325305989</c:v>
                </c:pt>
                <c:pt idx="109">
                  <c:v>425.9708325305989</c:v>
                </c:pt>
                <c:pt idx="110">
                  <c:v>425.9708325305989</c:v>
                </c:pt>
                <c:pt idx="111">
                  <c:v>425.9708325305989</c:v>
                </c:pt>
                <c:pt idx="112">
                  <c:v>425.9708325305989</c:v>
                </c:pt>
                <c:pt idx="113">
                  <c:v>425.9708325305989</c:v>
                </c:pt>
                <c:pt idx="114">
                  <c:v>425.9708325305989</c:v>
                </c:pt>
                <c:pt idx="115">
                  <c:v>425.9708325305989</c:v>
                </c:pt>
                <c:pt idx="116">
                  <c:v>425.9708325305989</c:v>
                </c:pt>
                <c:pt idx="117">
                  <c:v>425.9708325305989</c:v>
                </c:pt>
                <c:pt idx="118">
                  <c:v>425.9708325305989</c:v>
                </c:pt>
                <c:pt idx="119">
                  <c:v>425.9708325305989</c:v>
                </c:pt>
                <c:pt idx="120">
                  <c:v>425.9708325305989</c:v>
                </c:pt>
                <c:pt idx="121">
                  <c:v>425.9708325305989</c:v>
                </c:pt>
                <c:pt idx="122">
                  <c:v>425.9708325305989</c:v>
                </c:pt>
                <c:pt idx="123">
                  <c:v>425.9708325305989</c:v>
                </c:pt>
                <c:pt idx="124">
                  <c:v>425.9708325305989</c:v>
                </c:pt>
                <c:pt idx="125">
                  <c:v>425.9708325305989</c:v>
                </c:pt>
                <c:pt idx="126">
                  <c:v>425.9708325305989</c:v>
                </c:pt>
                <c:pt idx="127">
                  <c:v>425.9708325305989</c:v>
                </c:pt>
                <c:pt idx="128">
                  <c:v>425.9708325305989</c:v>
                </c:pt>
                <c:pt idx="129">
                  <c:v>425.9708325305989</c:v>
                </c:pt>
                <c:pt idx="130">
                  <c:v>425.9708325305989</c:v>
                </c:pt>
                <c:pt idx="131">
                  <c:v>425.9708325305989</c:v>
                </c:pt>
                <c:pt idx="132">
                  <c:v>425.9708325305989</c:v>
                </c:pt>
                <c:pt idx="133">
                  <c:v>425.9708325305989</c:v>
                </c:pt>
                <c:pt idx="134">
                  <c:v>425.9708325305989</c:v>
                </c:pt>
                <c:pt idx="135">
                  <c:v>425.9708325305989</c:v>
                </c:pt>
                <c:pt idx="136">
                  <c:v>425.9708325305989</c:v>
                </c:pt>
                <c:pt idx="137">
                  <c:v>425.9708325305989</c:v>
                </c:pt>
                <c:pt idx="138">
                  <c:v>425.9708325305989</c:v>
                </c:pt>
                <c:pt idx="139">
                  <c:v>425.9708325305989</c:v>
                </c:pt>
                <c:pt idx="140">
                  <c:v>425.9708325305989</c:v>
                </c:pt>
                <c:pt idx="141">
                  <c:v>425.9708325305989</c:v>
                </c:pt>
                <c:pt idx="142">
                  <c:v>425.9708325305989</c:v>
                </c:pt>
                <c:pt idx="143">
                  <c:v>425.9708325305989</c:v>
                </c:pt>
                <c:pt idx="144">
                  <c:v>425.9708325305989</c:v>
                </c:pt>
                <c:pt idx="145">
                  <c:v>425.9708325305989</c:v>
                </c:pt>
                <c:pt idx="146">
                  <c:v>425.9708325305989</c:v>
                </c:pt>
                <c:pt idx="147">
                  <c:v>425.9708325305989</c:v>
                </c:pt>
                <c:pt idx="148">
                  <c:v>425.9708325305989</c:v>
                </c:pt>
                <c:pt idx="149">
                  <c:v>425.9708325305989</c:v>
                </c:pt>
                <c:pt idx="150">
                  <c:v>425.9708325305989</c:v>
                </c:pt>
                <c:pt idx="151">
                  <c:v>425.9708325305989</c:v>
                </c:pt>
                <c:pt idx="152">
                  <c:v>425.9708325305989</c:v>
                </c:pt>
                <c:pt idx="153">
                  <c:v>425.9708325305989</c:v>
                </c:pt>
                <c:pt idx="154">
                  <c:v>425.9708325305989</c:v>
                </c:pt>
                <c:pt idx="155">
                  <c:v>425.9708325305989</c:v>
                </c:pt>
                <c:pt idx="156">
                  <c:v>425.9708325305989</c:v>
                </c:pt>
                <c:pt idx="157">
                  <c:v>425.9708325305989</c:v>
                </c:pt>
                <c:pt idx="158">
                  <c:v>425.9708325305989</c:v>
                </c:pt>
                <c:pt idx="159">
                  <c:v>425.9708325305989</c:v>
                </c:pt>
                <c:pt idx="160">
                  <c:v>425.9708325305989</c:v>
                </c:pt>
                <c:pt idx="161">
                  <c:v>425.9708325305989</c:v>
                </c:pt>
                <c:pt idx="162">
                  <c:v>425.9708325305989</c:v>
                </c:pt>
                <c:pt idx="163">
                  <c:v>425.9708325305989</c:v>
                </c:pt>
                <c:pt idx="164">
                  <c:v>425.9708325305989</c:v>
                </c:pt>
                <c:pt idx="165">
                  <c:v>425.9708325305989</c:v>
                </c:pt>
                <c:pt idx="166">
                  <c:v>425.9708325305989</c:v>
                </c:pt>
                <c:pt idx="167">
                  <c:v>425.9708325305989</c:v>
                </c:pt>
                <c:pt idx="168">
                  <c:v>425.9708325305989</c:v>
                </c:pt>
                <c:pt idx="169">
                  <c:v>425.9708325305989</c:v>
                </c:pt>
                <c:pt idx="170">
                  <c:v>425.9708325305989</c:v>
                </c:pt>
                <c:pt idx="171">
                  <c:v>425.9708325305989</c:v>
                </c:pt>
                <c:pt idx="172">
                  <c:v>425.9708325305989</c:v>
                </c:pt>
                <c:pt idx="173">
                  <c:v>425.9708325305989</c:v>
                </c:pt>
                <c:pt idx="174">
                  <c:v>425.9708325305989</c:v>
                </c:pt>
                <c:pt idx="175">
                  <c:v>425.9708325305989</c:v>
                </c:pt>
                <c:pt idx="176">
                  <c:v>425.9708325305989</c:v>
                </c:pt>
                <c:pt idx="177">
                  <c:v>425.9708325305989</c:v>
                </c:pt>
                <c:pt idx="178">
                  <c:v>425.9708325305989</c:v>
                </c:pt>
                <c:pt idx="179">
                  <c:v>425.9708325305989</c:v>
                </c:pt>
                <c:pt idx="180">
                  <c:v>425.9708325305989</c:v>
                </c:pt>
                <c:pt idx="181">
                  <c:v>425.9708325305989</c:v>
                </c:pt>
                <c:pt idx="182">
                  <c:v>425.9708325305989</c:v>
                </c:pt>
                <c:pt idx="183">
                  <c:v>425.9708325305989</c:v>
                </c:pt>
                <c:pt idx="184">
                  <c:v>425.9708325305989</c:v>
                </c:pt>
                <c:pt idx="185">
                  <c:v>425.9708325305989</c:v>
                </c:pt>
                <c:pt idx="186">
                  <c:v>425.9708325305989</c:v>
                </c:pt>
                <c:pt idx="187">
                  <c:v>425.9708325305989</c:v>
                </c:pt>
                <c:pt idx="188">
                  <c:v>425.9708325305989</c:v>
                </c:pt>
                <c:pt idx="189">
                  <c:v>425.9708325305989</c:v>
                </c:pt>
                <c:pt idx="190">
                  <c:v>425.9708325305989</c:v>
                </c:pt>
                <c:pt idx="191">
                  <c:v>425.9708325305989</c:v>
                </c:pt>
                <c:pt idx="192">
                  <c:v>425.9708325305989</c:v>
                </c:pt>
                <c:pt idx="193">
                  <c:v>425.9708325305989</c:v>
                </c:pt>
                <c:pt idx="194">
                  <c:v>425.9708325305989</c:v>
                </c:pt>
                <c:pt idx="195">
                  <c:v>425.9708325305989</c:v>
                </c:pt>
                <c:pt idx="196">
                  <c:v>425.9708325305989</c:v>
                </c:pt>
                <c:pt idx="197">
                  <c:v>425.9708325305989</c:v>
                </c:pt>
                <c:pt idx="198">
                  <c:v>425.9708325305989</c:v>
                </c:pt>
                <c:pt idx="199">
                  <c:v>425.9708325305989</c:v>
                </c:pt>
                <c:pt idx="200">
                  <c:v>425.9708325305989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3.1869916933335189</c:v>
                </c:pt>
                <c:pt idx="2">
                  <c:v>3.7189706865056689</c:v>
                </c:pt>
                <c:pt idx="3">
                  <c:v>4.3400685470721152</c:v>
                </c:pt>
                <c:pt idx="4">
                  <c:v>5.0652653229643461</c:v>
                </c:pt>
                <c:pt idx="5">
                  <c:v>5.9120670317881361</c:v>
                </c:pt>
                <c:pt idx="6">
                  <c:v>6.9009328456386783</c:v>
                </c:pt>
                <c:pt idx="7">
                  <c:v>8.0557747158050663</c:v>
                </c:pt>
                <c:pt idx="8">
                  <c:v>9.4045417518806484</c:v>
                </c:pt>
                <c:pt idx="9">
                  <c:v>10.979903767967294</c:v>
                </c:pt>
                <c:pt idx="10">
                  <c:v>12.820050865060374</c:v>
                </c:pt>
                <c:pt idx="11">
                  <c:v>14.969628794603414</c:v>
                </c:pt>
                <c:pt idx="12">
                  <c:v>17.480833215380692</c:v>
                </c:pt>
                <c:pt idx="13">
                  <c:v>20.414689898447865</c:v>
                </c:pt>
                <c:pt idx="14">
                  <c:v>23.842552551171647</c:v>
                </c:pt>
                <c:pt idx="15">
                  <c:v>27.847855337031476</c:v>
                </c:pt>
                <c:pt idx="16">
                  <c:v>32.528163497787233</c:v>
                </c:pt>
                <c:pt idx="17">
                  <c:v>37.997572897276264</c:v>
                </c:pt>
                <c:pt idx="18">
                  <c:v>44.389517986975818</c:v>
                </c:pt>
                <c:pt idx="19">
                  <c:v>51.860057859889174</c:v>
                </c:pt>
                <c:pt idx="20">
                  <c:v>60.591721965921806</c:v>
                </c:pt>
                <c:pt idx="21">
                  <c:v>70.798011007057156</c:v>
                </c:pt>
                <c:pt idx="22">
                  <c:v>82.728664863891794</c:v>
                </c:pt>
                <c:pt idx="23">
                  <c:v>96.67582853605127</c:v>
                </c:pt>
                <c:pt idx="24">
                  <c:v>112.98126948764094</c:v>
                </c:pt>
                <c:pt idx="25">
                  <c:v>132.04482603759354</c:v>
                </c:pt>
                <c:pt idx="26">
                  <c:v>154.33429718261061</c:v>
                </c:pt>
                <c:pt idx="27">
                  <c:v>180.39702025965281</c:v>
                </c:pt>
                <c:pt idx="28">
                  <c:v>210.87342505066601</c:v>
                </c:pt>
                <c:pt idx="29">
                  <c:v>246.51290236507396</c:v>
                </c:pt>
                <c:pt idx="30">
                  <c:v>288.19238304852763</c:v>
                </c:pt>
                <c:pt idx="31">
                  <c:v>306.76916131601598</c:v>
                </c:pt>
                <c:pt idx="32">
                  <c:v>325.32094743122792</c:v>
                </c:pt>
                <c:pt idx="33">
                  <c:v>343.84936666988779</c:v>
                </c:pt>
                <c:pt idx="34">
                  <c:v>362.35585487881241</c:v>
                </c:pt>
                <c:pt idx="35">
                  <c:v>380.8416893024592</c:v>
                </c:pt>
                <c:pt idx="36">
                  <c:v>262.76958015332491</c:v>
                </c:pt>
                <c:pt idx="37">
                  <c:v>284.28685031210659</c:v>
                </c:pt>
                <c:pt idx="38">
                  <c:v>305.76766187103038</c:v>
                </c:pt>
                <c:pt idx="39">
                  <c:v>327.21493514382536</c:v>
                </c:pt>
                <c:pt idx="40">
                  <c:v>348.63117639699908</c:v>
                </c:pt>
                <c:pt idx="41">
                  <c:v>370.01855891476202</c:v>
                </c:pt>
                <c:pt idx="42">
                  <c:v>302.94382479769712</c:v>
                </c:pt>
                <c:pt idx="43">
                  <c:v>324.46701399217881</c:v>
                </c:pt>
                <c:pt idx="44">
                  <c:v>345.95865990901848</c:v>
                </c:pt>
                <c:pt idx="45">
                  <c:v>367.42099653954892</c:v>
                </c:pt>
                <c:pt idx="46">
                  <c:v>388.85597567041401</c:v>
                </c:pt>
                <c:pt idx="47">
                  <c:v>410.26531644463194</c:v>
                </c:pt>
                <c:pt idx="48">
                  <c:v>431.65054403421851</c:v>
                </c:pt>
                <c:pt idx="49">
                  <c:v>341.88798658068828</c:v>
                </c:pt>
                <c:pt idx="50">
                  <c:v>362.273020621863</c:v>
                </c:pt>
                <c:pt idx="51">
                  <c:v>382.63298881740667</c:v>
                </c:pt>
                <c:pt idx="52">
                  <c:v>402.96941178483775</c:v>
                </c:pt>
                <c:pt idx="53">
                  <c:v>423.283644207414</c:v>
                </c:pt>
                <c:pt idx="54">
                  <c:v>443.57690019926105</c:v>
                </c:pt>
                <c:pt idx="55">
                  <c:v>463.85027378673584</c:v>
                </c:pt>
                <c:pt idx="56">
                  <c:v>379.70050658537235</c:v>
                </c:pt>
                <c:pt idx="57">
                  <c:v>398.8960761314741</c:v>
                </c:pt>
                <c:pt idx="58">
                  <c:v>418.07165280217868</c:v>
                </c:pt>
                <c:pt idx="59">
                  <c:v>437.22828213923043</c:v>
                </c:pt>
                <c:pt idx="60">
                  <c:v>456.36691063760526</c:v>
                </c:pt>
                <c:pt idx="61">
                  <c:v>475.48839897377138</c:v>
                </c:pt>
                <c:pt idx="62">
                  <c:v>494.59353299564049</c:v>
                </c:pt>
                <c:pt idx="63">
                  <c:v>513.68303292647499</c:v>
                </c:pt>
                <c:pt idx="64">
                  <c:v>436.93697308885857</c:v>
                </c:pt>
                <c:pt idx="65">
                  <c:v>455.44984082591412</c:v>
                </c:pt>
                <c:pt idx="66">
                  <c:v>473.9466352867467</c:v>
                </c:pt>
                <c:pt idx="67">
                  <c:v>492.42807168861987</c:v>
                </c:pt>
                <c:pt idx="68">
                  <c:v>510.89480721570766</c:v>
                </c:pt>
                <c:pt idx="69">
                  <c:v>529.34744769826705</c:v>
                </c:pt>
                <c:pt idx="70">
                  <c:v>547.78655331238576</c:v>
                </c:pt>
                <c:pt idx="71">
                  <c:v>566.21264347271119</c:v>
                </c:pt>
                <c:pt idx="72">
                  <c:v>493.12900067600873</c:v>
                </c:pt>
                <c:pt idx="73">
                  <c:v>511.00822526101001</c:v>
                </c:pt>
                <c:pt idx="74">
                  <c:v>528.87424050875813</c:v>
                </c:pt>
                <c:pt idx="75">
                  <c:v>546.72755518631732</c:v>
                </c:pt>
                <c:pt idx="76">
                  <c:v>564.56864214539053</c:v>
                </c:pt>
                <c:pt idx="77">
                  <c:v>582.39794193573914</c:v>
                </c:pt>
                <c:pt idx="78">
                  <c:v>600.21586595334895</c:v>
                </c:pt>
                <c:pt idx="79">
                  <c:v>618.02279919555497</c:v>
                </c:pt>
                <c:pt idx="80">
                  <c:v>635.81910268232559</c:v>
                </c:pt>
                <c:pt idx="81">
                  <c:v>549.22839927019868</c:v>
                </c:pt>
                <c:pt idx="82">
                  <c:v>566.27742965606399</c:v>
                </c:pt>
                <c:pt idx="83">
                  <c:v>583.31573182136424</c:v>
                </c:pt>
                <c:pt idx="84">
                  <c:v>600.34366305102492</c:v>
                </c:pt>
                <c:pt idx="85">
                  <c:v>617.36155872357779</c:v>
                </c:pt>
                <c:pt idx="86">
                  <c:v>634.36973423351674</c:v>
                </c:pt>
                <c:pt idx="87">
                  <c:v>651.36848669690573</c:v>
                </c:pt>
                <c:pt idx="88">
                  <c:v>668.35809646980954</c:v>
                </c:pt>
                <c:pt idx="89">
                  <c:v>685.33882850441785</c:v>
                </c:pt>
                <c:pt idx="90">
                  <c:v>589.58115277308832</c:v>
                </c:pt>
                <c:pt idx="91">
                  <c:v>605.88595587112752</c:v>
                </c:pt>
                <c:pt idx="92">
                  <c:v>622.18165012685074</c:v>
                </c:pt>
                <c:pt idx="93">
                  <c:v>638.46850755238108</c:v>
                </c:pt>
                <c:pt idx="94">
                  <c:v>654.74678516046185</c:v>
                </c:pt>
                <c:pt idx="95">
                  <c:v>671.01672615155621</c:v>
                </c:pt>
                <c:pt idx="96">
                  <c:v>687.27856097991025</c:v>
                </c:pt>
                <c:pt idx="97">
                  <c:v>703.53250831355069</c:v>
                </c:pt>
                <c:pt idx="98">
                  <c:v>719.77877590102059</c:v>
                </c:pt>
                <c:pt idx="99">
                  <c:v>736.01756135586209</c:v>
                </c:pt>
                <c:pt idx="100">
                  <c:v>643.10369331547633</c:v>
                </c:pt>
                <c:pt idx="101">
                  <c:v>658.96108058182915</c:v>
                </c:pt>
                <c:pt idx="102">
                  <c:v>674.81061235785319</c:v>
                </c:pt>
                <c:pt idx="103">
                  <c:v>690.65249900310607</c:v>
                </c:pt>
                <c:pt idx="104">
                  <c:v>706.48694044743468</c:v>
                </c:pt>
                <c:pt idx="105">
                  <c:v>722.31412693505092</c:v>
                </c:pt>
                <c:pt idx="106">
                  <c:v>738.13423970005249</c:v>
                </c:pt>
                <c:pt idx="107">
                  <c:v>753.94745158106923</c:v>
                </c:pt>
                <c:pt idx="108">
                  <c:v>769.75392758170995</c:v>
                </c:pt>
                <c:pt idx="109">
                  <c:v>785.55382538262199</c:v>
                </c:pt>
                <c:pt idx="110">
                  <c:v>685.03392020239437</c:v>
                </c:pt>
                <c:pt idx="111">
                  <c:v>700.53718636712586</c:v>
                </c:pt>
                <c:pt idx="112">
                  <c:v>716.03343280811657</c:v>
                </c:pt>
                <c:pt idx="113">
                  <c:v>731.5228327283063</c:v>
                </c:pt>
                <c:pt idx="114">
                  <c:v>747.00555140367976</c:v>
                </c:pt>
                <c:pt idx="115">
                  <c:v>762.48174670620676</c:v>
                </c:pt>
                <c:pt idx="116">
                  <c:v>777.95156958215512</c:v>
                </c:pt>
                <c:pt idx="117">
                  <c:v>793.41516449041717</c:v>
                </c:pt>
                <c:pt idx="118">
                  <c:v>808.87266980491574</c:v>
                </c:pt>
                <c:pt idx="119">
                  <c:v>824.32421818468629</c:v>
                </c:pt>
                <c:pt idx="120">
                  <c:v>492.83742328263929</c:v>
                </c:pt>
                <c:pt idx="121">
                  <c:v>501.57098653770299</c:v>
                </c:pt>
                <c:pt idx="122">
                  <c:v>510.30133202243292</c:v>
                </c:pt>
                <c:pt idx="123">
                  <c:v>519.02852256208973</c:v>
                </c:pt>
                <c:pt idx="124">
                  <c:v>347.85419402060211</c:v>
                </c:pt>
                <c:pt idx="125">
                  <c:v>353.2186513605763</c:v>
                </c:pt>
                <c:pt idx="126">
                  <c:v>358.58132330067821</c:v>
                </c:pt>
                <c:pt idx="127">
                  <c:v>363.94224034116178</c:v>
                </c:pt>
                <c:pt idx="128">
                  <c:v>252.38937355642568</c:v>
                </c:pt>
                <c:pt idx="129">
                  <c:v>255.87521499156887</c:v>
                </c:pt>
                <c:pt idx="130">
                  <c:v>259.35998187499581</c:v>
                </c:pt>
                <c:pt idx="131">
                  <c:v>262.84369071254008</c:v>
                </c:pt>
                <c:pt idx="132">
                  <c:v>1.4031614527640822E-11</c:v>
                </c:pt>
                <c:pt idx="133">
                  <c:v>1.4031614527640822E-11</c:v>
                </c:pt>
                <c:pt idx="134">
                  <c:v>1.4031614527640822E-11</c:v>
                </c:pt>
                <c:pt idx="135">
                  <c:v>1.4031614527640822E-11</c:v>
                </c:pt>
                <c:pt idx="136">
                  <c:v>1.4031614527640822E-11</c:v>
                </c:pt>
                <c:pt idx="137">
                  <c:v>1.4031614527640822E-11</c:v>
                </c:pt>
                <c:pt idx="138">
                  <c:v>1.4031614527640822E-11</c:v>
                </c:pt>
                <c:pt idx="139">
                  <c:v>1.4031614527640822E-11</c:v>
                </c:pt>
                <c:pt idx="140">
                  <c:v>1.4031614527640822E-11</c:v>
                </c:pt>
                <c:pt idx="141">
                  <c:v>1.4031614527640822E-11</c:v>
                </c:pt>
                <c:pt idx="142">
                  <c:v>1.4031614527640822E-11</c:v>
                </c:pt>
                <c:pt idx="143">
                  <c:v>1.4031614527640822E-11</c:v>
                </c:pt>
                <c:pt idx="144">
                  <c:v>1.4031614527640822E-11</c:v>
                </c:pt>
                <c:pt idx="145">
                  <c:v>1.4031614527640822E-11</c:v>
                </c:pt>
                <c:pt idx="146">
                  <c:v>1.4031614527640822E-11</c:v>
                </c:pt>
                <c:pt idx="147">
                  <c:v>1.4031614527640822E-11</c:v>
                </c:pt>
                <c:pt idx="148">
                  <c:v>1.4031614527640822E-11</c:v>
                </c:pt>
                <c:pt idx="149">
                  <c:v>1.4031614527640822E-11</c:v>
                </c:pt>
                <c:pt idx="150">
                  <c:v>1.4031614527640822E-11</c:v>
                </c:pt>
                <c:pt idx="151">
                  <c:v>1.4031614527640822E-11</c:v>
                </c:pt>
                <c:pt idx="152">
                  <c:v>1.4031614527640822E-11</c:v>
                </c:pt>
                <c:pt idx="153">
                  <c:v>1.4031614527640822E-11</c:v>
                </c:pt>
                <c:pt idx="154">
                  <c:v>1.4031614527640822E-11</c:v>
                </c:pt>
                <c:pt idx="155">
                  <c:v>1.4031614527640822E-11</c:v>
                </c:pt>
                <c:pt idx="156">
                  <c:v>1.4031614527640822E-11</c:v>
                </c:pt>
                <c:pt idx="157">
                  <c:v>1.4031614527640822E-11</c:v>
                </c:pt>
                <c:pt idx="158">
                  <c:v>1.4031614527640822E-11</c:v>
                </c:pt>
                <c:pt idx="159">
                  <c:v>1.4031614527640822E-11</c:v>
                </c:pt>
                <c:pt idx="160">
                  <c:v>1.4031614527640822E-11</c:v>
                </c:pt>
                <c:pt idx="161">
                  <c:v>1.4031614527640822E-11</c:v>
                </c:pt>
                <c:pt idx="162">
                  <c:v>1.4031614527640822E-11</c:v>
                </c:pt>
                <c:pt idx="163">
                  <c:v>1.4031614527640822E-11</c:v>
                </c:pt>
                <c:pt idx="164">
                  <c:v>1.4031614527640822E-11</c:v>
                </c:pt>
                <c:pt idx="165">
                  <c:v>1.4031614527640822E-11</c:v>
                </c:pt>
                <c:pt idx="166">
                  <c:v>1.4031614527640822E-11</c:v>
                </c:pt>
                <c:pt idx="167">
                  <c:v>1.4031614527640822E-11</c:v>
                </c:pt>
                <c:pt idx="168">
                  <c:v>1.4031614527640822E-11</c:v>
                </c:pt>
                <c:pt idx="169">
                  <c:v>1.4031614527640822E-11</c:v>
                </c:pt>
                <c:pt idx="170">
                  <c:v>1.4031614527640822E-11</c:v>
                </c:pt>
                <c:pt idx="171">
                  <c:v>1.4031614527640822E-11</c:v>
                </c:pt>
                <c:pt idx="172">
                  <c:v>1.4031614527640822E-11</c:v>
                </c:pt>
                <c:pt idx="173">
                  <c:v>1.4031614527640822E-11</c:v>
                </c:pt>
                <c:pt idx="174">
                  <c:v>1.4031614527640822E-11</c:v>
                </c:pt>
                <c:pt idx="175">
                  <c:v>1.4031614527640822E-11</c:v>
                </c:pt>
                <c:pt idx="176">
                  <c:v>1.4031614527640822E-11</c:v>
                </c:pt>
                <c:pt idx="177">
                  <c:v>1.4031614527640822E-11</c:v>
                </c:pt>
                <c:pt idx="178">
                  <c:v>1.4031614527640822E-11</c:v>
                </c:pt>
                <c:pt idx="179">
                  <c:v>1.4031614527640822E-11</c:v>
                </c:pt>
                <c:pt idx="180">
                  <c:v>1.4031614527640822E-11</c:v>
                </c:pt>
                <c:pt idx="181">
                  <c:v>1.4031614527640822E-11</c:v>
                </c:pt>
                <c:pt idx="182">
                  <c:v>1.4031614527640822E-11</c:v>
                </c:pt>
                <c:pt idx="183">
                  <c:v>1.4031614527640822E-11</c:v>
                </c:pt>
                <c:pt idx="184">
                  <c:v>1.4031614527640822E-11</c:v>
                </c:pt>
                <c:pt idx="185">
                  <c:v>1.4031614527640822E-11</c:v>
                </c:pt>
                <c:pt idx="186">
                  <c:v>1.4031614527640822E-11</c:v>
                </c:pt>
                <c:pt idx="187">
                  <c:v>1.4031614527640822E-11</c:v>
                </c:pt>
                <c:pt idx="188">
                  <c:v>1.4031614527640822E-11</c:v>
                </c:pt>
                <c:pt idx="189">
                  <c:v>1.4031614527640822E-11</c:v>
                </c:pt>
                <c:pt idx="190">
                  <c:v>1.4031614527640822E-11</c:v>
                </c:pt>
                <c:pt idx="191">
                  <c:v>1.4031614527640822E-11</c:v>
                </c:pt>
                <c:pt idx="192">
                  <c:v>1.4031614527640822E-11</c:v>
                </c:pt>
                <c:pt idx="193">
                  <c:v>1.4031614527640822E-11</c:v>
                </c:pt>
                <c:pt idx="194">
                  <c:v>1.4031614527640822E-11</c:v>
                </c:pt>
                <c:pt idx="195">
                  <c:v>1.4031614527640822E-11</c:v>
                </c:pt>
                <c:pt idx="196">
                  <c:v>1.4031614527640822E-11</c:v>
                </c:pt>
                <c:pt idx="197">
                  <c:v>1.4031614527640822E-11</c:v>
                </c:pt>
                <c:pt idx="198">
                  <c:v>1.4031614527640822E-11</c:v>
                </c:pt>
                <c:pt idx="199">
                  <c:v>1.4031614527640822E-11</c:v>
                </c:pt>
                <c:pt idx="200">
                  <c:v>1.4031614527640822E-11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2.9663597208462513</c:v>
                </c:pt>
                <c:pt idx="2">
                  <c:v>3.41263350309932</c:v>
                </c:pt>
                <c:pt idx="3">
                  <c:v>3.9262865098488433</c:v>
                </c:pt>
                <c:pt idx="4">
                  <c:v>4.517525942707997</c:v>
                </c:pt>
                <c:pt idx="5">
                  <c:v>5.1981101347487355</c:v>
                </c:pt>
                <c:pt idx="6">
                  <c:v>5.9815849546808861</c:v>
                </c:pt>
                <c:pt idx="7">
                  <c:v>6.8835563378532347</c:v>
                </c:pt>
                <c:pt idx="8">
                  <c:v>7.9220044785646442</c:v>
                </c:pt>
                <c:pt idx="9">
                  <c:v>9.1176460679525047</c:v>
                </c:pt>
                <c:pt idx="10">
                  <c:v>10.494351942250711</c:v>
                </c:pt>
                <c:pt idx="11">
                  <c:v>12.079628637633936</c:v>
                </c:pt>
                <c:pt idx="12">
                  <c:v>13.905173653454666</c:v>
                </c:pt>
                <c:pt idx="13">
                  <c:v>16.007515732293342</c:v>
                </c:pt>
                <c:pt idx="14">
                  <c:v>18.428753203887211</c:v>
                </c:pt>
                <c:pt idx="15">
                  <c:v>21.217405446478605</c:v>
                </c:pt>
                <c:pt idx="16">
                  <c:v>24.42939483475806</c:v>
                </c:pt>
                <c:pt idx="17">
                  <c:v>28.12917921608981</c:v>
                </c:pt>
                <c:pt idx="18">
                  <c:v>32.391058041190952</c:v>
                </c:pt>
                <c:pt idx="19">
                  <c:v>37.300678835503909</c:v>
                </c:pt>
                <c:pt idx="20">
                  <c:v>42.956774806604393</c:v>
                </c:pt>
                <c:pt idx="21">
                  <c:v>49.47316912593493</c:v>
                </c:pt>
                <c:pt idx="22">
                  <c:v>56.981086897877383</c:v>
                </c:pt>
                <c:pt idx="23">
                  <c:v>65.63182214876143</c:v>
                </c:pt>
                <c:pt idx="24">
                  <c:v>75.599814463430988</c:v>
                </c:pt>
                <c:pt idx="25">
                  <c:v>87.086198318254176</c:v>
                </c:pt>
                <c:pt idx="26">
                  <c:v>100.32289788110329</c:v>
                </c:pt>
                <c:pt idx="27">
                  <c:v>115.57735127195021</c:v>
                </c:pt>
                <c:pt idx="28">
                  <c:v>133.15796123456417</c:v>
                </c:pt>
                <c:pt idx="29">
                  <c:v>153.42038412857815</c:v>
                </c:pt>
                <c:pt idx="30">
                  <c:v>176.77478642166719</c:v>
                </c:pt>
                <c:pt idx="31">
                  <c:v>203.69421780151507</c:v>
                </c:pt>
                <c:pt idx="32">
                  <c:v>234.72427304982702</c:v>
                </c:pt>
                <c:pt idx="33">
                  <c:v>270.49424140309327</c:v>
                </c:pt>
                <c:pt idx="34">
                  <c:v>311.72997281834222</c:v>
                </c:pt>
                <c:pt idx="35">
                  <c:v>359.26872600336202</c:v>
                </c:pt>
                <c:pt idx="36">
                  <c:v>247.89733645105048</c:v>
                </c:pt>
                <c:pt idx="37">
                  <c:v>268.19388020667242</c:v>
                </c:pt>
                <c:pt idx="38">
                  <c:v>288.45583932928992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349.06002407123123</c:v>
                </c:pt>
                <c:pt idx="42">
                  <c:v>285.79224141654964</c:v>
                </c:pt>
                <c:pt idx="43">
                  <c:v>306.09401640717584</c:v>
                </c:pt>
                <c:pt idx="44">
                  <c:v>326.36586944014988</c:v>
                </c:pt>
                <c:pt idx="45">
                  <c:v>346.60991967996728</c:v>
                </c:pt>
                <c:pt idx="46">
                  <c:v>366.82801859171582</c:v>
                </c:pt>
                <c:pt idx="47">
                  <c:v>387.02179695470659</c:v>
                </c:pt>
                <c:pt idx="48">
                  <c:v>407.19270154733073</c:v>
                </c:pt>
                <c:pt idx="49">
                  <c:v>322.52624611434112</c:v>
                </c:pt>
                <c:pt idx="50">
                  <c:v>341.75417681771779</c:v>
                </c:pt>
                <c:pt idx="51">
                  <c:v>360.95833005636814</c:v>
                </c:pt>
                <c:pt idx="52">
                  <c:v>380.1401482882859</c:v>
                </c:pt>
                <c:pt idx="53">
                  <c:v>399.30091656620215</c:v>
                </c:pt>
                <c:pt idx="54">
                  <c:v>418.44178659894874</c:v>
                </c:pt>
                <c:pt idx="55">
                  <c:v>437.56379618008327</c:v>
                </c:pt>
                <c:pt idx="56">
                  <c:v>358.1923298746517</c:v>
                </c:pt>
                <c:pt idx="57">
                  <c:v>376.29808691039688</c:v>
                </c:pt>
                <c:pt idx="58">
                  <c:v>394.38487870170007</c:v>
                </c:pt>
                <c:pt idx="59">
                  <c:v>412.45369704960859</c:v>
                </c:pt>
                <c:pt idx="60">
                  <c:v>430.50543979939113</c:v>
                </c:pt>
                <c:pt idx="61">
                  <c:v>448.54092338886767</c:v>
                </c:pt>
                <c:pt idx="62">
                  <c:v>466.56089327347848</c:v>
                </c:pt>
                <c:pt idx="63">
                  <c:v>484.566032657113</c:v>
                </c:pt>
                <c:pt idx="64">
                  <c:v>412.17893074941094</c:v>
                </c:pt>
                <c:pt idx="65">
                  <c:v>429.64045267146849</c:v>
                </c:pt>
                <c:pt idx="66">
                  <c:v>447.08672748141771</c:v>
                </c:pt>
                <c:pt idx="67">
                  <c:v>464.51843363445613</c:v>
                </c:pt>
                <c:pt idx="68">
                  <c:v>481.93619453558489</c:v>
                </c:pt>
                <c:pt idx="69">
                  <c:v>499.34058487547162</c:v>
                </c:pt>
                <c:pt idx="70">
                  <c:v>516.73213603723286</c:v>
                </c:pt>
                <c:pt idx="71">
                  <c:v>534.11134073767676</c:v>
                </c:pt>
                <c:pt idx="72">
                  <c:v>465.17954885268068</c:v>
                </c:pt>
                <c:pt idx="73">
                  <c:v>482.04316980390831</c:v>
                </c:pt>
                <c:pt idx="74">
                  <c:v>498.89426037594109</c:v>
                </c:pt>
                <c:pt idx="75">
                  <c:v>515.73330318528826</c:v>
                </c:pt>
                <c:pt idx="76">
                  <c:v>532.56074677914273</c:v>
                </c:pt>
                <c:pt idx="77">
                  <c:v>549.37700906307055</c:v>
                </c:pt>
                <c:pt idx="78">
                  <c:v>566.18248028736241</c:v>
                </c:pt>
                <c:pt idx="79">
                  <c:v>582.97752566054464</c:v>
                </c:pt>
                <c:pt idx="80">
                  <c:v>599.76248764621096</c:v>
                </c:pt>
                <c:pt idx="81">
                  <c:v>518.0920654638179</c:v>
                </c:pt>
                <c:pt idx="82">
                  <c:v>534.17244594763577</c:v>
                </c:pt>
                <c:pt idx="83">
                  <c:v>550.24264963990152</c:v>
                </c:pt>
                <c:pt idx="84">
                  <c:v>566.30301546114617</c:v>
                </c:pt>
                <c:pt idx="85">
                  <c:v>582.35386155149297</c:v>
                </c:pt>
                <c:pt idx="86">
                  <c:v>598.39548709420319</c:v>
                </c:pt>
                <c:pt idx="87">
                  <c:v>614.42817393361736</c:v>
                </c:pt>
                <c:pt idx="88">
                  <c:v>630.45218801553858</c:v>
                </c:pt>
                <c:pt idx="89">
                  <c:v>646.46778067365187</c:v>
                </c:pt>
                <c:pt idx="90">
                  <c:v>556.15206169982298</c:v>
                </c:pt>
                <c:pt idx="91">
                  <c:v>571.53037088991744</c:v>
                </c:pt>
                <c:pt idx="92">
                  <c:v>586.90003943089675</c:v>
                </c:pt>
                <c:pt idx="93">
                  <c:v>602.26132535349996</c:v>
                </c:pt>
                <c:pt idx="94">
                  <c:v>617.6144724600515</c:v>
                </c:pt>
                <c:pt idx="95">
                  <c:v>632.95971145054534</c:v>
                </c:pt>
                <c:pt idx="96">
                  <c:v>648.29726093391253</c:v>
                </c:pt>
                <c:pt idx="97">
                  <c:v>663.62732833867358</c:v>
                </c:pt>
                <c:pt idx="98">
                  <c:v>678.95011073512637</c:v>
                </c:pt>
                <c:pt idx="99">
                  <c:v>694.26579557950515</c:v>
                </c:pt>
                <c:pt idx="100">
                  <c:v>606.63308794985471</c:v>
                </c:pt>
                <c:pt idx="101">
                  <c:v>621.5892527220193</c:v>
                </c:pt>
                <c:pt idx="102">
                  <c:v>636.53796577494199</c:v>
                </c:pt>
                <c:pt idx="103">
                  <c:v>651.47942665572896</c:v>
                </c:pt>
                <c:pt idx="104">
                  <c:v>666.41382501786154</c:v>
                </c:pt>
                <c:pt idx="105">
                  <c:v>681.34134132702627</c:v>
                </c:pt>
                <c:pt idx="106">
                  <c:v>696.26214750191332</c:v>
                </c:pt>
                <c:pt idx="107">
                  <c:v>711.17640749727252</c:v>
                </c:pt>
                <c:pt idx="108">
                  <c:v>726.08427783555044</c:v>
                </c:pt>
                <c:pt idx="109">
                  <c:v>740.98590809263044</c:v>
                </c:pt>
                <c:pt idx="110">
                  <c:v>646.18020296138832</c:v>
                </c:pt>
                <c:pt idx="111">
                  <c:v>660.80226469034744</c:v>
                </c:pt>
                <c:pt idx="112">
                  <c:v>675.41766750836871</c:v>
                </c:pt>
                <c:pt idx="113">
                  <c:v>690.02657571578584</c:v>
                </c:pt>
                <c:pt idx="114">
                  <c:v>704.62914609342113</c:v>
                </c:pt>
                <c:pt idx="115">
                  <c:v>719.22552839864738</c:v>
                </c:pt>
                <c:pt idx="116">
                  <c:v>733.81586581911597</c:v>
                </c:pt>
                <c:pt idx="117">
                  <c:v>748.40029538855242</c:v>
                </c:pt>
                <c:pt idx="118">
                  <c:v>762.97894836847979</c:v>
                </c:pt>
                <c:pt idx="119">
                  <c:v>777.55195059927792</c:v>
                </c:pt>
                <c:pt idx="120">
                  <c:v>464.90453348622708</c:v>
                </c:pt>
                <c:pt idx="121">
                  <c:v>473.14200892852961</c:v>
                </c:pt>
                <c:pt idx="122">
                  <c:v>481.37643199343648</c:v>
                </c:pt>
                <c:pt idx="123">
                  <c:v>489.60786227699901</c:v>
                </c:pt>
                <c:pt idx="124">
                  <c:v>328.15381176580001</c:v>
                </c:pt>
                <c:pt idx="125">
                  <c:v>333.21377234826514</c:v>
                </c:pt>
                <c:pt idx="126">
                  <c:v>338.27203930015764</c:v>
                </c:pt>
                <c:pt idx="127">
                  <c:v>343.32864155402285</c:v>
                </c:pt>
                <c:pt idx="128">
                  <c:v>238.10594921033294</c:v>
                </c:pt>
                <c:pt idx="129">
                  <c:v>241.39406120554747</c:v>
                </c:pt>
                <c:pt idx="130">
                  <c:v>244.6811538808515</c:v>
                </c:pt>
                <c:pt idx="131">
                  <c:v>247.96724289368069</c:v>
                </c:pt>
                <c:pt idx="132">
                  <c:v>1.3303388911427938E-11</c:v>
                </c:pt>
                <c:pt idx="133">
                  <c:v>1.3303388911427938E-11</c:v>
                </c:pt>
                <c:pt idx="134">
                  <c:v>1.3303388911427938E-11</c:v>
                </c:pt>
                <c:pt idx="135">
                  <c:v>1.3303388911427938E-11</c:v>
                </c:pt>
                <c:pt idx="136">
                  <c:v>1.3303388911427938E-11</c:v>
                </c:pt>
                <c:pt idx="137">
                  <c:v>1.3303388911427938E-11</c:v>
                </c:pt>
                <c:pt idx="138">
                  <c:v>1.3303388911427938E-11</c:v>
                </c:pt>
                <c:pt idx="139">
                  <c:v>1.3303388911427938E-11</c:v>
                </c:pt>
                <c:pt idx="140">
                  <c:v>1.3303388911427938E-11</c:v>
                </c:pt>
                <c:pt idx="141">
                  <c:v>1.3303388911427938E-11</c:v>
                </c:pt>
                <c:pt idx="142">
                  <c:v>1.3303388911427938E-11</c:v>
                </c:pt>
                <c:pt idx="143">
                  <c:v>1.3303388911427938E-11</c:v>
                </c:pt>
                <c:pt idx="144">
                  <c:v>1.3303388911427938E-11</c:v>
                </c:pt>
                <c:pt idx="145">
                  <c:v>1.3303388911427938E-11</c:v>
                </c:pt>
                <c:pt idx="146">
                  <c:v>1.3303388911427938E-11</c:v>
                </c:pt>
                <c:pt idx="147">
                  <c:v>1.3303388911427938E-11</c:v>
                </c:pt>
                <c:pt idx="148">
                  <c:v>1.3303388911427938E-11</c:v>
                </c:pt>
                <c:pt idx="149">
                  <c:v>1.3303388911427938E-11</c:v>
                </c:pt>
                <c:pt idx="150">
                  <c:v>1.3303388911427938E-11</c:v>
                </c:pt>
                <c:pt idx="151">
                  <c:v>1.3303388911427938E-11</c:v>
                </c:pt>
                <c:pt idx="152">
                  <c:v>1.3303388911427938E-11</c:v>
                </c:pt>
                <c:pt idx="153">
                  <c:v>1.3303388911427938E-11</c:v>
                </c:pt>
                <c:pt idx="154">
                  <c:v>1.3303388911427938E-11</c:v>
                </c:pt>
                <c:pt idx="155">
                  <c:v>1.3303388911427938E-11</c:v>
                </c:pt>
                <c:pt idx="156">
                  <c:v>1.3303388911427938E-11</c:v>
                </c:pt>
                <c:pt idx="157">
                  <c:v>1.3303388911427938E-11</c:v>
                </c:pt>
                <c:pt idx="158">
                  <c:v>1.3303388911427938E-11</c:v>
                </c:pt>
                <c:pt idx="159">
                  <c:v>1.3303388911427938E-11</c:v>
                </c:pt>
                <c:pt idx="160">
                  <c:v>1.3303388911427938E-11</c:v>
                </c:pt>
                <c:pt idx="161">
                  <c:v>1.3303388911427938E-11</c:v>
                </c:pt>
                <c:pt idx="162">
                  <c:v>1.3303388911427938E-11</c:v>
                </c:pt>
                <c:pt idx="163">
                  <c:v>1.3303388911427938E-11</c:v>
                </c:pt>
                <c:pt idx="164">
                  <c:v>1.3303388911427938E-11</c:v>
                </c:pt>
                <c:pt idx="165">
                  <c:v>1.3303388911427938E-11</c:v>
                </c:pt>
                <c:pt idx="166">
                  <c:v>1.3303388911427938E-11</c:v>
                </c:pt>
                <c:pt idx="167">
                  <c:v>1.3303388911427938E-11</c:v>
                </c:pt>
                <c:pt idx="168">
                  <c:v>1.3303388911427938E-11</c:v>
                </c:pt>
                <c:pt idx="169">
                  <c:v>1.3303388911427938E-11</c:v>
                </c:pt>
                <c:pt idx="170">
                  <c:v>1.3303388911427938E-11</c:v>
                </c:pt>
                <c:pt idx="171">
                  <c:v>1.3303388911427938E-11</c:v>
                </c:pt>
                <c:pt idx="172">
                  <c:v>1.3303388911427938E-11</c:v>
                </c:pt>
                <c:pt idx="173">
                  <c:v>1.3303388911427938E-11</c:v>
                </c:pt>
                <c:pt idx="174">
                  <c:v>1.3303388911427938E-11</c:v>
                </c:pt>
                <c:pt idx="175">
                  <c:v>1.3303388911427938E-11</c:v>
                </c:pt>
                <c:pt idx="176">
                  <c:v>1.3303388911427938E-11</c:v>
                </c:pt>
                <c:pt idx="177">
                  <c:v>1.3303388911427938E-11</c:v>
                </c:pt>
                <c:pt idx="178">
                  <c:v>1.3303388911427938E-11</c:v>
                </c:pt>
                <c:pt idx="179">
                  <c:v>1.3303388911427938E-11</c:v>
                </c:pt>
                <c:pt idx="180">
                  <c:v>1.3303388911427938E-11</c:v>
                </c:pt>
                <c:pt idx="181">
                  <c:v>1.3303388911427938E-11</c:v>
                </c:pt>
                <c:pt idx="182">
                  <c:v>1.3303388911427938E-11</c:v>
                </c:pt>
                <c:pt idx="183">
                  <c:v>1.3303388911427938E-11</c:v>
                </c:pt>
                <c:pt idx="184">
                  <c:v>1.3303388911427938E-11</c:v>
                </c:pt>
                <c:pt idx="185">
                  <c:v>1.3303388911427938E-11</c:v>
                </c:pt>
                <c:pt idx="186">
                  <c:v>1.3303388911427938E-11</c:v>
                </c:pt>
                <c:pt idx="187">
                  <c:v>1.3303388911427938E-11</c:v>
                </c:pt>
                <c:pt idx="188">
                  <c:v>1.3303388911427938E-11</c:v>
                </c:pt>
                <c:pt idx="189">
                  <c:v>1.3303388911427938E-11</c:v>
                </c:pt>
                <c:pt idx="190">
                  <c:v>1.3303388911427938E-11</c:v>
                </c:pt>
                <c:pt idx="191">
                  <c:v>1.3303388911427938E-11</c:v>
                </c:pt>
                <c:pt idx="192">
                  <c:v>1.3303388911427938E-11</c:v>
                </c:pt>
                <c:pt idx="193">
                  <c:v>1.3303388911427938E-11</c:v>
                </c:pt>
                <c:pt idx="194">
                  <c:v>1.3303388911427938E-11</c:v>
                </c:pt>
                <c:pt idx="195">
                  <c:v>1.3303388911427938E-11</c:v>
                </c:pt>
                <c:pt idx="196">
                  <c:v>1.3303388911427938E-11</c:v>
                </c:pt>
                <c:pt idx="197">
                  <c:v>1.3303388911427938E-11</c:v>
                </c:pt>
                <c:pt idx="198">
                  <c:v>1.3303388911427938E-11</c:v>
                </c:pt>
                <c:pt idx="199">
                  <c:v>1.3303388911427938E-11</c:v>
                </c:pt>
                <c:pt idx="200">
                  <c:v>1.3303388911427938E-11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505.49487464351915</c:v>
                </c:pt>
                <c:pt idx="82">
                  <c:v>505.49487464351915</c:v>
                </c:pt>
                <c:pt idx="83">
                  <c:v>505.49487464351915</c:v>
                </c:pt>
                <c:pt idx="84">
                  <c:v>505.49487464351915</c:v>
                </c:pt>
                <c:pt idx="85">
                  <c:v>505.49487464351915</c:v>
                </c:pt>
                <c:pt idx="86">
                  <c:v>505.49487464351915</c:v>
                </c:pt>
                <c:pt idx="87">
                  <c:v>505.49487464351915</c:v>
                </c:pt>
                <c:pt idx="88">
                  <c:v>505.49487464351915</c:v>
                </c:pt>
                <c:pt idx="89">
                  <c:v>505.49487464351915</c:v>
                </c:pt>
                <c:pt idx="90">
                  <c:v>505.49487464351915</c:v>
                </c:pt>
                <c:pt idx="91">
                  <c:v>505.49487464351915</c:v>
                </c:pt>
                <c:pt idx="92">
                  <c:v>505.49487464351915</c:v>
                </c:pt>
                <c:pt idx="93">
                  <c:v>505.49487464351915</c:v>
                </c:pt>
                <c:pt idx="94">
                  <c:v>505.49487464351915</c:v>
                </c:pt>
                <c:pt idx="95">
                  <c:v>505.49487464351915</c:v>
                </c:pt>
                <c:pt idx="96">
                  <c:v>505.49487464351915</c:v>
                </c:pt>
                <c:pt idx="97">
                  <c:v>505.49487464351915</c:v>
                </c:pt>
                <c:pt idx="98">
                  <c:v>505.49487464351915</c:v>
                </c:pt>
                <c:pt idx="99">
                  <c:v>505.49487464351915</c:v>
                </c:pt>
                <c:pt idx="100">
                  <c:v>505.49487464351915</c:v>
                </c:pt>
                <c:pt idx="101">
                  <c:v>505.49487464351915</c:v>
                </c:pt>
                <c:pt idx="102">
                  <c:v>505.49487464351915</c:v>
                </c:pt>
                <c:pt idx="103">
                  <c:v>505.49487464351915</c:v>
                </c:pt>
                <c:pt idx="104">
                  <c:v>505.49487464351915</c:v>
                </c:pt>
                <c:pt idx="105">
                  <c:v>505.49487464351915</c:v>
                </c:pt>
                <c:pt idx="106">
                  <c:v>505.49487464351915</c:v>
                </c:pt>
                <c:pt idx="107">
                  <c:v>505.49487464351915</c:v>
                </c:pt>
                <c:pt idx="108">
                  <c:v>505.49487464351915</c:v>
                </c:pt>
                <c:pt idx="109">
                  <c:v>505.49487464351915</c:v>
                </c:pt>
                <c:pt idx="110">
                  <c:v>505.49487464351915</c:v>
                </c:pt>
                <c:pt idx="111">
                  <c:v>505.49487464351915</c:v>
                </c:pt>
                <c:pt idx="112">
                  <c:v>505.49487464351915</c:v>
                </c:pt>
                <c:pt idx="113">
                  <c:v>505.49487464351915</c:v>
                </c:pt>
                <c:pt idx="114">
                  <c:v>505.49487464351915</c:v>
                </c:pt>
                <c:pt idx="115">
                  <c:v>505.49487464351915</c:v>
                </c:pt>
                <c:pt idx="116">
                  <c:v>505.49487464351915</c:v>
                </c:pt>
                <c:pt idx="117">
                  <c:v>505.49487464351915</c:v>
                </c:pt>
                <c:pt idx="118">
                  <c:v>505.49487464351915</c:v>
                </c:pt>
                <c:pt idx="119">
                  <c:v>505.49487464351915</c:v>
                </c:pt>
                <c:pt idx="120">
                  <c:v>505.49487464351915</c:v>
                </c:pt>
                <c:pt idx="121">
                  <c:v>505.49487464351915</c:v>
                </c:pt>
                <c:pt idx="122">
                  <c:v>505.49487464351915</c:v>
                </c:pt>
                <c:pt idx="123">
                  <c:v>505.49487464351915</c:v>
                </c:pt>
                <c:pt idx="124">
                  <c:v>505.49487464351915</c:v>
                </c:pt>
                <c:pt idx="125">
                  <c:v>505.49487464351915</c:v>
                </c:pt>
                <c:pt idx="126">
                  <c:v>505.49487464351915</c:v>
                </c:pt>
                <c:pt idx="127">
                  <c:v>505.49487464351915</c:v>
                </c:pt>
                <c:pt idx="128">
                  <c:v>505.49487464351915</c:v>
                </c:pt>
                <c:pt idx="129">
                  <c:v>505.49487464351915</c:v>
                </c:pt>
                <c:pt idx="130">
                  <c:v>505.49487464351915</c:v>
                </c:pt>
                <c:pt idx="131">
                  <c:v>505.49487464351915</c:v>
                </c:pt>
                <c:pt idx="132">
                  <c:v>505.49487464351915</c:v>
                </c:pt>
                <c:pt idx="133">
                  <c:v>505.49487464351915</c:v>
                </c:pt>
                <c:pt idx="134">
                  <c:v>505.49487464351915</c:v>
                </c:pt>
                <c:pt idx="135">
                  <c:v>505.49487464351915</c:v>
                </c:pt>
                <c:pt idx="136">
                  <c:v>505.49487464351915</c:v>
                </c:pt>
                <c:pt idx="137">
                  <c:v>505.49487464351915</c:v>
                </c:pt>
                <c:pt idx="138">
                  <c:v>505.49487464351915</c:v>
                </c:pt>
                <c:pt idx="139">
                  <c:v>505.49487464351915</c:v>
                </c:pt>
                <c:pt idx="140">
                  <c:v>505.49487464351915</c:v>
                </c:pt>
                <c:pt idx="141">
                  <c:v>505.49487464351915</c:v>
                </c:pt>
                <c:pt idx="142">
                  <c:v>505.49487464351915</c:v>
                </c:pt>
                <c:pt idx="143">
                  <c:v>505.49487464351915</c:v>
                </c:pt>
                <c:pt idx="144">
                  <c:v>505.49487464351915</c:v>
                </c:pt>
                <c:pt idx="145">
                  <c:v>505.49487464351915</c:v>
                </c:pt>
                <c:pt idx="146">
                  <c:v>505.49487464351915</c:v>
                </c:pt>
                <c:pt idx="147">
                  <c:v>505.49487464351915</c:v>
                </c:pt>
                <c:pt idx="148">
                  <c:v>505.49487464351915</c:v>
                </c:pt>
                <c:pt idx="149">
                  <c:v>505.49487464351915</c:v>
                </c:pt>
                <c:pt idx="150">
                  <c:v>505.49487464351915</c:v>
                </c:pt>
                <c:pt idx="151">
                  <c:v>505.49487464351915</c:v>
                </c:pt>
                <c:pt idx="152">
                  <c:v>505.49487464351915</c:v>
                </c:pt>
                <c:pt idx="153">
                  <c:v>505.49487464351915</c:v>
                </c:pt>
                <c:pt idx="154">
                  <c:v>505.49487464351915</c:v>
                </c:pt>
                <c:pt idx="155">
                  <c:v>505.49487464351915</c:v>
                </c:pt>
                <c:pt idx="156">
                  <c:v>505.49487464351915</c:v>
                </c:pt>
                <c:pt idx="157">
                  <c:v>505.49487464351915</c:v>
                </c:pt>
                <c:pt idx="158">
                  <c:v>505.49487464351915</c:v>
                </c:pt>
                <c:pt idx="159">
                  <c:v>505.49487464351915</c:v>
                </c:pt>
                <c:pt idx="160">
                  <c:v>505.49487464351915</c:v>
                </c:pt>
                <c:pt idx="161">
                  <c:v>505.49487464351915</c:v>
                </c:pt>
                <c:pt idx="162">
                  <c:v>505.49487464351915</c:v>
                </c:pt>
                <c:pt idx="163">
                  <c:v>505.49487464351915</c:v>
                </c:pt>
                <c:pt idx="164">
                  <c:v>505.49487464351915</c:v>
                </c:pt>
                <c:pt idx="165">
                  <c:v>505.49487464351915</c:v>
                </c:pt>
                <c:pt idx="166">
                  <c:v>505.49487464351915</c:v>
                </c:pt>
                <c:pt idx="167">
                  <c:v>505.49487464351915</c:v>
                </c:pt>
                <c:pt idx="168">
                  <c:v>505.49487464351915</c:v>
                </c:pt>
                <c:pt idx="169">
                  <c:v>505.49487464351915</c:v>
                </c:pt>
                <c:pt idx="170">
                  <c:v>505.49487464351915</c:v>
                </c:pt>
                <c:pt idx="171">
                  <c:v>505.49487464351915</c:v>
                </c:pt>
                <c:pt idx="172">
                  <c:v>505.49487464351915</c:v>
                </c:pt>
                <c:pt idx="173">
                  <c:v>505.49487464351915</c:v>
                </c:pt>
                <c:pt idx="174">
                  <c:v>505.49487464351915</c:v>
                </c:pt>
                <c:pt idx="175">
                  <c:v>505.49487464351915</c:v>
                </c:pt>
                <c:pt idx="176">
                  <c:v>505.49487464351915</c:v>
                </c:pt>
                <c:pt idx="177">
                  <c:v>505.49487464351915</c:v>
                </c:pt>
                <c:pt idx="178">
                  <c:v>505.49487464351915</c:v>
                </c:pt>
                <c:pt idx="179">
                  <c:v>505.49487464351915</c:v>
                </c:pt>
                <c:pt idx="180">
                  <c:v>505.49487464351915</c:v>
                </c:pt>
                <c:pt idx="181">
                  <c:v>505.49487464351915</c:v>
                </c:pt>
                <c:pt idx="182">
                  <c:v>505.49487464351915</c:v>
                </c:pt>
                <c:pt idx="183">
                  <c:v>505.49487464351915</c:v>
                </c:pt>
                <c:pt idx="184">
                  <c:v>505.49487464351915</c:v>
                </c:pt>
                <c:pt idx="185">
                  <c:v>505.49487464351915</c:v>
                </c:pt>
                <c:pt idx="186">
                  <c:v>505.49487464351915</c:v>
                </c:pt>
                <c:pt idx="187">
                  <c:v>505.49487464351915</c:v>
                </c:pt>
                <c:pt idx="188">
                  <c:v>505.49487464351915</c:v>
                </c:pt>
                <c:pt idx="189">
                  <c:v>505.49487464351915</c:v>
                </c:pt>
                <c:pt idx="190">
                  <c:v>505.49487464351915</c:v>
                </c:pt>
                <c:pt idx="191">
                  <c:v>505.49487464351915</c:v>
                </c:pt>
                <c:pt idx="192">
                  <c:v>505.49487464351915</c:v>
                </c:pt>
                <c:pt idx="193">
                  <c:v>505.49487464351915</c:v>
                </c:pt>
                <c:pt idx="194">
                  <c:v>505.49487464351915</c:v>
                </c:pt>
                <c:pt idx="195">
                  <c:v>505.49487464351915</c:v>
                </c:pt>
                <c:pt idx="196">
                  <c:v>505.49487464351915</c:v>
                </c:pt>
                <c:pt idx="197">
                  <c:v>505.49487464351915</c:v>
                </c:pt>
                <c:pt idx="198">
                  <c:v>505.49487464351915</c:v>
                </c:pt>
                <c:pt idx="199">
                  <c:v>505.49487464351915</c:v>
                </c:pt>
                <c:pt idx="200">
                  <c:v>505.49487464351915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klima1.sharepoint.com/sites/TeamOklima/Shared%20Documents/03%20-%20D&#233;veloppement/1%20-%20FORET/1%20-%20PROJETS/Le%20Bourgneuf/Calculateur_le_Bourgneuf2.xlsx" TargetMode="External"/><Relationship Id="rId1" Type="http://schemas.openxmlformats.org/officeDocument/2006/relationships/externalLinkPath" Target="Calculateur_le_Bourgneu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2"/>
      <sheetName val="ECO"/>
      <sheetName val="&gt;"/>
      <sheetName val="Accueil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ESSENCES"/>
      <sheetName val="param"/>
    </sheetNames>
    <sheetDataSet>
      <sheetData sheetId="0">
        <row r="32">
          <cell r="D32" t="str">
            <v>Chêne sessile</v>
          </cell>
        </row>
        <row r="33">
          <cell r="D33" t="str">
            <v>Douglas</v>
          </cell>
        </row>
        <row r="34">
          <cell r="D34" t="str">
            <v>Pin sylvestre</v>
          </cell>
        </row>
        <row r="35">
          <cell r="D35" t="str">
            <v>Robinier faux-acacia</v>
          </cell>
        </row>
        <row r="36">
          <cell r="D36" t="str">
            <v>Tilleul</v>
          </cell>
        </row>
        <row r="37">
          <cell r="D37" t="str">
            <v>Châtaignier</v>
          </cell>
        </row>
        <row r="38">
          <cell r="D38" t="str">
            <v>Cormier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9" sqref="E19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tr">
        <f>[1]CO2!D32</f>
        <v>Chêne sessile</v>
      </c>
      <c r="C9" s="32">
        <v>0.61199999999999999</v>
      </c>
      <c r="D9" s="33">
        <f t="shared" ref="D9:D18" si="0">C9*$C$5</f>
        <v>1.8359999999999999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tr">
        <f>[1]CO2!D33</f>
        <v>Douglas</v>
      </c>
      <c r="C10" s="32">
        <v>2.2599999999999999E-2</v>
      </c>
      <c r="D10" s="33">
        <f t="shared" si="0"/>
        <v>6.7799999999999999E-2</v>
      </c>
      <c r="E10" s="34">
        <v>54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tr">
        <f>[1]CO2!D34</f>
        <v>Pin sylvestre</v>
      </c>
      <c r="C11" s="32">
        <v>6.3500000000000001E-2</v>
      </c>
      <c r="D11" s="33">
        <f t="shared" si="0"/>
        <v>0.1905</v>
      </c>
      <c r="E11" s="34">
        <v>91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tr">
        <f>[1]CO2!D35</f>
        <v>Robinier faux-acacia</v>
      </c>
      <c r="C12" s="32">
        <v>4.5400000000000003E-2</v>
      </c>
      <c r="D12" s="33">
        <f t="shared" si="0"/>
        <v>0.13620000000000002</v>
      </c>
      <c r="E12" s="34">
        <v>45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tr">
        <f>[1]CO2!D36</f>
        <v>Tilleul</v>
      </c>
      <c r="C13" s="32">
        <v>5.45E-2</v>
      </c>
      <c r="D13" s="33">
        <f t="shared" si="0"/>
        <v>0.16350000000000001</v>
      </c>
      <c r="E13" s="34">
        <v>131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tr">
        <f>[1]CO2!D37</f>
        <v>Châtaignier</v>
      </c>
      <c r="C14" s="32">
        <v>2.7E-2</v>
      </c>
      <c r="D14" s="33">
        <f t="shared" si="0"/>
        <v>8.1000000000000003E-2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tr">
        <f>[1]CO2!D38</f>
        <v>Cormier</v>
      </c>
      <c r="C15" s="32">
        <v>5.4999999999999997E-3</v>
      </c>
      <c r="D15" s="33">
        <f t="shared" si="0"/>
        <v>1.6500000000000001E-2</v>
      </c>
      <c r="E15" s="34">
        <v>131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12</v>
      </c>
      <c r="C16" s="32">
        <v>4.9000000000000002E-2</v>
      </c>
      <c r="D16" s="33">
        <f t="shared" si="0"/>
        <v>0.14700000000000002</v>
      </c>
      <c r="E16" s="34">
        <v>131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 t="s">
        <v>21</v>
      </c>
      <c r="C17" s="32">
        <v>2.7E-2</v>
      </c>
      <c r="D17" s="33">
        <f t="shared" si="0"/>
        <v>8.1000000000000003E-2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 t="s">
        <v>6</v>
      </c>
      <c r="C18" s="32">
        <v>9.0700000000000003E-2</v>
      </c>
      <c r="D18" s="33">
        <f t="shared" si="0"/>
        <v>0.27210000000000001</v>
      </c>
      <c r="E18" s="34">
        <v>131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0.99719999999999998</v>
      </c>
      <c r="D19" s="38">
        <f>SUM(D9:D18)</f>
        <v>2.9916000000000005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121.88461538461537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162.16666666666669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157.44871794871796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198.44230769230768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220.28846153846152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243.36538461538464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274.01282051282055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295.85897435897436</v>
      </c>
      <c r="C44" s="60">
        <v>8</v>
      </c>
      <c r="D44" s="60">
        <v>49.391025641025635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340.16666666666663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150.02564102564102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154.80128205128204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110.91025641025641</v>
      </c>
      <c r="C50" s="50">
        <v>14</v>
      </c>
      <c r="D50" s="50">
        <v>110.91025641025641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18</v>
      </c>
      <c r="B62" s="60">
        <v>182.89230769230767</v>
      </c>
      <c r="C62" s="60">
        <v>1</v>
      </c>
      <c r="D62" s="60">
        <v>69.284615384615378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10.16068376068376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24</v>
      </c>
      <c r="B63" s="60">
        <v>237.56153846153845</v>
      </c>
      <c r="C63" s="60">
        <v>2</v>
      </c>
      <c r="D63" s="60">
        <v>42.661538461538463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20.658974358974358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331.86923076923074</v>
      </c>
      <c r="C64" s="60">
        <v>3</v>
      </c>
      <c r="D64" s="60">
        <v>65.669230769230765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22.828205128205127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36</v>
      </c>
      <c r="B65" s="60">
        <v>403.50769230769237</v>
      </c>
      <c r="C65" s="60">
        <v>4</v>
      </c>
      <c r="D65" s="60">
        <v>69.3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22.884615384615397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42</v>
      </c>
      <c r="B66" s="60">
        <v>468.72307692307686</v>
      </c>
      <c r="C66" s="60">
        <v>5</v>
      </c>
      <c r="D66" s="60">
        <v>73.392307692307682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22.419230769230751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48</v>
      </c>
      <c r="B67" s="60">
        <v>525.0846153846154</v>
      </c>
      <c r="C67" s="60">
        <v>6</v>
      </c>
      <c r="D67" s="60">
        <v>81.330769230769235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21.625641025641034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54</v>
      </c>
      <c r="B68" s="60">
        <v>566.79999999999995</v>
      </c>
      <c r="C68" s="60">
        <v>7</v>
      </c>
      <c r="D68" s="60">
        <v>566.79999999999995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20.507692307692299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Pin sylvestre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18</v>
      </c>
      <c r="B88" s="60">
        <v>137.86923076923077</v>
      </c>
      <c r="C88" s="60">
        <v>1</v>
      </c>
      <c r="D88" s="60">
        <v>52.746153846153838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7.6594017094017097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24</v>
      </c>
      <c r="B89" s="60">
        <v>162.57692307692309</v>
      </c>
      <c r="C89" s="60">
        <v>2</v>
      </c>
      <c r="D89" s="60">
        <v>36.723076923076924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12.908974358974362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30</v>
      </c>
      <c r="B90" s="60">
        <v>201.3923076923077</v>
      </c>
      <c r="C90" s="60">
        <v>3</v>
      </c>
      <c r="D90" s="60">
        <v>35.430769230769229</v>
      </c>
      <c r="E90" s="87">
        <v>0.7</v>
      </c>
      <c r="F90" s="87">
        <v>0.17</v>
      </c>
      <c r="G90" s="87">
        <v>0.13</v>
      </c>
      <c r="H90" s="87">
        <v>0</v>
      </c>
      <c r="I90" s="53">
        <f t="shared" si="3"/>
        <v>12.589743589743586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36</v>
      </c>
      <c r="B91" s="60">
        <v>238.76923076923077</v>
      </c>
      <c r="C91" s="60">
        <v>4</v>
      </c>
      <c r="D91" s="60">
        <v>35.084615384615383</v>
      </c>
      <c r="E91" s="87">
        <v>0.7</v>
      </c>
      <c r="F91" s="87">
        <v>0.17</v>
      </c>
      <c r="G91" s="87">
        <v>0.13</v>
      </c>
      <c r="H91" s="87">
        <v>0</v>
      </c>
      <c r="I91" s="53">
        <f t="shared" si="3"/>
        <v>12.134615384615387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43</v>
      </c>
      <c r="B92" s="60">
        <v>283.34615384615387</v>
      </c>
      <c r="C92" s="60">
        <v>5</v>
      </c>
      <c r="D92" s="60">
        <v>43.499999999999993</v>
      </c>
      <c r="E92" s="87">
        <v>0.7</v>
      </c>
      <c r="F92" s="87">
        <v>0.17</v>
      </c>
      <c r="G92" s="87">
        <v>0.13</v>
      </c>
      <c r="H92" s="87">
        <v>0</v>
      </c>
      <c r="I92" s="53">
        <f t="shared" si="3"/>
        <v>11.380219780219781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50</v>
      </c>
      <c r="B93" s="60">
        <v>312.55384615384617</v>
      </c>
      <c r="C93" s="60">
        <v>6</v>
      </c>
      <c r="D93" s="60">
        <v>43.4</v>
      </c>
      <c r="E93" s="87">
        <v>0.7</v>
      </c>
      <c r="F93" s="87">
        <v>0.17</v>
      </c>
      <c r="G93" s="87">
        <v>0.13</v>
      </c>
      <c r="H93" s="87">
        <v>0</v>
      </c>
      <c r="I93" s="53">
        <f t="shared" si="3"/>
        <v>10.386813186813185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58</v>
      </c>
      <c r="B94" s="60">
        <v>342.81538461538463</v>
      </c>
      <c r="C94" s="60">
        <v>7</v>
      </c>
      <c r="D94" s="60">
        <v>45.669230769230765</v>
      </c>
      <c r="E94" s="87">
        <v>0.7</v>
      </c>
      <c r="F94" s="87">
        <v>0.17</v>
      </c>
      <c r="G94" s="87">
        <v>0.13</v>
      </c>
      <c r="H94" s="87">
        <v>0</v>
      </c>
      <c r="I94" s="53">
        <f t="shared" si="3"/>
        <v>9.2076923076923052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68</v>
      </c>
      <c r="B95" s="60">
        <v>377.65384615384613</v>
      </c>
      <c r="C95" s="60">
        <v>8</v>
      </c>
      <c r="D95" s="60">
        <v>46.069230769230771</v>
      </c>
      <c r="E95" s="87">
        <v>0.7</v>
      </c>
      <c r="F95" s="87">
        <v>0.17</v>
      </c>
      <c r="G95" s="87">
        <v>0.13</v>
      </c>
      <c r="H95" s="87">
        <v>0</v>
      </c>
      <c r="I95" s="53">
        <f t="shared" si="3"/>
        <v>8.0507692307692249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78</v>
      </c>
      <c r="B96" s="60">
        <v>400.44615384615389</v>
      </c>
      <c r="C96" s="60">
        <v>9</v>
      </c>
      <c r="D96" s="60">
        <v>42.9</v>
      </c>
      <c r="E96" s="87">
        <v>0.7</v>
      </c>
      <c r="F96" s="87">
        <v>0.17</v>
      </c>
      <c r="G96" s="87">
        <v>0.13</v>
      </c>
      <c r="H96" s="87">
        <v>0</v>
      </c>
      <c r="I96" s="53">
        <f t="shared" si="3"/>
        <v>6.8861538461538547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88</v>
      </c>
      <c r="B97" s="60">
        <v>417.15384615384613</v>
      </c>
      <c r="C97" s="60">
        <v>10</v>
      </c>
      <c r="D97" s="60">
        <v>247.54615384615383</v>
      </c>
      <c r="E97" s="87">
        <v>0.7</v>
      </c>
      <c r="F97" s="87">
        <v>0.17</v>
      </c>
      <c r="G97" s="87">
        <v>0.13</v>
      </c>
      <c r="H97" s="87">
        <v>0</v>
      </c>
      <c r="I97" s="53">
        <f t="shared" si="3"/>
        <v>5.9607692307692215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91</v>
      </c>
      <c r="B98" s="60">
        <v>179.25384615384615</v>
      </c>
      <c r="C98" s="60">
        <v>11</v>
      </c>
      <c r="D98" s="60">
        <v>179.25384615384615</v>
      </c>
      <c r="E98" s="87">
        <v>0.7</v>
      </c>
      <c r="F98" s="87">
        <v>0.17</v>
      </c>
      <c r="G98" s="87">
        <v>0.13</v>
      </c>
      <c r="H98" s="87">
        <v>0</v>
      </c>
      <c r="I98" s="53">
        <f t="shared" si="3"/>
        <v>3.2153846153846168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Robinier faux-acacia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5</v>
      </c>
      <c r="B114" s="60">
        <v>34</v>
      </c>
      <c r="C114" s="50">
        <v>1</v>
      </c>
      <c r="D114" s="60">
        <v>6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6.8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10</v>
      </c>
      <c r="B115" s="60">
        <v>99</v>
      </c>
      <c r="C115" s="50">
        <v>2</v>
      </c>
      <c r="D115" s="60">
        <v>29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14.2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15</v>
      </c>
      <c r="B116" s="60">
        <v>140</v>
      </c>
      <c r="C116" s="50">
        <v>3</v>
      </c>
      <c r="D116" s="60">
        <v>23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20</v>
      </c>
      <c r="B117" s="60">
        <v>180</v>
      </c>
      <c r="C117" s="50">
        <v>4</v>
      </c>
      <c r="D117" s="60">
        <v>19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12.6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25</v>
      </c>
      <c r="B118" s="60">
        <v>214</v>
      </c>
      <c r="C118" s="50">
        <v>5</v>
      </c>
      <c r="D118" s="60">
        <v>14</v>
      </c>
      <c r="E118" s="51">
        <v>0</v>
      </c>
      <c r="F118" s="51">
        <v>0.5</v>
      </c>
      <c r="G118" s="51">
        <v>0</v>
      </c>
      <c r="H118" s="51">
        <v>0.5</v>
      </c>
      <c r="I118" s="53">
        <f t="shared" si="4"/>
        <v>10.6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30</v>
      </c>
      <c r="B119" s="60">
        <v>243</v>
      </c>
      <c r="C119" s="50">
        <v>6</v>
      </c>
      <c r="D119" s="60">
        <v>11</v>
      </c>
      <c r="E119" s="51">
        <v>0</v>
      </c>
      <c r="F119" s="51">
        <v>0.5</v>
      </c>
      <c r="G119" s="51">
        <v>0</v>
      </c>
      <c r="H119" s="51">
        <v>0.5</v>
      </c>
      <c r="I119" s="53">
        <f t="shared" si="4"/>
        <v>8.6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35</v>
      </c>
      <c r="B120" s="60">
        <v>267</v>
      </c>
      <c r="C120" s="60">
        <v>7</v>
      </c>
      <c r="D120" s="60">
        <v>9</v>
      </c>
      <c r="E120" s="87">
        <v>0</v>
      </c>
      <c r="F120" s="87">
        <v>0.5</v>
      </c>
      <c r="G120" s="87">
        <v>0</v>
      </c>
      <c r="H120" s="87">
        <v>0.5</v>
      </c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40</v>
      </c>
      <c r="B121" s="60">
        <v>289</v>
      </c>
      <c r="C121" s="60">
        <v>8</v>
      </c>
      <c r="D121" s="60">
        <v>7</v>
      </c>
      <c r="E121" s="87">
        <v>0.3</v>
      </c>
      <c r="F121" s="87">
        <v>0.4</v>
      </c>
      <c r="G121" s="87">
        <v>0</v>
      </c>
      <c r="H121" s="87">
        <v>0.3</v>
      </c>
      <c r="I121" s="53">
        <f t="shared" si="4"/>
        <v>6.2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45</v>
      </c>
      <c r="B122" s="60">
        <v>312</v>
      </c>
      <c r="C122" s="60">
        <v>9</v>
      </c>
      <c r="D122" s="60">
        <v>7</v>
      </c>
      <c r="E122" s="87">
        <v>0.3</v>
      </c>
      <c r="F122" s="87">
        <v>0.4</v>
      </c>
      <c r="G122" s="87">
        <v>0</v>
      </c>
      <c r="H122" s="87">
        <v>0.3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Tilleul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30</v>
      </c>
      <c r="B140" s="60">
        <v>121.88461538461537</v>
      </c>
      <c r="C140" s="50" t="s">
        <v>324</v>
      </c>
      <c r="D140" s="60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>IFERROR(B140/A140,"")</f>
        <v>4.0628205128205126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35</v>
      </c>
      <c r="B141" s="60">
        <v>162.16666666666669</v>
      </c>
      <c r="C141" s="50">
        <v>1</v>
      </c>
      <c r="D141" s="60">
        <v>60.602564102564102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8.0564102564102633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41</v>
      </c>
      <c r="B142" s="60">
        <v>157.44871794871796</v>
      </c>
      <c r="C142" s="50">
        <v>2</v>
      </c>
      <c r="D142" s="60">
        <v>38.512820512820511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9.3141025641025621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48</v>
      </c>
      <c r="B143" s="60">
        <v>184.35256410256409</v>
      </c>
      <c r="C143" s="50">
        <v>3</v>
      </c>
      <c r="D143" s="60">
        <v>48.025641025641022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9.3452380952380913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55</v>
      </c>
      <c r="B144" s="60">
        <v>198.44230769230768</v>
      </c>
      <c r="C144" s="50">
        <v>4</v>
      </c>
      <c r="D144" s="60">
        <v>45.147435897435898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8.8736263736263741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63</v>
      </c>
      <c r="B145" s="60">
        <v>220.28846153846152</v>
      </c>
      <c r="C145" s="50">
        <v>5</v>
      </c>
      <c r="D145" s="60">
        <v>41.724358974358978</v>
      </c>
      <c r="E145" s="51">
        <v>0.7</v>
      </c>
      <c r="F145" s="51">
        <v>0</v>
      </c>
      <c r="G145" s="51">
        <v>0</v>
      </c>
      <c r="H145" s="51">
        <v>0.3</v>
      </c>
      <c r="I145" s="57">
        <f t="shared" si="5"/>
        <v>8.374198717948719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71</v>
      </c>
      <c r="B146" s="60">
        <v>243.36538461538464</v>
      </c>
      <c r="C146" s="50">
        <v>6</v>
      </c>
      <c r="D146" s="60">
        <v>39.935897435897431</v>
      </c>
      <c r="E146" s="51">
        <v>0.7</v>
      </c>
      <c r="F146" s="51">
        <v>0</v>
      </c>
      <c r="G146" s="51">
        <v>0</v>
      </c>
      <c r="H146" s="51">
        <v>0.3</v>
      </c>
      <c r="I146" s="57">
        <f t="shared" si="5"/>
        <v>8.1001602564102626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80</v>
      </c>
      <c r="B147" s="60">
        <v>274.01282051282055</v>
      </c>
      <c r="C147" s="50">
        <v>7</v>
      </c>
      <c r="D147" s="60">
        <v>45.608974358974358</v>
      </c>
      <c r="E147" s="51">
        <v>0.7</v>
      </c>
      <c r="F147" s="51">
        <v>0</v>
      </c>
      <c r="G147" s="51">
        <v>0</v>
      </c>
      <c r="H147" s="51">
        <v>0.3</v>
      </c>
      <c r="I147" s="57">
        <f>IF(A147&lt;&gt;0,(B147-(B146-D146))/(A147-A146),"")</f>
        <v>7.8425925925925934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89</v>
      </c>
      <c r="B148" s="60">
        <v>295.85897435897436</v>
      </c>
      <c r="C148" s="50">
        <v>8</v>
      </c>
      <c r="D148" s="60">
        <v>49.391025641025635</v>
      </c>
      <c r="E148" s="51">
        <v>0.7</v>
      </c>
      <c r="F148" s="51">
        <v>0</v>
      </c>
      <c r="G148" s="51">
        <v>0</v>
      </c>
      <c r="H148" s="51">
        <v>0.3</v>
      </c>
      <c r="I148" s="57">
        <f t="shared" si="5"/>
        <v>7.4950142450142421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99</v>
      </c>
      <c r="B149" s="60">
        <v>318.25</v>
      </c>
      <c r="C149" s="50">
        <v>9</v>
      </c>
      <c r="D149" s="60">
        <v>48.019230769230766</v>
      </c>
      <c r="E149" s="51">
        <v>0.7</v>
      </c>
      <c r="F149" s="51">
        <v>0</v>
      </c>
      <c r="G149" s="51">
        <v>0</v>
      </c>
      <c r="H149" s="51">
        <v>0.3</v>
      </c>
      <c r="I149" s="57">
        <f t="shared" si="5"/>
        <v>7.1782051282051267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109</v>
      </c>
      <c r="B150" s="60">
        <v>340.16666666666663</v>
      </c>
      <c r="C150" s="50">
        <v>10</v>
      </c>
      <c r="D150" s="60">
        <v>51.28846153846154</v>
      </c>
      <c r="E150" s="51">
        <v>0.9</v>
      </c>
      <c r="F150" s="51">
        <v>0</v>
      </c>
      <c r="G150" s="51">
        <v>0</v>
      </c>
      <c r="H150" s="51">
        <v>0.1</v>
      </c>
      <c r="I150" s="57">
        <f t="shared" si="5"/>
        <v>6.9935897435897401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119</v>
      </c>
      <c r="B151" s="60">
        <v>357.33974358974359</v>
      </c>
      <c r="C151" s="50">
        <v>11</v>
      </c>
      <c r="D151" s="60">
        <v>150.02564102564102</v>
      </c>
      <c r="E151" s="51">
        <v>0.9</v>
      </c>
      <c r="F151" s="51">
        <v>0</v>
      </c>
      <c r="G151" s="51">
        <v>0</v>
      </c>
      <c r="H151" s="51">
        <v>0.1</v>
      </c>
      <c r="I151" s="57">
        <f t="shared" si="5"/>
        <v>6.8461538461538511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123</v>
      </c>
      <c r="B152" s="60">
        <v>222.63461538461539</v>
      </c>
      <c r="C152" s="50">
        <v>12</v>
      </c>
      <c r="D152" s="60">
        <v>77.17307692307692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3.8301282051282044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127</v>
      </c>
      <c r="B153" s="60">
        <v>154.80128205128204</v>
      </c>
      <c r="C153" s="50">
        <v>13</v>
      </c>
      <c r="D153" s="60">
        <v>49.916666666666671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2.3349358974358978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131</v>
      </c>
      <c r="B154" s="56">
        <v>110.91025641025641</v>
      </c>
      <c r="C154" s="50">
        <v>14</v>
      </c>
      <c r="D154" s="50">
        <v>110.91025641025641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1.5064102564102591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Châtaignier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15</v>
      </c>
      <c r="B166" s="60">
        <v>37</v>
      </c>
      <c r="C166" s="60">
        <v>1</v>
      </c>
      <c r="D166" s="60">
        <v>15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20</v>
      </c>
      <c r="B167" s="60">
        <v>80</v>
      </c>
      <c r="C167" s="60">
        <v>2</v>
      </c>
      <c r="D167" s="60">
        <v>28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25</v>
      </c>
      <c r="B168" s="60">
        <v>115</v>
      </c>
      <c r="C168" s="60">
        <v>3</v>
      </c>
      <c r="D168" s="60">
        <v>28</v>
      </c>
      <c r="E168" s="51">
        <v>0</v>
      </c>
      <c r="F168" s="51">
        <v>7.0000000000000007E-2</v>
      </c>
      <c r="G168" s="51">
        <v>0</v>
      </c>
      <c r="H168" s="51">
        <v>0.93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30</v>
      </c>
      <c r="B169" s="60">
        <v>146</v>
      </c>
      <c r="C169" s="60">
        <v>4</v>
      </c>
      <c r="D169" s="60">
        <v>28</v>
      </c>
      <c r="E169" s="51">
        <v>0.04</v>
      </c>
      <c r="F169" s="51">
        <v>0.28999999999999998</v>
      </c>
      <c r="G169" s="51">
        <v>0</v>
      </c>
      <c r="H169" s="51">
        <v>0.68</v>
      </c>
      <c r="I169" s="49">
        <f t="shared" si="6"/>
        <v>11.8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35</v>
      </c>
      <c r="B170" s="60">
        <v>172</v>
      </c>
      <c r="C170" s="60">
        <v>5</v>
      </c>
      <c r="D170" s="60">
        <v>28</v>
      </c>
      <c r="E170" s="51">
        <v>0.18</v>
      </c>
      <c r="F170" s="51">
        <v>0.43</v>
      </c>
      <c r="G170" s="51">
        <v>0</v>
      </c>
      <c r="H170" s="51">
        <v>0.39</v>
      </c>
      <c r="I170" s="49">
        <f t="shared" si="6"/>
        <v>10.8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40</v>
      </c>
      <c r="B171" s="60">
        <v>192</v>
      </c>
      <c r="C171" s="60">
        <v>6</v>
      </c>
      <c r="D171" s="60">
        <v>28</v>
      </c>
      <c r="E171" s="51">
        <v>0.39</v>
      </c>
      <c r="F171" s="51">
        <v>0.39</v>
      </c>
      <c r="G171" s="51">
        <v>0</v>
      </c>
      <c r="H171" s="51">
        <v>0.21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45</v>
      </c>
      <c r="B172" s="60">
        <v>205</v>
      </c>
      <c r="C172" s="60">
        <v>7</v>
      </c>
      <c r="D172" s="60">
        <v>22</v>
      </c>
      <c r="E172" s="51">
        <v>0.59</v>
      </c>
      <c r="F172" s="51">
        <v>0.27</v>
      </c>
      <c r="G172" s="51">
        <v>0</v>
      </c>
      <c r="H172" s="51">
        <v>0.14000000000000001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50</v>
      </c>
      <c r="B173" s="50">
        <v>219</v>
      </c>
      <c r="C173" s="50">
        <v>8</v>
      </c>
      <c r="D173" s="50">
        <v>17</v>
      </c>
      <c r="E173" s="51">
        <v>0.71</v>
      </c>
      <c r="F173" s="51">
        <v>0.18</v>
      </c>
      <c r="G173" s="51">
        <v>0</v>
      </c>
      <c r="H173" s="51">
        <v>0.12</v>
      </c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55</v>
      </c>
      <c r="B174" s="50">
        <v>232</v>
      </c>
      <c r="C174" s="50">
        <v>9</v>
      </c>
      <c r="D174" s="50">
        <v>13</v>
      </c>
      <c r="E174" s="51">
        <v>0.77</v>
      </c>
      <c r="F174" s="51">
        <v>0.15</v>
      </c>
      <c r="G174" s="51">
        <v>0</v>
      </c>
      <c r="H174" s="51">
        <v>0.08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60</v>
      </c>
      <c r="B175" s="50">
        <v>245</v>
      </c>
      <c r="C175" s="50">
        <v>10</v>
      </c>
      <c r="D175" s="50">
        <v>12</v>
      </c>
      <c r="E175" s="51">
        <v>0.83</v>
      </c>
      <c r="F175" s="51">
        <v>0.08</v>
      </c>
      <c r="G175" s="51">
        <v>0</v>
      </c>
      <c r="H175" s="51">
        <v>0.08</v>
      </c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65</v>
      </c>
      <c r="B176" s="50">
        <v>255</v>
      </c>
      <c r="C176" s="50">
        <v>11</v>
      </c>
      <c r="D176" s="50">
        <v>11</v>
      </c>
      <c r="E176" s="51">
        <v>0.82</v>
      </c>
      <c r="F176" s="51">
        <v>0.09</v>
      </c>
      <c r="G176" s="51">
        <v>0</v>
      </c>
      <c r="H176" s="51">
        <v>0.09</v>
      </c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70</v>
      </c>
      <c r="B177" s="50">
        <v>263</v>
      </c>
      <c r="C177" s="50">
        <v>12</v>
      </c>
      <c r="D177" s="50">
        <v>10</v>
      </c>
      <c r="E177" s="51">
        <v>0.9</v>
      </c>
      <c r="F177" s="51">
        <v>0.1</v>
      </c>
      <c r="G177" s="51">
        <v>0</v>
      </c>
      <c r="H177" s="51">
        <v>0</v>
      </c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75</v>
      </c>
      <c r="B178" s="50">
        <v>270</v>
      </c>
      <c r="C178" s="50">
        <v>13</v>
      </c>
      <c r="D178" s="50">
        <v>9</v>
      </c>
      <c r="E178" s="51">
        <v>0.89</v>
      </c>
      <c r="F178" s="51">
        <v>0.11</v>
      </c>
      <c r="G178" s="51">
        <v>0</v>
      </c>
      <c r="H178" s="51">
        <v>0</v>
      </c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80</v>
      </c>
      <c r="B179" s="50">
        <v>275</v>
      </c>
      <c r="C179" s="50">
        <v>14</v>
      </c>
      <c r="D179" s="50">
        <v>8</v>
      </c>
      <c r="E179" s="51">
        <v>0.88</v>
      </c>
      <c r="F179" s="51">
        <v>0.13</v>
      </c>
      <c r="G179" s="51">
        <v>0</v>
      </c>
      <c r="H179" s="51">
        <v>0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Cormier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30</v>
      </c>
      <c r="B192" s="60">
        <v>121.88461538461537</v>
      </c>
      <c r="C192" s="60" t="s">
        <v>324</v>
      </c>
      <c r="D192" s="60">
        <v>0</v>
      </c>
      <c r="E192" s="51">
        <v>0</v>
      </c>
      <c r="F192" s="51">
        <v>0</v>
      </c>
      <c r="G192" s="51">
        <v>0</v>
      </c>
      <c r="H192" s="51">
        <v>0</v>
      </c>
      <c r="I192" s="49">
        <f>IFERROR(B192/A192,"")</f>
        <v>4.0628205128205126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35</v>
      </c>
      <c r="B193" s="60">
        <v>162.16666666666669</v>
      </c>
      <c r="C193" s="60">
        <v>1</v>
      </c>
      <c r="D193" s="60">
        <v>60.602564102564102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8.0564102564102633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41</v>
      </c>
      <c r="B194" s="60">
        <v>157.44871794871796</v>
      </c>
      <c r="C194" s="60">
        <v>2</v>
      </c>
      <c r="D194" s="60">
        <v>38.512820512820511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9.3141025641025621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48</v>
      </c>
      <c r="B195" s="60">
        <v>184.35256410256409</v>
      </c>
      <c r="C195" s="60">
        <v>3</v>
      </c>
      <c r="D195" s="60">
        <v>48.025641025641022</v>
      </c>
      <c r="E195" s="51">
        <v>0</v>
      </c>
      <c r="F195" s="51">
        <v>0</v>
      </c>
      <c r="G195" s="51">
        <v>0</v>
      </c>
      <c r="H195" s="51">
        <v>1</v>
      </c>
      <c r="I195" s="49">
        <f t="shared" si="7"/>
        <v>9.3452380952380913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55</v>
      </c>
      <c r="B196" s="60">
        <v>198.44230769230768</v>
      </c>
      <c r="C196" s="60">
        <v>4</v>
      </c>
      <c r="D196" s="60">
        <v>45.147435897435898</v>
      </c>
      <c r="E196" s="51">
        <v>0</v>
      </c>
      <c r="F196" s="51">
        <v>0</v>
      </c>
      <c r="G196" s="51">
        <v>0</v>
      </c>
      <c r="H196" s="51">
        <v>1</v>
      </c>
      <c r="I196" s="49">
        <f t="shared" si="7"/>
        <v>8.8736263736263741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63</v>
      </c>
      <c r="B197" s="60">
        <v>220.28846153846152</v>
      </c>
      <c r="C197" s="60">
        <v>5</v>
      </c>
      <c r="D197" s="60">
        <v>41.724358974358978</v>
      </c>
      <c r="E197" s="51">
        <v>0.7</v>
      </c>
      <c r="F197" s="51">
        <v>0</v>
      </c>
      <c r="G197" s="51">
        <v>0</v>
      </c>
      <c r="H197" s="51">
        <v>0.3</v>
      </c>
      <c r="I197" s="49">
        <f t="shared" si="7"/>
        <v>8.374198717948719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71</v>
      </c>
      <c r="B198" s="60">
        <v>243.36538461538464</v>
      </c>
      <c r="C198" s="60">
        <v>6</v>
      </c>
      <c r="D198" s="60">
        <v>39.935897435897431</v>
      </c>
      <c r="E198" s="51">
        <v>0.7</v>
      </c>
      <c r="F198" s="51">
        <v>0</v>
      </c>
      <c r="G198" s="51">
        <v>0</v>
      </c>
      <c r="H198" s="51">
        <v>0.3</v>
      </c>
      <c r="I198" s="49">
        <f t="shared" si="7"/>
        <v>8.1001602564102626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80</v>
      </c>
      <c r="B199" s="50">
        <v>274.01282051282055</v>
      </c>
      <c r="C199" s="50">
        <v>7</v>
      </c>
      <c r="D199" s="50">
        <v>45.608974358974358</v>
      </c>
      <c r="E199" s="51">
        <v>0.7</v>
      </c>
      <c r="F199" s="51">
        <v>0</v>
      </c>
      <c r="G199" s="51">
        <v>0</v>
      </c>
      <c r="H199" s="51">
        <v>0.3</v>
      </c>
      <c r="I199" s="49">
        <f t="shared" si="7"/>
        <v>7.8425925925925934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89</v>
      </c>
      <c r="B200" s="50">
        <v>295.85897435897436</v>
      </c>
      <c r="C200" s="50">
        <v>8</v>
      </c>
      <c r="D200" s="50">
        <v>49.391025641025635</v>
      </c>
      <c r="E200" s="51">
        <v>0.7</v>
      </c>
      <c r="F200" s="51">
        <v>0</v>
      </c>
      <c r="G200" s="51">
        <v>0</v>
      </c>
      <c r="H200" s="51">
        <v>0.3</v>
      </c>
      <c r="I200" s="49">
        <f t="shared" si="7"/>
        <v>7.4950142450142421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99</v>
      </c>
      <c r="B201" s="50">
        <v>318.25</v>
      </c>
      <c r="C201" s="50">
        <v>9</v>
      </c>
      <c r="D201" s="50">
        <v>48.019230769230766</v>
      </c>
      <c r="E201" s="51">
        <v>0.7</v>
      </c>
      <c r="F201" s="51">
        <v>0</v>
      </c>
      <c r="G201" s="51">
        <v>0</v>
      </c>
      <c r="H201" s="51">
        <v>0.3</v>
      </c>
      <c r="I201" s="49">
        <f t="shared" si="7"/>
        <v>7.1782051282051267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109</v>
      </c>
      <c r="B202" s="50">
        <v>340.16666666666663</v>
      </c>
      <c r="C202" s="50">
        <v>10</v>
      </c>
      <c r="D202" s="50">
        <v>51.28846153846154</v>
      </c>
      <c r="E202" s="51">
        <v>0.9</v>
      </c>
      <c r="F202" s="51">
        <v>0</v>
      </c>
      <c r="G202" s="51">
        <v>0</v>
      </c>
      <c r="H202" s="51">
        <v>0.1</v>
      </c>
      <c r="I202" s="49">
        <f t="shared" si="7"/>
        <v>6.9935897435897401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119</v>
      </c>
      <c r="B203" s="50">
        <v>357.33974358974359</v>
      </c>
      <c r="C203" s="50">
        <v>11</v>
      </c>
      <c r="D203" s="50">
        <v>150.02564102564102</v>
      </c>
      <c r="E203" s="51">
        <v>0.9</v>
      </c>
      <c r="F203" s="51">
        <v>0</v>
      </c>
      <c r="G203" s="51">
        <v>0</v>
      </c>
      <c r="H203" s="51">
        <v>0.1</v>
      </c>
      <c r="I203" s="49">
        <f t="shared" si="7"/>
        <v>6.8461538461538511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123</v>
      </c>
      <c r="B204" s="50">
        <v>222.63461538461539</v>
      </c>
      <c r="C204" s="50">
        <v>12</v>
      </c>
      <c r="D204" s="50">
        <v>77.17307692307692</v>
      </c>
      <c r="E204" s="51">
        <v>0.9</v>
      </c>
      <c r="F204" s="51">
        <v>0</v>
      </c>
      <c r="G204" s="51">
        <v>0</v>
      </c>
      <c r="H204" s="51">
        <v>0.1</v>
      </c>
      <c r="I204" s="49">
        <f t="shared" si="7"/>
        <v>3.8301282051282044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127</v>
      </c>
      <c r="B205" s="50">
        <v>154.80128205128204</v>
      </c>
      <c r="C205" s="50">
        <v>13</v>
      </c>
      <c r="D205" s="50">
        <v>49.916666666666671</v>
      </c>
      <c r="E205" s="51">
        <v>0.9</v>
      </c>
      <c r="F205" s="51">
        <v>0</v>
      </c>
      <c r="G205" s="51">
        <v>0</v>
      </c>
      <c r="H205" s="51">
        <v>0.1</v>
      </c>
      <c r="I205" s="49">
        <f t="shared" si="7"/>
        <v>2.3349358974358978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>
        <v>131</v>
      </c>
      <c r="B206" s="50">
        <v>110.91025641025641</v>
      </c>
      <c r="C206" s="50">
        <v>14</v>
      </c>
      <c r="D206" s="50">
        <v>110.91025641025641</v>
      </c>
      <c r="E206" s="51">
        <v>0.9</v>
      </c>
      <c r="F206" s="51">
        <v>0</v>
      </c>
      <c r="G206" s="51">
        <v>0</v>
      </c>
      <c r="H206" s="51">
        <v>0.1</v>
      </c>
      <c r="I206" s="49">
        <f t="shared" si="7"/>
        <v>1.5064102564102591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Chêne pubescent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35</v>
      </c>
      <c r="B218" s="60">
        <v>162.16666666666669</v>
      </c>
      <c r="C218" s="50">
        <v>1</v>
      </c>
      <c r="D218" s="60">
        <v>60.602564102564102</v>
      </c>
      <c r="E218" s="63">
        <v>0</v>
      </c>
      <c r="F218" s="63">
        <v>0</v>
      </c>
      <c r="G218" s="63">
        <v>0</v>
      </c>
      <c r="H218" s="63">
        <v>1</v>
      </c>
      <c r="I218" s="53">
        <f>IFERROR(B218/A218,"")</f>
        <v>4.6333333333333337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41</v>
      </c>
      <c r="B219" s="60">
        <v>157.44871794871796</v>
      </c>
      <c r="C219" s="50">
        <v>2</v>
      </c>
      <c r="D219" s="60">
        <v>38.512820512820511</v>
      </c>
      <c r="E219" s="63">
        <v>0</v>
      </c>
      <c r="F219" s="63">
        <v>0</v>
      </c>
      <c r="G219" s="63">
        <v>0</v>
      </c>
      <c r="H219" s="63">
        <v>1</v>
      </c>
      <c r="I219" s="53">
        <f t="shared" ref="I219:I237" si="8">IF(A219&lt;&gt;0,(B219-(B218-D218))/(A219-A218),"")</f>
        <v>9.3141025641025621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48</v>
      </c>
      <c r="B220" s="60">
        <v>184.35256410256409</v>
      </c>
      <c r="C220" s="50">
        <v>3</v>
      </c>
      <c r="D220" s="60">
        <v>48.025641025641022</v>
      </c>
      <c r="E220" s="63">
        <v>0</v>
      </c>
      <c r="F220" s="63">
        <v>0</v>
      </c>
      <c r="G220" s="63">
        <v>0</v>
      </c>
      <c r="H220" s="63">
        <v>1</v>
      </c>
      <c r="I220" s="53">
        <f t="shared" si="8"/>
        <v>9.3452380952380913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55</v>
      </c>
      <c r="B221" s="55">
        <v>198.44230769230768</v>
      </c>
      <c r="C221" s="55">
        <v>4</v>
      </c>
      <c r="D221" s="55">
        <v>45.147435897435898</v>
      </c>
      <c r="E221" s="63">
        <v>0</v>
      </c>
      <c r="F221" s="63">
        <v>0</v>
      </c>
      <c r="G221" s="63">
        <v>0</v>
      </c>
      <c r="H221" s="63">
        <v>1</v>
      </c>
      <c r="I221" s="53">
        <f t="shared" si="8"/>
        <v>8.8736263736263741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63</v>
      </c>
      <c r="B222" s="55">
        <v>220.28846153846152</v>
      </c>
      <c r="C222" s="55">
        <v>5</v>
      </c>
      <c r="D222" s="55">
        <v>41.724358974358978</v>
      </c>
      <c r="E222" s="63">
        <v>0.7</v>
      </c>
      <c r="F222" s="63">
        <v>0</v>
      </c>
      <c r="G222" s="63">
        <v>0</v>
      </c>
      <c r="H222" s="63">
        <v>0.3</v>
      </c>
      <c r="I222" s="53">
        <f t="shared" si="8"/>
        <v>8.374198717948719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71</v>
      </c>
      <c r="B223" s="55">
        <v>243.36538461538464</v>
      </c>
      <c r="C223" s="55">
        <v>6</v>
      </c>
      <c r="D223" s="55">
        <v>39.935897435897431</v>
      </c>
      <c r="E223" s="63">
        <v>0.7</v>
      </c>
      <c r="F223" s="63">
        <v>0</v>
      </c>
      <c r="G223" s="63">
        <v>0</v>
      </c>
      <c r="H223" s="63">
        <v>0.3</v>
      </c>
      <c r="I223" s="53">
        <f t="shared" si="8"/>
        <v>8.1001602564102626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80</v>
      </c>
      <c r="B224" s="55">
        <v>274.01282051282055</v>
      </c>
      <c r="C224" s="55">
        <v>7</v>
      </c>
      <c r="D224" s="55">
        <v>45.608974358974358</v>
      </c>
      <c r="E224" s="63">
        <v>0.7</v>
      </c>
      <c r="F224" s="63">
        <v>0</v>
      </c>
      <c r="G224" s="63">
        <v>0</v>
      </c>
      <c r="H224" s="63">
        <v>0.3</v>
      </c>
      <c r="I224" s="53">
        <f t="shared" si="8"/>
        <v>7.8425925925925934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>
        <v>89</v>
      </c>
      <c r="B225" s="55">
        <v>295.85897435897436</v>
      </c>
      <c r="C225" s="55">
        <v>8</v>
      </c>
      <c r="D225" s="55">
        <v>49.391025641025635</v>
      </c>
      <c r="E225" s="63">
        <v>0.7</v>
      </c>
      <c r="F225" s="63">
        <v>0</v>
      </c>
      <c r="G225" s="63">
        <v>0</v>
      </c>
      <c r="H225" s="63">
        <v>0.3</v>
      </c>
      <c r="I225" s="53">
        <f t="shared" si="8"/>
        <v>7.4950142450142421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>
        <v>99</v>
      </c>
      <c r="B226" s="55">
        <v>318.25</v>
      </c>
      <c r="C226" s="55">
        <v>9</v>
      </c>
      <c r="D226" s="55">
        <v>48.019230769230766</v>
      </c>
      <c r="E226" s="63">
        <v>0.7</v>
      </c>
      <c r="F226" s="63">
        <v>0</v>
      </c>
      <c r="G226" s="63">
        <v>0</v>
      </c>
      <c r="H226" s="63">
        <v>0.3</v>
      </c>
      <c r="I226" s="53">
        <f t="shared" si="8"/>
        <v>7.1782051282051267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>
        <v>109</v>
      </c>
      <c r="B227" s="55">
        <v>340.16666666666663</v>
      </c>
      <c r="C227" s="55">
        <v>10</v>
      </c>
      <c r="D227" s="55">
        <v>51.28846153846154</v>
      </c>
      <c r="E227" s="63">
        <v>0.9</v>
      </c>
      <c r="F227" s="63">
        <v>0</v>
      </c>
      <c r="G227" s="63">
        <v>0</v>
      </c>
      <c r="H227" s="63">
        <v>0.1</v>
      </c>
      <c r="I227" s="53">
        <f t="shared" si="8"/>
        <v>6.9935897435897401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>
        <v>119</v>
      </c>
      <c r="B228" s="55">
        <v>357.33974358974359</v>
      </c>
      <c r="C228" s="55">
        <v>11</v>
      </c>
      <c r="D228" s="55">
        <v>150.02564102564102</v>
      </c>
      <c r="E228" s="63">
        <v>0.9</v>
      </c>
      <c r="F228" s="63">
        <v>0</v>
      </c>
      <c r="G228" s="63">
        <v>0</v>
      </c>
      <c r="H228" s="63">
        <v>0.1</v>
      </c>
      <c r="I228" s="53">
        <f t="shared" si="8"/>
        <v>6.8461538461538511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>
        <v>123</v>
      </c>
      <c r="B229" s="55">
        <v>222.63461538461539</v>
      </c>
      <c r="C229" s="55">
        <v>12</v>
      </c>
      <c r="D229" s="55">
        <v>77.17307692307692</v>
      </c>
      <c r="E229" s="63">
        <v>0.9</v>
      </c>
      <c r="F229" s="63">
        <v>0</v>
      </c>
      <c r="G229" s="63">
        <v>0</v>
      </c>
      <c r="H229" s="63">
        <v>0.1</v>
      </c>
      <c r="I229" s="53">
        <f t="shared" si="8"/>
        <v>3.8301282051282044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>
        <v>127</v>
      </c>
      <c r="B230" s="55">
        <v>154.80128205128204</v>
      </c>
      <c r="C230" s="55">
        <v>13</v>
      </c>
      <c r="D230" s="55">
        <v>49.916666666666671</v>
      </c>
      <c r="E230" s="64">
        <v>0.9</v>
      </c>
      <c r="F230" s="64">
        <v>0</v>
      </c>
      <c r="G230" s="64">
        <v>0</v>
      </c>
      <c r="H230" s="64">
        <v>0.1</v>
      </c>
      <c r="I230" s="53">
        <f t="shared" si="8"/>
        <v>2.3349358974358978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>
        <v>131</v>
      </c>
      <c r="B231" s="60">
        <v>110.91025641025641</v>
      </c>
      <c r="C231" s="88">
        <v>14</v>
      </c>
      <c r="D231" s="60">
        <v>110.91025641025641</v>
      </c>
      <c r="E231" s="54">
        <v>0.9</v>
      </c>
      <c r="F231" s="54">
        <v>0</v>
      </c>
      <c r="G231" s="54">
        <v>0</v>
      </c>
      <c r="H231" s="54">
        <v>0.1</v>
      </c>
      <c r="I231" s="53">
        <f t="shared" si="8"/>
        <v>1.5064102564102591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>Erable champêtre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>
        <v>15</v>
      </c>
      <c r="B244" s="60">
        <v>37</v>
      </c>
      <c r="C244" s="60">
        <v>1</v>
      </c>
      <c r="D244" s="60">
        <v>15</v>
      </c>
      <c r="E244" s="51">
        <v>0</v>
      </c>
      <c r="F244" s="51">
        <v>0</v>
      </c>
      <c r="G244" s="51">
        <v>0</v>
      </c>
      <c r="H244" s="63">
        <v>1</v>
      </c>
      <c r="I244" s="53">
        <f>IFERROR(B244/A244,"")</f>
        <v>2.4666666666666668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>
        <v>20</v>
      </c>
      <c r="B245" s="60">
        <v>80</v>
      </c>
      <c r="C245" s="60">
        <v>2</v>
      </c>
      <c r="D245" s="60">
        <v>28</v>
      </c>
      <c r="E245" s="63">
        <v>0</v>
      </c>
      <c r="F245" s="63">
        <v>0</v>
      </c>
      <c r="G245" s="63">
        <v>0</v>
      </c>
      <c r="H245" s="63">
        <v>1</v>
      </c>
      <c r="I245" s="53">
        <f>IF(A245&lt;&gt;0,(B245-(B244-D244))/(A245-A244),"")</f>
        <v>11.6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>
        <v>25</v>
      </c>
      <c r="B246" s="60">
        <v>115</v>
      </c>
      <c r="C246" s="60">
        <v>3</v>
      </c>
      <c r="D246" s="60">
        <v>28</v>
      </c>
      <c r="E246" s="63">
        <v>0</v>
      </c>
      <c r="F246" s="63">
        <v>7.0000000000000007E-2</v>
      </c>
      <c r="G246" s="63">
        <v>0</v>
      </c>
      <c r="H246" s="63">
        <v>0.93</v>
      </c>
      <c r="I246" s="53">
        <f>IF(A246&lt;&gt;0,(B246-(B245-D245))/(A246-A245),"")</f>
        <v>12.6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>
        <v>30</v>
      </c>
      <c r="B247" s="60">
        <v>146</v>
      </c>
      <c r="C247" s="60">
        <v>4</v>
      </c>
      <c r="D247" s="60">
        <v>28</v>
      </c>
      <c r="E247" s="63">
        <v>0.04</v>
      </c>
      <c r="F247" s="63">
        <v>0.28999999999999998</v>
      </c>
      <c r="G247" s="63">
        <v>0</v>
      </c>
      <c r="H247" s="63">
        <v>0.68</v>
      </c>
      <c r="I247" s="53">
        <f t="shared" ref="I247:I263" si="9">IF(A247&lt;&gt;0,(B247-(B246-D246))/(A247-A246),"")</f>
        <v>11.8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>
        <v>35</v>
      </c>
      <c r="B248" s="60">
        <v>172</v>
      </c>
      <c r="C248" s="60">
        <v>5</v>
      </c>
      <c r="D248" s="60">
        <v>28</v>
      </c>
      <c r="E248" s="63">
        <v>0.18</v>
      </c>
      <c r="F248" s="63">
        <v>0.43</v>
      </c>
      <c r="G248" s="63">
        <v>0</v>
      </c>
      <c r="H248" s="63">
        <v>0.39</v>
      </c>
      <c r="I248" s="53">
        <f t="shared" si="9"/>
        <v>10.8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>
        <v>40</v>
      </c>
      <c r="B249" s="60">
        <v>192</v>
      </c>
      <c r="C249" s="60">
        <v>6</v>
      </c>
      <c r="D249" s="60">
        <v>28</v>
      </c>
      <c r="E249" s="63">
        <v>0.39</v>
      </c>
      <c r="F249" s="63">
        <v>0.39</v>
      </c>
      <c r="G249" s="63">
        <v>0</v>
      </c>
      <c r="H249" s="63">
        <v>0.21</v>
      </c>
      <c r="I249" s="53">
        <f t="shared" si="9"/>
        <v>9.6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>
        <v>45</v>
      </c>
      <c r="B250" s="60">
        <v>205</v>
      </c>
      <c r="C250" s="60">
        <v>7</v>
      </c>
      <c r="D250" s="60">
        <v>22</v>
      </c>
      <c r="E250" s="63">
        <v>0.59</v>
      </c>
      <c r="F250" s="63">
        <v>0.27</v>
      </c>
      <c r="G250" s="63">
        <v>0</v>
      </c>
      <c r="H250" s="63">
        <v>0.14000000000000001</v>
      </c>
      <c r="I250" s="53">
        <f t="shared" si="9"/>
        <v>8.1999999999999993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>
        <v>50</v>
      </c>
      <c r="B251" s="55">
        <v>219</v>
      </c>
      <c r="C251" s="55">
        <v>8</v>
      </c>
      <c r="D251" s="55">
        <v>17</v>
      </c>
      <c r="E251" s="63">
        <v>0.71</v>
      </c>
      <c r="F251" s="63">
        <v>0.18</v>
      </c>
      <c r="G251" s="63">
        <v>0</v>
      </c>
      <c r="H251" s="63">
        <v>0.12</v>
      </c>
      <c r="I251" s="53">
        <f t="shared" si="9"/>
        <v>7.2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>
        <v>55</v>
      </c>
      <c r="B252" s="55">
        <v>232</v>
      </c>
      <c r="C252" s="55">
        <v>9</v>
      </c>
      <c r="D252" s="55">
        <v>13</v>
      </c>
      <c r="E252" s="63">
        <v>0.77</v>
      </c>
      <c r="F252" s="63">
        <v>0.15</v>
      </c>
      <c r="G252" s="63">
        <v>0</v>
      </c>
      <c r="H252" s="63">
        <v>0.08</v>
      </c>
      <c r="I252" s="53">
        <f t="shared" si="9"/>
        <v>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>
        <v>60</v>
      </c>
      <c r="B253" s="55">
        <v>245</v>
      </c>
      <c r="C253" s="55">
        <v>10</v>
      </c>
      <c r="D253" s="55">
        <v>12</v>
      </c>
      <c r="E253" s="63">
        <v>0.83</v>
      </c>
      <c r="F253" s="63">
        <v>0.08</v>
      </c>
      <c r="G253" s="63">
        <v>0</v>
      </c>
      <c r="H253" s="63">
        <v>0.08</v>
      </c>
      <c r="I253" s="53">
        <f t="shared" si="9"/>
        <v>5.2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>
        <v>65</v>
      </c>
      <c r="B254" s="55">
        <v>255</v>
      </c>
      <c r="C254" s="55">
        <v>11</v>
      </c>
      <c r="D254" s="55">
        <v>11</v>
      </c>
      <c r="E254" s="63">
        <v>0.82</v>
      </c>
      <c r="F254" s="63">
        <v>0.09</v>
      </c>
      <c r="G254" s="63">
        <v>0</v>
      </c>
      <c r="H254" s="63">
        <v>0.09</v>
      </c>
      <c r="I254" s="53">
        <f t="shared" si="9"/>
        <v>4.4000000000000004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>
        <v>70</v>
      </c>
      <c r="B255" s="55">
        <v>263</v>
      </c>
      <c r="C255" s="55">
        <v>12</v>
      </c>
      <c r="D255" s="55">
        <v>10</v>
      </c>
      <c r="E255" s="63">
        <v>0.9</v>
      </c>
      <c r="F255" s="63">
        <v>0.1</v>
      </c>
      <c r="G255" s="63">
        <v>0</v>
      </c>
      <c r="H255" s="63">
        <v>0</v>
      </c>
      <c r="I255" s="53">
        <f t="shared" si="9"/>
        <v>3.8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>
        <v>75</v>
      </c>
      <c r="B256" s="55">
        <v>270</v>
      </c>
      <c r="C256" s="55">
        <v>13</v>
      </c>
      <c r="D256" s="55">
        <v>9</v>
      </c>
      <c r="E256" s="64">
        <v>0.89</v>
      </c>
      <c r="F256" s="64">
        <v>0.11</v>
      </c>
      <c r="G256" s="64">
        <v>0</v>
      </c>
      <c r="H256" s="64">
        <v>0</v>
      </c>
      <c r="I256" s="53">
        <f t="shared" si="9"/>
        <v>3.4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>
        <v>80</v>
      </c>
      <c r="B257" s="60">
        <v>275</v>
      </c>
      <c r="C257" s="88">
        <v>14</v>
      </c>
      <c r="D257" s="60">
        <v>8</v>
      </c>
      <c r="E257" s="54">
        <v>0.88</v>
      </c>
      <c r="F257" s="54">
        <v>0.13</v>
      </c>
      <c r="G257" s="54">
        <v>0</v>
      </c>
      <c r="H257" s="54">
        <v>0</v>
      </c>
      <c r="I257" s="53">
        <f t="shared" si="9"/>
        <v>2.8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>Charme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>
        <v>30</v>
      </c>
      <c r="B270" s="60">
        <v>121.88461538461537</v>
      </c>
      <c r="C270" s="50" t="s">
        <v>324</v>
      </c>
      <c r="D270" s="60">
        <v>0</v>
      </c>
      <c r="E270" s="51">
        <v>0</v>
      </c>
      <c r="F270" s="51">
        <v>0</v>
      </c>
      <c r="G270" s="51">
        <v>0</v>
      </c>
      <c r="H270" s="51">
        <v>0</v>
      </c>
      <c r="I270" s="53">
        <f>IFERROR(B270/A270,"")</f>
        <v>4.0628205128205126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>
        <v>35</v>
      </c>
      <c r="B271" s="60">
        <v>162.16666666666669</v>
      </c>
      <c r="C271" s="50">
        <v>1</v>
      </c>
      <c r="D271" s="60">
        <v>60.602564102564102</v>
      </c>
      <c r="E271" s="51">
        <v>0</v>
      </c>
      <c r="F271" s="51">
        <v>0</v>
      </c>
      <c r="G271" s="51">
        <v>0</v>
      </c>
      <c r="H271" s="51">
        <v>1</v>
      </c>
      <c r="I271" s="53">
        <f>IF(A271&lt;&gt;0,(B271-(B270-D270))/(A271-A270),"")</f>
        <v>8.0564102564102633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>
        <v>41</v>
      </c>
      <c r="B272" s="60">
        <v>157.44871794871796</v>
      </c>
      <c r="C272" s="50">
        <v>2</v>
      </c>
      <c r="D272" s="60">
        <v>38.512820512820511</v>
      </c>
      <c r="E272" s="51">
        <v>0</v>
      </c>
      <c r="F272" s="51">
        <v>0</v>
      </c>
      <c r="G272" s="51">
        <v>0</v>
      </c>
      <c r="H272" s="51">
        <v>1</v>
      </c>
      <c r="I272" s="53">
        <f t="shared" ref="I272:I289" si="10">IF(A272&lt;&gt;0,(B272-(B271-D271))/(A272-A271),"")</f>
        <v>9.3141025641025621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>
        <v>48</v>
      </c>
      <c r="B273" s="60">
        <v>184.35256410256409</v>
      </c>
      <c r="C273" s="50">
        <v>3</v>
      </c>
      <c r="D273" s="60">
        <v>48.025641025641022</v>
      </c>
      <c r="E273" s="51">
        <v>0</v>
      </c>
      <c r="F273" s="51">
        <v>0</v>
      </c>
      <c r="G273" s="51">
        <v>0</v>
      </c>
      <c r="H273" s="51">
        <v>1</v>
      </c>
      <c r="I273" s="53">
        <f t="shared" si="10"/>
        <v>9.3452380952380913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>
        <v>55</v>
      </c>
      <c r="B274" s="60">
        <v>198.44230769230768</v>
      </c>
      <c r="C274" s="50">
        <v>4</v>
      </c>
      <c r="D274" s="60">
        <v>45.147435897435898</v>
      </c>
      <c r="E274" s="51">
        <v>0</v>
      </c>
      <c r="F274" s="51">
        <v>0</v>
      </c>
      <c r="G274" s="51">
        <v>0</v>
      </c>
      <c r="H274" s="51">
        <v>1</v>
      </c>
      <c r="I274" s="53">
        <f t="shared" si="10"/>
        <v>8.8736263736263741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>
        <v>63</v>
      </c>
      <c r="B275" s="60">
        <v>220.28846153846152</v>
      </c>
      <c r="C275" s="50">
        <v>5</v>
      </c>
      <c r="D275" s="60">
        <v>41.724358974358978</v>
      </c>
      <c r="E275" s="63">
        <v>0.7</v>
      </c>
      <c r="F275" s="63">
        <v>0</v>
      </c>
      <c r="G275" s="63">
        <v>0</v>
      </c>
      <c r="H275" s="63">
        <v>0.3</v>
      </c>
      <c r="I275" s="53">
        <f t="shared" si="10"/>
        <v>8.374198717948719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>
        <v>71</v>
      </c>
      <c r="B276" s="60">
        <v>243.36538461538464</v>
      </c>
      <c r="C276" s="50">
        <v>6</v>
      </c>
      <c r="D276" s="60">
        <v>39.935897435897431</v>
      </c>
      <c r="E276" s="63">
        <v>0.7</v>
      </c>
      <c r="F276" s="63">
        <v>0</v>
      </c>
      <c r="G276" s="63">
        <v>0</v>
      </c>
      <c r="H276" s="63">
        <v>0.3</v>
      </c>
      <c r="I276" s="53">
        <f t="shared" si="10"/>
        <v>8.1001602564102626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>
        <v>80</v>
      </c>
      <c r="B277" s="55">
        <v>274.01282051282055</v>
      </c>
      <c r="C277" s="55">
        <v>7</v>
      </c>
      <c r="D277" s="55">
        <v>45.608974358974358</v>
      </c>
      <c r="E277" s="63">
        <v>0.7</v>
      </c>
      <c r="F277" s="63">
        <v>0</v>
      </c>
      <c r="G277" s="63">
        <v>0</v>
      </c>
      <c r="H277" s="63">
        <v>0.3</v>
      </c>
      <c r="I277" s="53">
        <f t="shared" si="10"/>
        <v>7.8425925925925934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>
        <v>89</v>
      </c>
      <c r="B278" s="55">
        <v>295.85897435897436</v>
      </c>
      <c r="C278" s="55">
        <v>8</v>
      </c>
      <c r="D278" s="55">
        <v>49.391025641025635</v>
      </c>
      <c r="E278" s="63">
        <v>0.7</v>
      </c>
      <c r="F278" s="63">
        <v>0</v>
      </c>
      <c r="G278" s="63">
        <v>0</v>
      </c>
      <c r="H278" s="63">
        <v>0.3</v>
      </c>
      <c r="I278" s="53">
        <f t="shared" si="10"/>
        <v>7.4950142450142421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>
        <v>99</v>
      </c>
      <c r="B279" s="55">
        <v>318.25</v>
      </c>
      <c r="C279" s="55">
        <v>9</v>
      </c>
      <c r="D279" s="55">
        <v>48.019230769230766</v>
      </c>
      <c r="E279" s="63">
        <v>0.7</v>
      </c>
      <c r="F279" s="63">
        <v>0</v>
      </c>
      <c r="G279" s="63">
        <v>0</v>
      </c>
      <c r="H279" s="63">
        <v>0.3</v>
      </c>
      <c r="I279" s="53">
        <f t="shared" si="10"/>
        <v>7.1782051282051267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>
        <v>109</v>
      </c>
      <c r="B280" s="55">
        <v>340.16666666666663</v>
      </c>
      <c r="C280" s="55">
        <v>10</v>
      </c>
      <c r="D280" s="55">
        <v>51.28846153846154</v>
      </c>
      <c r="E280" s="63">
        <v>0.9</v>
      </c>
      <c r="F280" s="63">
        <v>0</v>
      </c>
      <c r="G280" s="63">
        <v>0</v>
      </c>
      <c r="H280" s="63">
        <v>0.1</v>
      </c>
      <c r="I280" s="53">
        <f t="shared" si="10"/>
        <v>6.9935897435897401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>
        <v>119</v>
      </c>
      <c r="B281" s="55">
        <v>357.33974358974359</v>
      </c>
      <c r="C281" s="55">
        <v>11</v>
      </c>
      <c r="D281" s="55">
        <v>150.02564102564102</v>
      </c>
      <c r="E281" s="63">
        <v>0.9</v>
      </c>
      <c r="F281" s="63">
        <v>0</v>
      </c>
      <c r="G281" s="63">
        <v>0</v>
      </c>
      <c r="H281" s="63">
        <v>0.1</v>
      </c>
      <c r="I281" s="53">
        <f t="shared" si="10"/>
        <v>6.8461538461538511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>
        <v>123</v>
      </c>
      <c r="B282" s="55">
        <v>222.63461538461539</v>
      </c>
      <c r="C282" s="55">
        <v>12</v>
      </c>
      <c r="D282" s="55">
        <v>77.17307692307692</v>
      </c>
      <c r="E282" s="64">
        <v>0.9</v>
      </c>
      <c r="F282" s="64">
        <v>0</v>
      </c>
      <c r="G282" s="64">
        <v>0</v>
      </c>
      <c r="H282" s="64">
        <v>0.1</v>
      </c>
      <c r="I282" s="53">
        <f t="shared" si="10"/>
        <v>3.8301282051282044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>
        <v>127</v>
      </c>
      <c r="B283" s="60">
        <v>154.80128205128204</v>
      </c>
      <c r="C283" s="88">
        <v>13</v>
      </c>
      <c r="D283" s="60">
        <v>49.916666666666671</v>
      </c>
      <c r="E283" s="54">
        <v>0.9</v>
      </c>
      <c r="F283" s="54">
        <v>0</v>
      </c>
      <c r="G283" s="54">
        <v>0</v>
      </c>
      <c r="H283" s="54">
        <v>0.1</v>
      </c>
      <c r="I283" s="53">
        <f t="shared" si="10"/>
        <v>2.3349358974358978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>
        <v>131</v>
      </c>
      <c r="B284" s="50">
        <v>110.91025641025641</v>
      </c>
      <c r="C284" s="50">
        <v>14</v>
      </c>
      <c r="D284" s="50">
        <v>110.91025641025641</v>
      </c>
      <c r="E284" s="51">
        <v>0.9</v>
      </c>
      <c r="F284" s="51">
        <v>0</v>
      </c>
      <c r="G284" s="51">
        <v>0</v>
      </c>
      <c r="H284" s="51">
        <v>0.1</v>
      </c>
      <c r="I284" s="53">
        <f t="shared" si="10"/>
        <v>1.5064102564102591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C21" sqref="C21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sylvestre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Robinier faux-acacia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Tilleul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Châtaignier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Cormier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Chêne pubescent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Erable champêtre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Charme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384.05928630855732</v>
      </c>
      <c r="T3" s="59">
        <f>IF('Données projet'!E9&gt;30,$R$33-$H$33,LOOKUP('Données projet'!$E$9,$A$3:$A$203,R3:R203)-LOOKUP('Données projet'!$E$9,$A$3:$A$203,$H$3:$H$203))</f>
        <v>279.93992813630513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335.04906256888819</v>
      </c>
      <c r="AO3" s="59">
        <f>IF('Données projet'!E10&gt;30,$AM$33-$H$33,LOOKUP('Données projet'!$E$10,$A$3:$A$203,AM3:AM203)-LOOKUP('Données projet'!$E$10,$A$3:$A$203,$H$3:$H$203))</f>
        <v>440.84111898279554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320.76883487964511</v>
      </c>
      <c r="BJ3" s="59">
        <f>IF('Données projet'!E11&gt;30,$BH$33-$H$33,LOOKUP('Données projet'!$E$11,$A$3:$A$203,BH3:BH203)-LOOKUP('Données projet'!$E$11,$A$3:$A$203,$H$3:$H$203))</f>
        <v>290.51177680335746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366.69125512029831</v>
      </c>
      <c r="CE3" s="59">
        <f>IF('Données projet'!E12&gt;30,$CC$33-$H$33,LOOKUP('Données projet'!$E$12,$A$3:$A$203,CC3:CC203)-LOOKUP('Données projet'!$E$12,$A$3:$A$203,$H$3:$H$203))</f>
        <v>513.80016421153414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294.94331863127815</v>
      </c>
      <c r="CZ3" s="59">
        <f>IF('Données projet'!E13&gt;30,$CX$33-$H$33,LOOKUP('Données projet'!$E$13,$A$3:$A$203,CX3:CX203)-LOOKUP('Données projet'!$E$13,$A$3:$A$203,$H$3:$H$203))</f>
        <v>218.36990036643977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278.45534008146865</v>
      </c>
      <c r="DU3" s="59">
        <f>IF('Données projet'!E14&gt;30,$DS$33-$H$33,LOOKUP('Données projet'!$E$14,$A$3:$A$203,DS3:DS203)-LOOKUP('Données projet'!$E$14,$A$3:$A$203,$H$3:$H$203))</f>
        <v>272.97841038165217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449.09332781196957</v>
      </c>
      <c r="EP3" s="59">
        <f>IF('Données projet'!E15&gt;30,$EN$33-$H$33,LOOKUP('Données projet'!$E$15,$A$3:$A$203,EN3:EN203)-LOOKUP('Données projet'!$E$15,$A$3:$A$203,$H$3:$H$203))</f>
        <v>324.85904971519432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419.51168383014721</v>
      </c>
      <c r="FK3" s="59">
        <f>IF('Données projet'!E16&gt;30,$FI$33-$H$33,LOOKUP('Données projet'!$E$16,$A$3:$A$203,FI3:FI203)-LOOKUP('Données projet'!$E$16,$A$3:$A$203,$H$3:$H$203))</f>
        <v>213.44145308833384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324.86930206492627</v>
      </c>
      <c r="GF3" s="59">
        <f>IF('Données projet'!E17&gt;30,$GD$33-$H$33,LOOKUP('Données projet'!$E$17,$A$3:$A$203,GD3:GD203)-LOOKUP('Données projet'!$E$17,$A$3:$A$203,$H$3:$H$203))</f>
        <v>317.03005098025352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401.81944956556271</v>
      </c>
      <c r="HA3" s="59">
        <f>IF('Données projet'!E18&gt;30,$GY$33-$H$33,LOOKUP('Données projet'!$E$18,$A$3:$A$203,GY3:GY203)-LOOKUP('Données projet'!$E$18,$A$3:$A$203,$H$3:$H$203))</f>
        <v>292.20785523952651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260.58474675614167</v>
      </c>
      <c r="S4" s="59">
        <f ca="1">AVERAGE(OFFSET($R$3,0,0,'Données projet'!$E$9+1,1))-AVERAGE(OFFSET($H$3,0,0,'Données projet'!$E$9+1,1))</f>
        <v>384.05928630855732</v>
      </c>
      <c r="T4" s="59">
        <f>$T$3</f>
        <v>279.93992813630513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10.16068376068376</v>
      </c>
      <c r="AI4" s="13">
        <f>IF('Données projet'!$A$62&gt;35,AI3+AH4-AQ3,IF(A4&lt;'Données projet'!$A$62,$AF$205^A4,IF(A4='Données projet'!$A$62,'Données projet'!$B$62,AI3+AH4-AQ3)))</f>
        <v>1.3356034260773062</v>
      </c>
      <c r="AJ4" s="13">
        <f>AI4*VLOOKUP('Données projet'!$B$10,Paramètres!$A$1:$I$89,3,0)*VLOOKUP('Données projet'!$B$10,Paramètres!$A$1:$I$89,5,0)</f>
        <v>0.7466023151772142</v>
      </c>
      <c r="AK4" s="13">
        <f>EXP(-1.0587+0.8836*LN(AJ4)+0.284)</f>
        <v>0.35597032812689977</v>
      </c>
      <c r="AL4" s="20">
        <f t="shared" ref="AL4:AL67" si="4">(AJ4+AK4)*0.475*44/12</f>
        <v>1.9203140204213316</v>
      </c>
      <c r="AM4" s="59">
        <f t="shared" ref="AM4:AM67" si="5">AL4+(AD4+AE4)*44/12</f>
        <v>259.80920290931022</v>
      </c>
      <c r="AN4" s="59">
        <f ca="1">AVERAGE(OFFSET($AM$3,0,0,'Données projet'!$E$10+1,1))-AVERAGE(OFFSET($H$3,0,0,'Données projet'!$E$10+1,1))</f>
        <v>335.04906256888819</v>
      </c>
      <c r="AO4" s="59">
        <f>$AO$3</f>
        <v>440.84111898279554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7.6594017094017097</v>
      </c>
      <c r="BD4" s="12">
        <f>IF('Données projet'!$A$88&gt;35,BD3+BC4-BL3,IF(A4&lt;'Données projet'!$A$88,$BA$205^A4,IF(A4='Données projet'!$A$88,'Données projet'!$B$88,BD3+BC4-BL3)))</f>
        <v>1.3147987949303508</v>
      </c>
      <c r="BE4" s="13">
        <f>BD4*VLOOKUP('Données projet'!$B$11,Paramètres!$A$1:$I$89,3,0)*VLOOKUP('Données projet'!$B$11,Paramètres!$A$1:$I$89,5,0)</f>
        <v>0.75206491070016057</v>
      </c>
      <c r="BF4" s="13">
        <f>EXP(-1.0587+0.8836*LN(BE4)+0.284)</f>
        <v>0.35827068250867117</v>
      </c>
      <c r="BG4" s="20">
        <f t="shared" ref="BG4:BG67" si="7">(BE4+BF4)*0.475*44/12</f>
        <v>1.9338344915053816</v>
      </c>
      <c r="BH4" s="59">
        <f t="shared" ref="BH4:BH67" si="8">BG4+(AY4+AZ4)*44/12</f>
        <v>259.82272338039422</v>
      </c>
      <c r="BI4" s="59">
        <f ca="1">AVERAGE(OFFSET($BH$3,0,0,'Données projet'!$E$11+1,1))-AVERAGE(OFFSET($H$3,0,0,'Données projet'!$E$11+1,1))</f>
        <v>320.76883487964511</v>
      </c>
      <c r="BJ4" s="59">
        <f>$BJ$3</f>
        <v>290.51177680335746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6.8</v>
      </c>
      <c r="BY4" s="12">
        <f>IF('Données projet'!$A$114&gt;35,BY3+BX4-CG3,IF(A4&lt;'Données projet'!$A$114,$BV$205^A4,IF(A4='Données projet'!$A$114,'Données projet'!$B$114,BY3+BX4-CG3)))</f>
        <v>2.0243974584998852</v>
      </c>
      <c r="BZ4" s="13">
        <f>BY4*VLOOKUP('Données projet'!$B$12,Paramètres!$A$1:$I$89,3,0)*VLOOKUP('Données projet'!$B$12,Paramètres!$A$1:$I$89,5,0)</f>
        <v>1.8316748204506961</v>
      </c>
      <c r="CA4" s="13">
        <f>EXP(-1.0587+0.8836*LN(BZ4)+0.284)</f>
        <v>0.78669228172688432</v>
      </c>
      <c r="CB4" s="20">
        <f t="shared" ref="CB4:CB67" si="10">(BZ4+CA4)*0.475*44/12</f>
        <v>4.5603227029592857</v>
      </c>
      <c r="CC4" s="59">
        <f t="shared" ref="CC4:CC67" si="11">CB4+(BT4+BU4)*44/12</f>
        <v>262.44921159184815</v>
      </c>
      <c r="CD4" s="59">
        <f ca="1">AVERAGE(OFFSET($CC$3,0,0,'Données projet'!$E$12+1,1))-AVERAGE(OFFSET($H$3,0,0,'Données projet'!$E$12+1,1))</f>
        <v>366.69125512029831</v>
      </c>
      <c r="CE4" s="59">
        <f>$CE$3</f>
        <v>513.80016421153414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4.0628205128205126</v>
      </c>
      <c r="CT4" s="12">
        <f>IF('Données projet'!$A$140&gt;35,CT3+CS4-DB3,IF(A4&lt;'Données projet'!$A$140,$CQ$205^A4,IF(A4='Données projet'!$A$140,'Données projet'!$B$140,CT3+CS4-DB3)))</f>
        <v>1.1736311550444201</v>
      </c>
      <c r="CU4" s="17">
        <f>CT4*VLOOKUP('Données projet'!$B$13,Paramètres!$A$1:$I$89,3,0)*VLOOKUP('Données projet'!$B$13,Paramètres!$A$1:$I$89,5,0)</f>
        <v>0.78727177880379695</v>
      </c>
      <c r="CV4" s="13">
        <f>EXP(-1.0587+0.8836*LN(CU4)+0.284)</f>
        <v>0.37305067946141096</v>
      </c>
      <c r="CW4" s="20">
        <f t="shared" ref="CW4:CW67" si="13">(CU4+CV4)*0.475*44/12</f>
        <v>2.0208949481452367</v>
      </c>
      <c r="CX4" s="59">
        <f t="shared" ref="CX4:CX67" si="14">CW4+(CO4+CP4)*44/12</f>
        <v>259.90978383703407</v>
      </c>
      <c r="CY4" s="59">
        <f ca="1">AVERAGE(OFFSET($CX$3,0,0,'Données projet'!$E$13+1,1))-AVERAGE(OFFSET($H$3,0,0,'Données projet'!$E$13+1,1))</f>
        <v>294.94331863127815</v>
      </c>
      <c r="CZ4" s="59">
        <f>$CZ$3</f>
        <v>218.36990036643977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0.9327585484198414</v>
      </c>
      <c r="DQ4" s="13">
        <f>EXP(-1.0587+0.8836*LN(DP4)+0.284)</f>
        <v>0.43335135961225768</v>
      </c>
      <c r="DR4" s="20">
        <f t="shared" ref="DR4:DR67" si="16">(DP4+DQ4)*0.475*44/12</f>
        <v>2.3793080898225729</v>
      </c>
      <c r="DS4" s="59">
        <f t="shared" ref="DS4:DS67" si="17">DR4+(DJ4+DK4)*44/12</f>
        <v>260.26819697871144</v>
      </c>
      <c r="DT4" s="59">
        <f ca="1">AVERAGE(OFFSET($DS$3,0,0,'Données projet'!$E$14+1,1))-AVERAGE(OFFSET($H$3,0,0,'Données projet'!$E$14+1,1))</f>
        <v>278.45534008146865</v>
      </c>
      <c r="DU4" s="59">
        <f>$DU$3</f>
        <v>272.97841038165217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4.0628205128205126</v>
      </c>
      <c r="EJ4" s="12">
        <f>IF('Données projet'!$A$192&gt;35,EJ3+EI4-ER3,IF(A4&lt;'Données projet'!$A$192,$EG$205^A4,IF(A4='Données projet'!$A$192,'Données projet'!$B$192,EJ3+EI4-ER3)))</f>
        <v>1.1736311550444201</v>
      </c>
      <c r="EK4" s="17">
        <f>EJ4*VLOOKUP('Données projet'!$B$15,Paramètres!$A$1:$I$89,3,0)*VLOOKUP('Données projet'!$B$15,Paramètres!$A$1:$I$89,5,0)</f>
        <v>1.2632965752898135</v>
      </c>
      <c r="EL4" s="13">
        <f>EXP(-1.0587+0.8836*LN(EK4)+0.284)</f>
        <v>0.56655511466244612</v>
      </c>
      <c r="EM4" s="20">
        <f t="shared" ref="EM4:EM67" si="19">(EK4+EL4)*0.475*44/12</f>
        <v>3.1869916933335189</v>
      </c>
      <c r="EN4" s="59">
        <f t="shared" ref="EN4:EN67" si="20">EM4+(EE4+EF4)*44/12</f>
        <v>261.0758805822224</v>
      </c>
      <c r="EO4" s="59">
        <f ca="1">AVERAGE(OFFSET($EN$3,0,0,'Données projet'!$E$15+1,1))-AVERAGE(OFFSET($H$3,0,0,'Données projet'!$E$15+1,1))</f>
        <v>449.09332781196957</v>
      </c>
      <c r="EP4" s="59">
        <f>$EP$3</f>
        <v>324.85904971519432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4.6333333333333337</v>
      </c>
      <c r="FE4" s="12">
        <f>IF('Données projet'!$A$218&gt;35,FE3+FD4-FM3,IF(A4&lt;'Données projet'!$A$218,$FB$205^A4,IF(A4='Données projet'!$A$218,'Données projet'!$B$218,FE3+FD4-FM3)))</f>
        <v>1.1564896747754472</v>
      </c>
      <c r="FF4" s="17">
        <f>FE4*VLOOKUP('Données projet'!$B$16,Paramètres!$A$1:$I$89,3,0)*VLOOKUP('Données projet'!$B$16,Paramètres!$A$1:$I$89,5,0)</f>
        <v>1.1726805302223036</v>
      </c>
      <c r="FG4" s="13">
        <f>EXP(-1.0587+0.8836*LN(FF4)+0.284)</f>
        <v>0.53049251523965923</v>
      </c>
      <c r="FH4" s="20">
        <f t="shared" ref="FH4:FH67" si="22">(FF4+FG4)*0.475*44/12</f>
        <v>2.9663597208462513</v>
      </c>
      <c r="FI4" s="59">
        <f t="shared" ref="FI4:FI67" si="23">FH4+(EZ4+FA4)*44/12</f>
        <v>260.8552486097351</v>
      </c>
      <c r="FJ4" s="59">
        <f ca="1">AVERAGE(OFFSET($FI$3,0,0,'Données projet'!$E$16+1,1))-AVERAGE(OFFSET($H$3,0,0,'Données projet'!$E$16+1,1))</f>
        <v>419.51168383014721</v>
      </c>
      <c r="FK4" s="59">
        <f>$FK$3</f>
        <v>213.44145308833384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2.4666666666666668</v>
      </c>
      <c r="FZ4" s="12">
        <f>IF('Données projet'!$A$244&gt;35,FZ3+FY4-GH3,IF(A4&lt;'Données projet'!$A$244,$FW$205^A4,IF(A4='Données projet'!$A$244,'Données projet'!$B$244,FZ3+FY4-GH3)))</f>
        <v>1.2721747796233518</v>
      </c>
      <c r="GA4" s="17">
        <f>FZ4*VLOOKUP('Données projet'!$B$17,Paramètres!$A$1:$I$89,3,0)*VLOOKUP('Données projet'!$B$17,Paramètres!$A$1:$I$89,5,0)</f>
        <v>1.1113718874789602</v>
      </c>
      <c r="GB4" s="13">
        <f>EXP(-1.0587+0.8836*LN(GA4)+0.284)</f>
        <v>0.5059102014681881</v>
      </c>
      <c r="GC4" s="20">
        <f t="shared" ref="GC4:GC67" si="25">(GA4+GB4)*0.475*44/12</f>
        <v>2.8167663049162832</v>
      </c>
      <c r="GD4" s="59">
        <f t="shared" ref="GD4:GD67" si="26">GC4+(FU4+FV4)*44/12</f>
        <v>260.70565519380511</v>
      </c>
      <c r="GE4" s="59">
        <f ca="1">AVERAGE(OFFSET($GD$3,0,0,'Données projet'!$E$17+1,1))-AVERAGE(OFFSET($H$3,0,0,'Données projet'!$E$17+1,1))</f>
        <v>324.86930206492627</v>
      </c>
      <c r="GF4" s="59">
        <f>$GF$3</f>
        <v>317.03005098025352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4.0628205128205126</v>
      </c>
      <c r="GU4" s="12">
        <f>IF('Données projet'!$A$270&gt;35,GU3+GT4-HC3,IF(A4&lt;'Données projet'!$A$270,$GR$205^A4,IF(A4='Données projet'!$A$270,'Données projet'!$B$270,GU3+GT4-HC3)))</f>
        <v>1.1736311550444201</v>
      </c>
      <c r="GV4" s="17">
        <f>GU4*VLOOKUP('Données projet'!$B$18,Paramètres!$A$1:$I$89,3,0)*VLOOKUP('Données projet'!$B$18,Paramètres!$A$1:$I$89,5,0)</f>
        <v>1.1168274071402702</v>
      </c>
      <c r="GW4" s="13">
        <f>EXP(-1.0587+0.8836*LN(GV4)+0.284)</f>
        <v>0.50810392551502437</v>
      </c>
      <c r="GX4" s="20">
        <f t="shared" ref="GX4:GX67" si="28">(GV4+GW4)*0.475*44/12</f>
        <v>2.8300887377079711</v>
      </c>
      <c r="GY4" s="59">
        <f t="shared" ref="GY4:GY67" si="29">GX4+(GP4+GQ4)*44/12</f>
        <v>260.71897762659682</v>
      </c>
      <c r="GZ4" s="59">
        <f ca="1">AVERAGE(OFFSET($GY$3,0,0,'Données projet'!$E$18+1,1))-AVERAGE(OFFSET($H$3,0,0,'Données projet'!$E$18+1,1))</f>
        <v>401.81944956556271</v>
      </c>
      <c r="HA4" s="59">
        <f>$HA$3</f>
        <v>292.20785523952651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262.25671355404057</v>
      </c>
      <c r="S5" s="59">
        <f ca="1">AVERAGE(OFFSET($R$3,0,0,'Données projet'!$E$9+1,1))-AVERAGE(OFFSET($H$3,0,0,'Données projet'!$E$9+1,1))</f>
        <v>384.05928630855732</v>
      </c>
      <c r="T5" s="59">
        <f t="shared" ref="T5:T68" si="34">$T$3</f>
        <v>279.93992813630513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10.16068376068376</v>
      </c>
      <c r="AI5" s="13">
        <f>IF('Données projet'!$A$62&gt;35,AI4+AH5-AQ4,IF(A5&lt;'Données projet'!$A$62,$AF$205^A5,IF(A5='Données projet'!$A$62,'Données projet'!$B$62,AI4+AH5-AQ4)))</f>
        <v>1.7838365117494384</v>
      </c>
      <c r="AJ5" s="13">
        <f>AI5*VLOOKUP('Données projet'!$B$10,Paramètres!$A$1:$I$89,3,0)*VLOOKUP('Données projet'!$B$10,Paramètres!$A$1:$I$89,5,0)</f>
        <v>0.99716461006793611</v>
      </c>
      <c r="AK5" s="13">
        <f t="shared" ref="AK5:AK68" si="35">EXP(-1.0587+0.8836*LN(AJ5)+0.284)</f>
        <v>0.4596872513511342</v>
      </c>
      <c r="AL5" s="20">
        <f t="shared" si="4"/>
        <v>2.5373503253048804</v>
      </c>
      <c r="AM5" s="59">
        <f t="shared" si="5"/>
        <v>261.64846143641603</v>
      </c>
      <c r="AN5" s="59">
        <f ca="1">AVERAGE(OFFSET($AM$3,0,0,'Données projet'!$E$10+1,1))-AVERAGE(OFFSET($H$3,0,0,'Données projet'!$E$10+1,1))</f>
        <v>335.04906256888819</v>
      </c>
      <c r="AO5" s="59">
        <f t="shared" ref="AO5:AO68" si="36">$AO$3</f>
        <v>440.84111898279554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7.6594017094017097</v>
      </c>
      <c r="BD5" s="12">
        <f>IF('Données projet'!$A$88&gt;35,BD4+BC5-BL4,IF(A5&lt;'Données projet'!$A$88,$BA$205^A5,IF(A5='Données projet'!$A$88,'Données projet'!$B$88,BD4+BC5-BL4)))</f>
        <v>1.7286958711503027</v>
      </c>
      <c r="BE5" s="13">
        <f>BD5*VLOOKUP('Données projet'!$B$11,Paramètres!$A$1:$I$89,3,0)*VLOOKUP('Données projet'!$B$11,Paramètres!$A$1:$I$89,5,0)</f>
        <v>0.98881403829797321</v>
      </c>
      <c r="BF5" s="13">
        <f t="shared" ref="BF5:BF68" si="37">EXP(-1.0587+0.8836*LN(BE5)+0.284)</f>
        <v>0.4562841114559042</v>
      </c>
      <c r="BG5" s="20">
        <f t="shared" si="7"/>
        <v>2.5168792774880031</v>
      </c>
      <c r="BH5" s="59">
        <f t="shared" si="8"/>
        <v>261.62799038859913</v>
      </c>
      <c r="BI5" s="59">
        <f ca="1">AVERAGE(OFFSET($BH$3,0,0,'Données projet'!$E$11+1,1))-AVERAGE(OFFSET($H$3,0,0,'Données projet'!$E$11+1,1))</f>
        <v>320.76883487964511</v>
      </c>
      <c r="BJ5" s="59">
        <f t="shared" ref="BJ5:BJ68" si="38">$BJ$3</f>
        <v>290.51177680335746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6.8</v>
      </c>
      <c r="BY5" s="12">
        <f>IF('Données projet'!$A$114&gt;35,BY4+BX5-CG4,IF(A5&lt;'Données projet'!$A$114,$BV$205^A5,IF(A5='Données projet'!$A$114,'Données projet'!$B$114,BY4+BX5-CG4)))</f>
        <v>4.0981850699807945</v>
      </c>
      <c r="BZ5" s="13">
        <f>BY5*VLOOKUP('Données projet'!$B$12,Paramètres!$A$1:$I$89,3,0)*VLOOKUP('Données projet'!$B$12,Paramètres!$A$1:$I$89,5,0)</f>
        <v>3.7080378513186227</v>
      </c>
      <c r="CA5" s="13">
        <f t="shared" ref="CA5:CA68" si="39">EXP(-1.0587+0.8836*LN(BZ5)+0.284)</f>
        <v>1.4670598901857457</v>
      </c>
      <c r="CB5" s="20">
        <f t="shared" si="10"/>
        <v>9.0132952331201093</v>
      </c>
      <c r="CC5" s="59">
        <f t="shared" si="11"/>
        <v>268.12440634423126</v>
      </c>
      <c r="CD5" s="59">
        <f ca="1">AVERAGE(OFFSET($CC$3,0,0,'Données projet'!$E$12+1,1))-AVERAGE(OFFSET($H$3,0,0,'Données projet'!$E$12+1,1))</f>
        <v>366.69125512029831</v>
      </c>
      <c r="CE5" s="59">
        <f t="shared" ref="CE5:CE68" si="40">$CE$3</f>
        <v>513.80016421153414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4.0628205128205126</v>
      </c>
      <c r="CT5" s="12">
        <f>IF('Données projet'!$A$140&gt;35,CT4+CS5-DB4,IF(A5&lt;'Données projet'!$A$140,$CQ$205^A5,IF(A5='Données projet'!$A$140,'Données projet'!$B$140,CT4+CS5-DB4)))</f>
        <v>1.3774100880908995</v>
      </c>
      <c r="CU5" s="17">
        <f>CT5*VLOOKUP('Données projet'!$B$13,Paramètres!$A$1:$I$89,3,0)*VLOOKUP('Données projet'!$B$13,Paramètres!$A$1:$I$89,5,0)</f>
        <v>0.92396668709137542</v>
      </c>
      <c r="CV5" s="13">
        <f t="shared" ref="CV5:CV68" si="41">EXP(-1.0587+0.8836*LN(CU5)+0.284)</f>
        <v>0.42974020171229532</v>
      </c>
      <c r="CW5" s="20">
        <f t="shared" si="13"/>
        <v>2.3577061646663928</v>
      </c>
      <c r="CX5" s="59">
        <f t="shared" si="14"/>
        <v>261.46881727577755</v>
      </c>
      <c r="CY5" s="59">
        <f ca="1">AVERAGE(OFFSET($CX$3,0,0,'Données projet'!$E$13+1,1))-AVERAGE(OFFSET($H$3,0,0,'Données projet'!$E$13+1,1))</f>
        <v>294.94331863127815</v>
      </c>
      <c r="CZ5" s="59">
        <f t="shared" ref="CZ5:CZ68" si="42">$CZ$3</f>
        <v>218.36990036643977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1.1866319007778094</v>
      </c>
      <c r="DQ5" s="13">
        <f t="shared" ref="DQ5:DQ68" si="43">EXP(-1.0587+0.8836*LN(DP5)+0.284)</f>
        <v>0.53606530474621483</v>
      </c>
      <c r="DR5" s="20">
        <f t="shared" si="16"/>
        <v>3.0003642996210083</v>
      </c>
      <c r="DS5" s="59">
        <f t="shared" si="17"/>
        <v>262.11147541073217</v>
      </c>
      <c r="DT5" s="59">
        <f ca="1">AVERAGE(OFFSET($DS$3,0,0,'Données projet'!$E$14+1,1))-AVERAGE(OFFSET($H$3,0,0,'Données projet'!$E$14+1,1))</f>
        <v>278.45534008146865</v>
      </c>
      <c r="DU5" s="59">
        <f t="shared" ref="DU5:DU68" si="44">$DU$3</f>
        <v>272.97841038165217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4.0628205128205126</v>
      </c>
      <c r="EJ5" s="12">
        <f>IF('Données projet'!$A$192&gt;35,EJ4+EI5-ER4,IF(A5&lt;'Données projet'!$A$192,$EG$205^A5,IF(A5='Données projet'!$A$192,'Données projet'!$B$192,EJ4+EI5-ER4)))</f>
        <v>1.3774100880908995</v>
      </c>
      <c r="EK5" s="17">
        <f>EJ5*VLOOKUP('Données projet'!$B$15,Paramètres!$A$1:$I$89,3,0)*VLOOKUP('Données projet'!$B$15,Paramètres!$A$1:$I$89,5,0)</f>
        <v>1.482644218821044</v>
      </c>
      <c r="EL5" s="13">
        <f t="shared" ref="EL5:EL68" si="45">EXP(-1.0587+0.8836*LN(EK5)+0.284)</f>
        <v>0.65264995524919645</v>
      </c>
      <c r="EM5" s="20">
        <f t="shared" si="19"/>
        <v>3.7189706865056689</v>
      </c>
      <c r="EN5" s="59">
        <f t="shared" si="20"/>
        <v>262.8300817976168</v>
      </c>
      <c r="EO5" s="59">
        <f ca="1">AVERAGE(OFFSET($EN$3,0,0,'Données projet'!$E$15+1,1))-AVERAGE(OFFSET($H$3,0,0,'Données projet'!$E$15+1,1))</f>
        <v>449.09332781196957</v>
      </c>
      <c r="EP5" s="59">
        <f t="shared" ref="EP5:EP68" si="46">$EP$3</f>
        <v>324.85904971519432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4.6333333333333337</v>
      </c>
      <c r="FE5" s="12">
        <f>IF('Données projet'!$A$218&gt;35,FE4+FD5-FM4,IF(A5&lt;'Données projet'!$A$218,$FB$205^A5,IF(A5='Données projet'!$A$218,'Données projet'!$B$218,FE4+FD5-FM4)))</f>
        <v>1.3374683678622197</v>
      </c>
      <c r="FF5" s="17">
        <f>FE5*VLOOKUP('Données projet'!$B$16,Paramètres!$A$1:$I$89,3,0)*VLOOKUP('Données projet'!$B$16,Paramètres!$A$1:$I$89,5,0)</f>
        <v>1.3561929250122908</v>
      </c>
      <c r="FG5" s="13">
        <f t="shared" ref="FG5:FG68" si="47">EXP(-1.0587+0.8836*LN(FF5)+0.284)</f>
        <v>0.6032138710255962</v>
      </c>
      <c r="FH5" s="20">
        <f t="shared" si="22"/>
        <v>3.41263350309932</v>
      </c>
      <c r="FI5" s="59">
        <f t="shared" si="23"/>
        <v>262.52374461421044</v>
      </c>
      <c r="FJ5" s="59">
        <f ca="1">AVERAGE(OFFSET($FI$3,0,0,'Données projet'!$E$16+1,1))-AVERAGE(OFFSET($H$3,0,0,'Données projet'!$E$16+1,1))</f>
        <v>419.51168383014721</v>
      </c>
      <c r="FK5" s="59">
        <f t="shared" ref="FK5:FK68" si="48">$FK$3</f>
        <v>213.44145308833384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2.4666666666666668</v>
      </c>
      <c r="FZ5" s="12">
        <f>IF('Données projet'!$A$244&gt;35,FZ4+FY5-GH4,IF(A5&lt;'Données projet'!$A$244,$FW$205^A5,IF(A5='Données projet'!$A$244,'Données projet'!$B$244,FZ4+FY5-GH4)))</f>
        <v>1.6184286699097237</v>
      </c>
      <c r="GA5" s="17">
        <f>FZ5*VLOOKUP('Données projet'!$B$17,Paramètres!$A$1:$I$89,3,0)*VLOOKUP('Données projet'!$B$17,Paramètres!$A$1:$I$89,5,0)</f>
        <v>1.4138592860331347</v>
      </c>
      <c r="GB5" s="13">
        <f t="shared" ref="GB5:GB68" si="49">EXP(-1.0587+0.8836*LN(GA5)+0.284)</f>
        <v>0.62582221171965613</v>
      </c>
      <c r="GC5" s="20">
        <f t="shared" si="25"/>
        <v>3.5524452752527771</v>
      </c>
      <c r="GD5" s="59">
        <f t="shared" si="26"/>
        <v>262.66355638636389</v>
      </c>
      <c r="GE5" s="59">
        <f ca="1">AVERAGE(OFFSET($GD$3,0,0,'Données projet'!$E$17+1,1))-AVERAGE(OFFSET($H$3,0,0,'Données projet'!$E$17+1,1))</f>
        <v>324.86930206492627</v>
      </c>
      <c r="GF5" s="59">
        <f t="shared" ref="GF5:GF68" si="50">$GF$3</f>
        <v>317.03005098025352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4.0628205128205126</v>
      </c>
      <c r="GU5" s="12">
        <f>IF('Données projet'!$A$270&gt;35,GU4+GT5-HC4,IF(A5&lt;'Données projet'!$A$270,$GR$205^A5,IF(A5='Données projet'!$A$270,'Données projet'!$B$270,GU4+GT5-HC4)))</f>
        <v>1.3774100880908995</v>
      </c>
      <c r="GV5" s="17">
        <f>GU5*VLOOKUP('Données projet'!$B$18,Paramètres!$A$1:$I$89,3,0)*VLOOKUP('Données projet'!$B$18,Paramètres!$A$1:$I$89,5,0)</f>
        <v>1.3107434398272999</v>
      </c>
      <c r="GW5" s="13">
        <f t="shared" ref="GW5:GW68" si="51">EXP(-1.0587+0.8836*LN(GV5)+0.284)</f>
        <v>0.58531640729586831</v>
      </c>
      <c r="GX5" s="20">
        <f t="shared" si="28"/>
        <v>3.3023042337395179</v>
      </c>
      <c r="GY5" s="59">
        <f t="shared" si="29"/>
        <v>262.41341534485065</v>
      </c>
      <c r="GZ5" s="59">
        <f ca="1">AVERAGE(OFFSET($GY$3,0,0,'Données projet'!$E$18+1,1))-AVERAGE(OFFSET($H$3,0,0,'Données projet'!$E$18+1,1))</f>
        <v>401.81944956556271</v>
      </c>
      <c r="HA5" s="59">
        <f t="shared" ref="HA5:HA68" si="52">$HA$3</f>
        <v>292.20785523952651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264.00398298764594</v>
      </c>
      <c r="S6" s="59">
        <f ca="1">AVERAGE(OFFSET($R$3,0,0,'Données projet'!$E$9+1,1))-AVERAGE(OFFSET($H$3,0,0,'Données projet'!$E$9+1,1))</f>
        <v>384.05928630855732</v>
      </c>
      <c r="T6" s="59">
        <f t="shared" si="34"/>
        <v>279.93992813630513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10.16068376068376</v>
      </c>
      <c r="AI6" s="13">
        <f>IF('Données projet'!$A$62&gt;35,AI5+AH6-AQ5,IF(A6&lt;'Données projet'!$A$62,$AF$205^A6,IF(A6='Données projet'!$A$62,'Données projet'!$B$62,AI5+AH6-AQ5)))</f>
        <v>2.3824981566543406</v>
      </c>
      <c r="AJ6" s="13">
        <f>AI6*VLOOKUP('Données projet'!$B$10,Paramètres!$A$1:$I$89,3,0)*VLOOKUP('Données projet'!$B$10,Paramètres!$A$1:$I$89,5,0)</f>
        <v>1.3318164695697763</v>
      </c>
      <c r="AK6" s="13">
        <f t="shared" si="35"/>
        <v>0.59362354768914927</v>
      </c>
      <c r="AL6" s="20">
        <f t="shared" si="4"/>
        <v>3.3534746967259621</v>
      </c>
      <c r="AM6" s="59">
        <f t="shared" si="5"/>
        <v>263.6868080300593</v>
      </c>
      <c r="AN6" s="59">
        <f ca="1">AVERAGE(OFFSET($AM$3,0,0,'Données projet'!$E$10+1,1))-AVERAGE(OFFSET($H$3,0,0,'Données projet'!$E$10+1,1))</f>
        <v>335.04906256888819</v>
      </c>
      <c r="AO6" s="59">
        <f t="shared" si="36"/>
        <v>440.84111898279554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7.6594017094017097</v>
      </c>
      <c r="BD6" s="12">
        <f>IF('Données projet'!$A$88&gt;35,BD5+BC6-BL5,IF(A6&lt;'Données projet'!$A$88,$BA$205^A6,IF(A6='Données projet'!$A$88,'Données projet'!$B$88,BD5+BC6-BL5)))</f>
        <v>2.2728872481894911</v>
      </c>
      <c r="BE6" s="13">
        <f>BD6*VLOOKUP('Données projet'!$B$11,Paramètres!$A$1:$I$89,3,0)*VLOOKUP('Données projet'!$B$11,Paramètres!$A$1:$I$89,5,0)</f>
        <v>1.3000915059643887</v>
      </c>
      <c r="BF6" s="13">
        <f t="shared" si="37"/>
        <v>0.58111143482153338</v>
      </c>
      <c r="BG6" s="20">
        <f t="shared" si="7"/>
        <v>3.2764284552021476</v>
      </c>
      <c r="BH6" s="59">
        <f t="shared" si="8"/>
        <v>263.60976178853548</v>
      </c>
      <c r="BI6" s="59">
        <f ca="1">AVERAGE(OFFSET($BH$3,0,0,'Données projet'!$E$11+1,1))-AVERAGE(OFFSET($H$3,0,0,'Données projet'!$E$11+1,1))</f>
        <v>320.76883487964511</v>
      </c>
      <c r="BJ6" s="59">
        <f t="shared" si="38"/>
        <v>290.51177680335746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6.8</v>
      </c>
      <c r="BY6" s="12">
        <f>IF('Données projet'!$A$114&gt;35,BY5+BX6-CG5,IF(A6&lt;'Données projet'!$A$114,$BV$205^A6,IF(A6='Données projet'!$A$114,'Données projet'!$B$114,BY5+BX6-CG5)))</f>
        <v>8.2963554401312951</v>
      </c>
      <c r="BZ6" s="13">
        <f>BY6*VLOOKUP('Données projet'!$B$12,Paramètres!$A$1:$I$89,3,0)*VLOOKUP('Données projet'!$B$12,Paramètres!$A$1:$I$89,5,0)</f>
        <v>7.5065424022307949</v>
      </c>
      <c r="CA6" s="13">
        <f t="shared" si="39"/>
        <v>2.7358406474604431</v>
      </c>
      <c r="CB6" s="20">
        <f t="shared" si="10"/>
        <v>17.838817144878906</v>
      </c>
      <c r="CC6" s="59">
        <f t="shared" si="11"/>
        <v>278.17215047821225</v>
      </c>
      <c r="CD6" s="59">
        <f ca="1">AVERAGE(OFFSET($CC$3,0,0,'Données projet'!$E$12+1,1))-AVERAGE(OFFSET($H$3,0,0,'Données projet'!$E$12+1,1))</f>
        <v>366.69125512029831</v>
      </c>
      <c r="CE6" s="59">
        <f t="shared" si="40"/>
        <v>513.80016421153414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4.0628205128205126</v>
      </c>
      <c r="CT6" s="12">
        <f>IF('Données projet'!$A$140&gt;35,CT5+CS6-DB5,IF(A6&lt;'Données projet'!$A$140,$CQ$205^A6,IF(A6='Données projet'!$A$140,'Données projet'!$B$140,CT5+CS6-DB5)))</f>
        <v>1.6165713926559588</v>
      </c>
      <c r="CU6" s="17">
        <f>CT6*VLOOKUP('Données projet'!$B$13,Paramètres!$A$1:$I$89,3,0)*VLOOKUP('Données projet'!$B$13,Paramètres!$A$1:$I$89,5,0)</f>
        <v>1.0843960901936172</v>
      </c>
      <c r="CV6" s="13">
        <f t="shared" si="41"/>
        <v>0.49504437636824505</v>
      </c>
      <c r="CW6" s="20">
        <f t="shared" si="13"/>
        <v>2.7508588125952431</v>
      </c>
      <c r="CX6" s="59">
        <f t="shared" si="14"/>
        <v>263.08419214592857</v>
      </c>
      <c r="CY6" s="59">
        <f ca="1">AVERAGE(OFFSET($CX$3,0,0,'Données projet'!$E$13+1,1))-AVERAGE(OFFSET($H$3,0,0,'Données projet'!$E$13+1,1))</f>
        <v>294.94331863127815</v>
      </c>
      <c r="CZ6" s="59">
        <f t="shared" si="42"/>
        <v>218.36990036643977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1.5096031768660487</v>
      </c>
      <c r="DQ6" s="13">
        <f t="shared" si="43"/>
        <v>0.66312474757151718</v>
      </c>
      <c r="DR6" s="20">
        <f t="shared" si="16"/>
        <v>3.7841678017287599</v>
      </c>
      <c r="DS6" s="59">
        <f t="shared" si="17"/>
        <v>264.11750113506207</v>
      </c>
      <c r="DT6" s="59">
        <f ca="1">AVERAGE(OFFSET($DS$3,0,0,'Données projet'!$E$14+1,1))-AVERAGE(OFFSET($H$3,0,0,'Données projet'!$E$14+1,1))</f>
        <v>278.45534008146865</v>
      </c>
      <c r="DU6" s="59">
        <f t="shared" si="44"/>
        <v>272.97841038165217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4.0628205128205126</v>
      </c>
      <c r="EJ6" s="12">
        <f>IF('Données projet'!$A$192&gt;35,EJ5+EI6-ER5,IF(A6&lt;'Données projet'!$A$192,$EG$205^A6,IF(A6='Données projet'!$A$192,'Données projet'!$B$192,EJ5+EI6-ER5)))</f>
        <v>1.6165713926559588</v>
      </c>
      <c r="EK6" s="17">
        <f>EJ6*VLOOKUP('Données projet'!$B$15,Paramètres!$A$1:$I$89,3,0)*VLOOKUP('Données projet'!$B$15,Paramètres!$A$1:$I$89,5,0)</f>
        <v>1.7400774470548741</v>
      </c>
      <c r="EL6" s="13">
        <f t="shared" si="45"/>
        <v>0.75182793882385246</v>
      </c>
      <c r="EM6" s="20">
        <f t="shared" si="19"/>
        <v>4.3400685470721152</v>
      </c>
      <c r="EN6" s="59">
        <f t="shared" si="20"/>
        <v>264.67340188040544</v>
      </c>
      <c r="EO6" s="59">
        <f ca="1">AVERAGE(OFFSET($EN$3,0,0,'Données projet'!$E$15+1,1))-AVERAGE(OFFSET($H$3,0,0,'Données projet'!$E$15+1,1))</f>
        <v>449.09332781196957</v>
      </c>
      <c r="EP6" s="59">
        <f t="shared" si="46"/>
        <v>324.85904971519432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4.6333333333333337</v>
      </c>
      <c r="FE6" s="12">
        <f>IF('Données projet'!$A$218&gt;35,FE5+FD6-FM5,IF(A6&lt;'Données projet'!$A$218,$FB$205^A6,IF(A6='Données projet'!$A$218,'Données projet'!$B$218,FE5+FD6-FM5)))</f>
        <v>1.5467683577714266</v>
      </c>
      <c r="FF6" s="17">
        <f>FE6*VLOOKUP('Données projet'!$B$16,Paramètres!$A$1:$I$89,3,0)*VLOOKUP('Données projet'!$B$16,Paramètres!$A$1:$I$89,5,0)</f>
        <v>1.5684231147802266</v>
      </c>
      <c r="FG6" s="13">
        <f t="shared" si="47"/>
        <v>0.68590406790810476</v>
      </c>
      <c r="FH6" s="20">
        <f t="shared" si="22"/>
        <v>3.9262865098488433</v>
      </c>
      <c r="FI6" s="59">
        <f t="shared" si="23"/>
        <v>264.25961984318218</v>
      </c>
      <c r="FJ6" s="59">
        <f ca="1">AVERAGE(OFFSET($FI$3,0,0,'Données projet'!$E$16+1,1))-AVERAGE(OFFSET($H$3,0,0,'Données projet'!$E$16+1,1))</f>
        <v>419.51168383014721</v>
      </c>
      <c r="FK6" s="59">
        <f t="shared" si="48"/>
        <v>213.44145308833384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2.4666666666666668</v>
      </c>
      <c r="FZ6" s="12">
        <f>IF('Données projet'!$A$244&gt;35,FZ5+FY6-GH5,IF(A6&lt;'Données projet'!$A$244,$FW$205^A6,IF(A6='Données projet'!$A$244,'Données projet'!$B$244,FZ5+FY6-GH5)))</f>
        <v>2.0589241364785171</v>
      </c>
      <c r="GA6" s="17">
        <f>FZ6*VLOOKUP('Données projet'!$B$17,Paramètres!$A$1:$I$89,3,0)*VLOOKUP('Données projet'!$B$17,Paramètres!$A$1:$I$89,5,0)</f>
        <v>1.7986761256276329</v>
      </c>
      <c r="GB6" s="13">
        <f t="shared" si="49"/>
        <v>0.77415604497611523</v>
      </c>
      <c r="GC6" s="20">
        <f t="shared" si="25"/>
        <v>4.4810160304681945</v>
      </c>
      <c r="GD6" s="59">
        <f t="shared" si="26"/>
        <v>264.81434936380151</v>
      </c>
      <c r="GE6" s="59">
        <f ca="1">AVERAGE(OFFSET($GD$3,0,0,'Données projet'!$E$17+1,1))-AVERAGE(OFFSET($H$3,0,0,'Données projet'!$E$17+1,1))</f>
        <v>324.86930206492627</v>
      </c>
      <c r="GF6" s="59">
        <f t="shared" si="50"/>
        <v>317.03005098025352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4.0628205128205126</v>
      </c>
      <c r="GU6" s="12">
        <f>IF('Données projet'!$A$270&gt;35,GU5+GT6-HC5,IF(A6&lt;'Données projet'!$A$270,$GR$205^A6,IF(A6='Données projet'!$A$270,'Données projet'!$B$270,GU5+GT6-HC5)))</f>
        <v>1.6165713926559588</v>
      </c>
      <c r="GV6" s="17">
        <f>GU6*VLOOKUP('Données projet'!$B$18,Paramètres!$A$1:$I$89,3,0)*VLOOKUP('Données projet'!$B$18,Paramètres!$A$1:$I$89,5,0)</f>
        <v>1.5383293372514104</v>
      </c>
      <c r="GW6" s="13">
        <f t="shared" si="51"/>
        <v>0.67426225117722005</v>
      </c>
      <c r="GX6" s="20">
        <f t="shared" si="28"/>
        <v>3.8535970165131981</v>
      </c>
      <c r="GY6" s="59">
        <f t="shared" si="29"/>
        <v>264.18693034984653</v>
      </c>
      <c r="GZ6" s="59">
        <f ca="1">AVERAGE(OFFSET($GY$3,0,0,'Données projet'!$E$18+1,1))-AVERAGE(OFFSET($H$3,0,0,'Données projet'!$E$18+1,1))</f>
        <v>401.81944956556271</v>
      </c>
      <c r="HA6" s="59">
        <f t="shared" si="52"/>
        <v>292.20785523952651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265.83920641728366</v>
      </c>
      <c r="S7" s="59">
        <f ca="1">AVERAGE(OFFSET($R$3,0,0,'Données projet'!$E$9+1,1))-AVERAGE(OFFSET($H$3,0,0,'Données projet'!$E$9+1,1))</f>
        <v>384.05928630855732</v>
      </c>
      <c r="T7" s="59">
        <f t="shared" si="34"/>
        <v>279.93992813630513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10.16068376068376</v>
      </c>
      <c r="AI7" s="13">
        <f>IF('Données projet'!$A$62&gt;35,AI6+AH7-AQ6,IF(A7&lt;'Données projet'!$A$62,$AF$205^A7,IF(A7='Données projet'!$A$62,'Données projet'!$B$62,AI6+AH7-AQ6)))</f>
        <v>3.1820727006504042</v>
      </c>
      <c r="AJ7" s="13">
        <f>AI7*VLOOKUP('Données projet'!$B$10,Paramètres!$A$1:$I$89,3,0)*VLOOKUP('Données projet'!$B$10,Paramètres!$A$1:$I$89,5,0)</f>
        <v>1.7787786396635761</v>
      </c>
      <c r="AK7" s="13">
        <f t="shared" si="35"/>
        <v>0.76658405325641277</v>
      </c>
      <c r="AL7" s="20">
        <f t="shared" si="4"/>
        <v>4.4331733568356464</v>
      </c>
      <c r="AM7" s="59">
        <f t="shared" si="5"/>
        <v>265.9887289123912</v>
      </c>
      <c r="AN7" s="59">
        <f ca="1">AVERAGE(OFFSET($AM$3,0,0,'Données projet'!$E$10+1,1))-AVERAGE(OFFSET($H$3,0,0,'Données projet'!$E$10+1,1))</f>
        <v>335.04906256888819</v>
      </c>
      <c r="AO7" s="59">
        <f t="shared" si="36"/>
        <v>440.84111898279554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7.6594017094017097</v>
      </c>
      <c r="BD7" s="12">
        <f>IF('Données projet'!$A$88&gt;35,BD6+BC7-BL6,IF(A7&lt;'Données projet'!$A$88,$BA$205^A7,IF(A7='Données projet'!$A$88,'Données projet'!$B$88,BD6+BC7-BL6)))</f>
        <v>2.988389414932104</v>
      </c>
      <c r="BE7" s="13">
        <f>BD7*VLOOKUP('Données projet'!$B$11,Paramètres!$A$1:$I$89,3,0)*VLOOKUP('Données projet'!$B$11,Paramètres!$A$1:$I$89,5,0)</f>
        <v>1.7093587453411636</v>
      </c>
      <c r="BF7" s="13">
        <f t="shared" si="37"/>
        <v>0.74008822836903909</v>
      </c>
      <c r="BG7" s="20">
        <f t="shared" si="7"/>
        <v>4.2661201458786024</v>
      </c>
      <c r="BH7" s="59">
        <f t="shared" si="8"/>
        <v>265.82167570143417</v>
      </c>
      <c r="BI7" s="59">
        <f ca="1">AVERAGE(OFFSET($BH$3,0,0,'Données projet'!$E$11+1,1))-AVERAGE(OFFSET($H$3,0,0,'Données projet'!$E$11+1,1))</f>
        <v>320.76883487964511</v>
      </c>
      <c r="BJ7" s="59">
        <f t="shared" si="38"/>
        <v>290.51177680335746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6.8</v>
      </c>
      <c r="BY7" s="12">
        <f>IF('Données projet'!$A$114&gt;35,BY6+BX7-CG6,IF(A7&lt;'Données projet'!$A$114,$BV$205^A7,IF(A7='Données projet'!$A$114,'Données projet'!$B$114,BY6+BX7-CG6)))</f>
        <v>16.795120867813488</v>
      </c>
      <c r="BZ7" s="13">
        <f>BY7*VLOOKUP('Données projet'!$B$12,Paramètres!$A$1:$I$89,3,0)*VLOOKUP('Données projet'!$B$12,Paramètres!$A$1:$I$89,5,0)</f>
        <v>15.196225361197643</v>
      </c>
      <c r="CA7" s="13">
        <f t="shared" si="39"/>
        <v>5.1019212633160578</v>
      </c>
      <c r="CB7" s="20">
        <f t="shared" si="10"/>
        <v>35.352605371028027</v>
      </c>
      <c r="CC7" s="59">
        <f t="shared" si="11"/>
        <v>296.90816092658355</v>
      </c>
      <c r="CD7" s="59">
        <f ca="1">AVERAGE(OFFSET($CC$3,0,0,'Données projet'!$E$12+1,1))-AVERAGE(OFFSET($H$3,0,0,'Données projet'!$E$12+1,1))</f>
        <v>366.69125512029831</v>
      </c>
      <c r="CE7" s="59">
        <f t="shared" si="40"/>
        <v>513.80016421153414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4.0628205128205126</v>
      </c>
      <c r="CT7" s="12">
        <f>IF('Données projet'!$A$140&gt;35,CT6+CS7-DB6,IF(A7&lt;'Données projet'!$A$140,$CQ$205^A7,IF(A7='Données projet'!$A$140,'Données projet'!$B$140,CT6+CS7-DB6)))</f>
        <v>1.8972585507745794</v>
      </c>
      <c r="CU7" s="17">
        <f>CT7*VLOOKUP('Données projet'!$B$13,Paramètres!$A$1:$I$89,3,0)*VLOOKUP('Données projet'!$B$13,Paramètres!$A$1:$I$89,5,0)</f>
        <v>1.2726810358595879</v>
      </c>
      <c r="CV7" s="13">
        <f t="shared" si="41"/>
        <v>0.57027230312023414</v>
      </c>
      <c r="CW7" s="20">
        <f t="shared" si="13"/>
        <v>3.2098103987231901</v>
      </c>
      <c r="CX7" s="59">
        <f t="shared" si="14"/>
        <v>264.76536595427871</v>
      </c>
      <c r="CY7" s="59">
        <f ca="1">AVERAGE(OFFSET($CX$3,0,0,'Données projet'!$E$13+1,1))-AVERAGE(OFFSET($H$3,0,0,'Données projet'!$E$13+1,1))</f>
        <v>294.94331863127815</v>
      </c>
      <c r="CZ7" s="59">
        <f t="shared" si="42"/>
        <v>218.36990036643977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1.9204790888482772</v>
      </c>
      <c r="DQ7" s="13">
        <f t="shared" si="43"/>
        <v>0.82030011446080875</v>
      </c>
      <c r="DR7" s="20">
        <f t="shared" si="16"/>
        <v>4.7735237790966574</v>
      </c>
      <c r="DS7" s="59">
        <f t="shared" si="17"/>
        <v>266.32907933465219</v>
      </c>
      <c r="DT7" s="59">
        <f ca="1">AVERAGE(OFFSET($DS$3,0,0,'Données projet'!$E$14+1,1))-AVERAGE(OFFSET($H$3,0,0,'Données projet'!$E$14+1,1))</f>
        <v>278.45534008146865</v>
      </c>
      <c r="DU7" s="59">
        <f t="shared" si="44"/>
        <v>272.97841038165217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4.0628205128205126</v>
      </c>
      <c r="EJ7" s="12">
        <f>IF('Données projet'!$A$192&gt;35,EJ6+EI7-ER6,IF(A7&lt;'Données projet'!$A$192,$EG$205^A7,IF(A7='Données projet'!$A$192,'Données projet'!$B$192,EJ6+EI7-ER6)))</f>
        <v>1.8972585507745794</v>
      </c>
      <c r="EK7" s="17">
        <f>EJ7*VLOOKUP('Données projet'!$B$15,Paramètres!$A$1:$I$89,3,0)*VLOOKUP('Données projet'!$B$15,Paramètres!$A$1:$I$89,5,0)</f>
        <v>2.0422091040537573</v>
      </c>
      <c r="EL7" s="13">
        <f t="shared" si="45"/>
        <v>0.86607720578223124</v>
      </c>
      <c r="EM7" s="20">
        <f t="shared" si="19"/>
        <v>5.0652653229643461</v>
      </c>
      <c r="EN7" s="59">
        <f t="shared" si="20"/>
        <v>266.62082087851991</v>
      </c>
      <c r="EO7" s="59">
        <f ca="1">AVERAGE(OFFSET($EN$3,0,0,'Données projet'!$E$15+1,1))-AVERAGE(OFFSET($H$3,0,0,'Données projet'!$E$15+1,1))</f>
        <v>449.09332781196957</v>
      </c>
      <c r="EP7" s="59">
        <f t="shared" si="46"/>
        <v>324.85904971519432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4.6333333333333337</v>
      </c>
      <c r="FE7" s="12">
        <f>IF('Données projet'!$A$218&gt;35,FE6+FD7-FM6,IF(A7&lt;'Données projet'!$A$218,$FB$205^A7,IF(A7='Données projet'!$A$218,'Données projet'!$B$218,FE6+FD7-FM6)))</f>
        <v>1.7888216350320298</v>
      </c>
      <c r="FF7" s="17">
        <f>FE7*VLOOKUP('Données projet'!$B$16,Paramètres!$A$1:$I$89,3,0)*VLOOKUP('Données projet'!$B$16,Paramètres!$A$1:$I$89,5,0)</f>
        <v>1.8138651379224782</v>
      </c>
      <c r="FG7" s="13">
        <f t="shared" si="47"/>
        <v>0.77992966171847677</v>
      </c>
      <c r="FH7" s="20">
        <f t="shared" si="22"/>
        <v>4.517525942707997</v>
      </c>
      <c r="FI7" s="59">
        <f t="shared" si="23"/>
        <v>266.07308149826355</v>
      </c>
      <c r="FJ7" s="59">
        <f ca="1">AVERAGE(OFFSET($FI$3,0,0,'Données projet'!$E$16+1,1))-AVERAGE(OFFSET($H$3,0,0,'Données projet'!$E$16+1,1))</f>
        <v>419.51168383014721</v>
      </c>
      <c r="FK7" s="59">
        <f t="shared" si="48"/>
        <v>213.44145308833384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2.4666666666666668</v>
      </c>
      <c r="FZ7" s="12">
        <f>IF('Données projet'!$A$244&gt;35,FZ6+FY7-GH6,IF(A7&lt;'Données projet'!$A$244,$FW$205^A7,IF(A7='Données projet'!$A$244,'Données projet'!$B$244,FZ6+FY7-GH6)))</f>
        <v>2.6193113595857573</v>
      </c>
      <c r="GA7" s="17">
        <f>FZ7*VLOOKUP('Données projet'!$B$17,Paramètres!$A$1:$I$89,3,0)*VLOOKUP('Données projet'!$B$17,Paramètres!$A$1:$I$89,5,0)</f>
        <v>2.2882304037341177</v>
      </c>
      <c r="GB7" s="13">
        <f t="shared" si="49"/>
        <v>0.95764830769786036</v>
      </c>
      <c r="GC7" s="20">
        <f t="shared" si="25"/>
        <v>5.6532387557440282</v>
      </c>
      <c r="GD7" s="59">
        <f t="shared" si="26"/>
        <v>267.20879431129958</v>
      </c>
      <c r="GE7" s="59">
        <f ca="1">AVERAGE(OFFSET($GD$3,0,0,'Données projet'!$E$17+1,1))-AVERAGE(OFFSET($H$3,0,0,'Données projet'!$E$17+1,1))</f>
        <v>324.86930206492627</v>
      </c>
      <c r="GF7" s="59">
        <f t="shared" si="50"/>
        <v>317.03005098025352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4.0628205128205126</v>
      </c>
      <c r="GU7" s="12">
        <f>IF('Données projet'!$A$270&gt;35,GU6+GT7-HC6,IF(A7&lt;'Données projet'!$A$270,$GR$205^A7,IF(A7='Données projet'!$A$270,'Données projet'!$B$270,GU6+GT7-HC6)))</f>
        <v>1.8972585507745794</v>
      </c>
      <c r="GV7" s="17">
        <f>GU7*VLOOKUP('Données projet'!$B$18,Paramètres!$A$1:$I$89,3,0)*VLOOKUP('Données projet'!$B$18,Paramètres!$A$1:$I$89,5,0)</f>
        <v>1.80543123691709</v>
      </c>
      <c r="GW7" s="13">
        <f t="shared" si="51"/>
        <v>0.77672448217014423</v>
      </c>
      <c r="GX7" s="20">
        <f t="shared" si="28"/>
        <v>4.4972545440769327</v>
      </c>
      <c r="GY7" s="59">
        <f t="shared" si="29"/>
        <v>266.0528100996325</v>
      </c>
      <c r="GZ7" s="59">
        <f ca="1">AVERAGE(OFFSET($GY$3,0,0,'Données projet'!$E$18+1,1))-AVERAGE(OFFSET($H$3,0,0,'Données projet'!$E$18+1,1))</f>
        <v>401.81944956556271</v>
      </c>
      <c r="HA7" s="59">
        <f t="shared" si="52"/>
        <v>292.20785523952651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267.77716751414522</v>
      </c>
      <c r="S8" s="59">
        <f ca="1">AVERAGE(OFFSET($R$3,0,0,'Données projet'!$E$9+1,1))-AVERAGE(OFFSET($H$3,0,0,'Données projet'!$E$9+1,1))</f>
        <v>384.05928630855732</v>
      </c>
      <c r="T8" s="59">
        <f t="shared" si="34"/>
        <v>279.93992813630513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10.16068376068376</v>
      </c>
      <c r="AI8" s="13">
        <f>IF('Données projet'!$A$62&gt;35,AI7+AH8-AQ7,IF(A8&lt;'Données projet'!$A$62,$AF$205^A8,IF(A8='Données projet'!$A$62,'Données projet'!$B$62,AI7+AH8-AQ7)))</f>
        <v>4.2499872010157462</v>
      </c>
      <c r="AJ8" s="13">
        <f>AI8*VLOOKUP('Données projet'!$B$10,Paramètres!$A$1:$I$89,3,0)*VLOOKUP('Données projet'!$B$10,Paramètres!$A$1:$I$89,5,0)</f>
        <v>2.3757428453678022</v>
      </c>
      <c r="AK8" s="13">
        <f t="shared" si="35"/>
        <v>0.98993901605593615</v>
      </c>
      <c r="AL8" s="20">
        <f t="shared" si="4"/>
        <v>5.8618959086463436</v>
      </c>
      <c r="AM8" s="59">
        <f t="shared" si="5"/>
        <v>268.63967368642409</v>
      </c>
      <c r="AN8" s="59">
        <f ca="1">AVERAGE(OFFSET($AM$3,0,0,'Données projet'!$E$10+1,1))-AVERAGE(OFFSET($H$3,0,0,'Données projet'!$E$10+1,1))</f>
        <v>335.04906256888819</v>
      </c>
      <c r="AO8" s="59">
        <f t="shared" si="36"/>
        <v>440.84111898279554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7.6594017094017097</v>
      </c>
      <c r="BD8" s="12">
        <f>IF('Données projet'!$A$88&gt;35,BD7+BC8-BL7,IF(A8&lt;'Données projet'!$A$88,$BA$205^A8,IF(A8='Données projet'!$A$88,'Données projet'!$B$88,BD7+BC8-BL7)))</f>
        <v>3.9291308015353463</v>
      </c>
      <c r="BE8" s="13">
        <f>BD8*VLOOKUP('Données projet'!$B$11,Paramètres!$A$1:$I$89,3,0)*VLOOKUP('Données projet'!$B$11,Paramètres!$A$1:$I$89,5,0)</f>
        <v>2.2474628184782182</v>
      </c>
      <c r="BF8" s="13">
        <f t="shared" si="37"/>
        <v>0.94255688831633089</v>
      </c>
      <c r="BG8" s="20">
        <f t="shared" si="7"/>
        <v>5.5559509893338399</v>
      </c>
      <c r="BH8" s="59">
        <f t="shared" si="8"/>
        <v>268.33372876711161</v>
      </c>
      <c r="BI8" s="59">
        <f ca="1">AVERAGE(OFFSET($BH$3,0,0,'Données projet'!$E$11+1,1))-AVERAGE(OFFSET($H$3,0,0,'Données projet'!$E$11+1,1))</f>
        <v>320.76883487964511</v>
      </c>
      <c r="BJ8" s="59">
        <f t="shared" si="38"/>
        <v>290.51177680335746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>
        <f>VLOOKUP(A8,'Données projet'!$A$113:$I$133,2,0)</f>
        <v>34</v>
      </c>
      <c r="BW8" s="12">
        <f>VLOOKUP(A8,'Données projet'!$A$113:$I$133,9,0)</f>
        <v>6.8</v>
      </c>
      <c r="BX8" s="12">
        <f t="array" ref="BX8">INDEX(BW:BW,MIN(IF(ISNUMBER(BW8:BW204),ROW(BW8:BW204),"")))</f>
        <v>6.8</v>
      </c>
      <c r="BY8" s="12">
        <f>IF('Données projet'!$A$114&gt;35,BY7+BX8-CG7,IF(A8&lt;'Données projet'!$A$114,$BV$205^A8,IF(A8='Données projet'!$A$114,'Données projet'!$B$114,BY7+BX8-CG7)))</f>
        <v>34</v>
      </c>
      <c r="BZ8" s="13">
        <f>BY8*VLOOKUP('Données projet'!$B$12,Paramètres!$A$1:$I$89,3,0)*VLOOKUP('Données projet'!$B$12,Paramètres!$A$1:$I$89,5,0)</f>
        <v>30.763199999999998</v>
      </c>
      <c r="CA8" s="13">
        <f t="shared" si="39"/>
        <v>9.5142970411082253</v>
      </c>
      <c r="CB8" s="20">
        <f t="shared" si="10"/>
        <v>70.149974013263474</v>
      </c>
      <c r="CC8" s="59">
        <f t="shared" si="11"/>
        <v>332.92775179104126</v>
      </c>
      <c r="CD8" s="59">
        <f ca="1">AVERAGE(OFFSET($CC$3,0,0,'Données projet'!$E$12+1,1))-AVERAGE(OFFSET($H$3,0,0,'Données projet'!$E$12+1,1))</f>
        <v>366.69125512029831</v>
      </c>
      <c r="CE8" s="59">
        <f t="shared" si="40"/>
        <v>513.80016421153414</v>
      </c>
      <c r="CF8" s="15">
        <f>IF(ISNA(VLOOKUP(A8,'Données projet'!$A$113:$I$133,3,0)),0,VLOOKUP(A8,'Données projet'!$A$113:$I$133,3,0))</f>
        <v>1</v>
      </c>
      <c r="CG8" s="15">
        <f>IF(ISNA(VLOOKUP(A8,'Données projet'!$A$113:$I$133,4,0)),0,VLOOKUP(A8,'Données projet'!$A$113:$I$133,4,0))</f>
        <v>6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4.0628205128205126</v>
      </c>
      <c r="CT8" s="12">
        <f>IF('Données projet'!$A$140&gt;35,CT7+CS8-DB7,IF(A8&lt;'Données projet'!$A$140,$CQ$205^A8,IF(A8='Données projet'!$A$140,'Données projet'!$B$140,CT7+CS8-DB7)))</f>
        <v>2.2266817443634719</v>
      </c>
      <c r="CU8" s="17">
        <f>CT8*VLOOKUP('Données projet'!$B$13,Paramètres!$A$1:$I$89,3,0)*VLOOKUP('Données projet'!$B$13,Paramètres!$A$1:$I$89,5,0)</f>
        <v>1.4936581141190168</v>
      </c>
      <c r="CV8" s="13">
        <f t="shared" si="41"/>
        <v>0.65693201504857468</v>
      </c>
      <c r="CW8" s="20">
        <f t="shared" si="13"/>
        <v>3.7456111416335549</v>
      </c>
      <c r="CX8" s="59">
        <f t="shared" si="14"/>
        <v>266.52338891941133</v>
      </c>
      <c r="CY8" s="59">
        <f ca="1">AVERAGE(OFFSET($CX$3,0,0,'Données projet'!$E$13+1,1))-AVERAGE(OFFSET($H$3,0,0,'Données projet'!$E$13+1,1))</f>
        <v>294.94331863127815</v>
      </c>
      <c r="CZ8" s="59">
        <f t="shared" si="42"/>
        <v>218.36990036643977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2.4431850616268127</v>
      </c>
      <c r="DQ8" s="13">
        <f t="shared" si="43"/>
        <v>1.0147295516396715</v>
      </c>
      <c r="DR8" s="20">
        <f t="shared" si="16"/>
        <v>6.0225346181057935</v>
      </c>
      <c r="DS8" s="59">
        <f t="shared" si="17"/>
        <v>268.80031239588357</v>
      </c>
      <c r="DT8" s="59">
        <f ca="1">AVERAGE(OFFSET($DS$3,0,0,'Données projet'!$E$14+1,1))-AVERAGE(OFFSET($H$3,0,0,'Données projet'!$E$14+1,1))</f>
        <v>278.45534008146865</v>
      </c>
      <c r="DU8" s="59">
        <f t="shared" si="44"/>
        <v>272.97841038165217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4.0628205128205126</v>
      </c>
      <c r="EJ8" s="12">
        <f>IF('Données projet'!$A$192&gt;35,EJ7+EI8-ER7,IF(A8&lt;'Données projet'!$A$192,$EG$205^A8,IF(A8='Données projet'!$A$192,'Données projet'!$B$192,EJ7+EI8-ER7)))</f>
        <v>2.2266817443634719</v>
      </c>
      <c r="EK8" s="17">
        <f>EJ8*VLOOKUP('Données projet'!$B$15,Paramètres!$A$1:$I$89,3,0)*VLOOKUP('Données projet'!$B$15,Paramètres!$A$1:$I$89,5,0)</f>
        <v>2.396800229632841</v>
      </c>
      <c r="EL8" s="13">
        <f t="shared" si="45"/>
        <v>0.99768801828379172</v>
      </c>
      <c r="EM8" s="20">
        <f t="shared" si="19"/>
        <v>5.9120670317881361</v>
      </c>
      <c r="EN8" s="59">
        <f t="shared" si="20"/>
        <v>268.6898448095659</v>
      </c>
      <c r="EO8" s="59">
        <f ca="1">AVERAGE(OFFSET($EN$3,0,0,'Données projet'!$E$15+1,1))-AVERAGE(OFFSET($H$3,0,0,'Données projet'!$E$15+1,1))</f>
        <v>449.09332781196957</v>
      </c>
      <c r="EP8" s="59">
        <f t="shared" si="46"/>
        <v>324.85904971519432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4.6333333333333337</v>
      </c>
      <c r="FE8" s="12">
        <f>IF('Données projet'!$A$218&gt;35,FE7+FD8-FM7,IF(A8&lt;'Données projet'!$A$218,$FB$205^A8,IF(A8='Données projet'!$A$218,'Données projet'!$B$218,FE7+FD8-FM7)))</f>
        <v>2.068753750929476</v>
      </c>
      <c r="FF8" s="17">
        <f>FE8*VLOOKUP('Données projet'!$B$16,Paramètres!$A$1:$I$89,3,0)*VLOOKUP('Données projet'!$B$16,Paramètres!$A$1:$I$89,5,0)</f>
        <v>2.097716303442489</v>
      </c>
      <c r="FG8" s="13">
        <f t="shared" si="47"/>
        <v>0.88684453947544517</v>
      </c>
      <c r="FH8" s="20">
        <f t="shared" si="22"/>
        <v>5.1981101347487355</v>
      </c>
      <c r="FI8" s="59">
        <f t="shared" si="23"/>
        <v>267.9758879125265</v>
      </c>
      <c r="FJ8" s="59">
        <f ca="1">AVERAGE(OFFSET($FI$3,0,0,'Données projet'!$E$16+1,1))-AVERAGE(OFFSET($H$3,0,0,'Données projet'!$E$16+1,1))</f>
        <v>419.51168383014721</v>
      </c>
      <c r="FK8" s="59">
        <f t="shared" si="48"/>
        <v>213.44145308833384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2.4666666666666668</v>
      </c>
      <c r="FZ8" s="12">
        <f>IF('Données projet'!$A$244&gt;35,FZ7+FY8-GH7,IF(A8&lt;'Données projet'!$A$244,$FW$205^A8,IF(A8='Données projet'!$A$244,'Données projet'!$B$244,FZ7+FY8-GH7)))</f>
        <v>3.332221851645953</v>
      </c>
      <c r="GA8" s="17">
        <f>FZ8*VLOOKUP('Données projet'!$B$17,Paramètres!$A$1:$I$89,3,0)*VLOOKUP('Données projet'!$B$17,Paramètres!$A$1:$I$89,5,0)</f>
        <v>2.9110290095979048</v>
      </c>
      <c r="GB8" s="13">
        <f t="shared" si="49"/>
        <v>1.1846323324451606</v>
      </c>
      <c r="GC8" s="20">
        <f t="shared" si="25"/>
        <v>7.133276837391672</v>
      </c>
      <c r="GD8" s="59">
        <f t="shared" si="26"/>
        <v>269.91105461516946</v>
      </c>
      <c r="GE8" s="59">
        <f ca="1">AVERAGE(OFFSET($GD$3,0,0,'Données projet'!$E$17+1,1))-AVERAGE(OFFSET($H$3,0,0,'Données projet'!$E$17+1,1))</f>
        <v>324.86930206492627</v>
      </c>
      <c r="GF8" s="59">
        <f t="shared" si="50"/>
        <v>317.03005098025352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4.0628205128205126</v>
      </c>
      <c r="GU8" s="12">
        <f>IF('Données projet'!$A$270&gt;35,GU7+GT8-HC7,IF(A8&lt;'Données projet'!$A$270,$GR$205^A8,IF(A8='Données projet'!$A$270,'Données projet'!$B$270,GU7+GT8-HC7)))</f>
        <v>2.2266817443634719</v>
      </c>
      <c r="GV8" s="17">
        <f>GU8*VLOOKUP('Données projet'!$B$18,Paramètres!$A$1:$I$89,3,0)*VLOOKUP('Données projet'!$B$18,Paramètres!$A$1:$I$89,5,0)</f>
        <v>2.1189103479362799</v>
      </c>
      <c r="GW8" s="13">
        <f t="shared" si="51"/>
        <v>0.89475707730805443</v>
      </c>
      <c r="GX8" s="20">
        <f t="shared" si="28"/>
        <v>5.2488040989672156</v>
      </c>
      <c r="GY8" s="59">
        <f t="shared" si="29"/>
        <v>268.02658187674501</v>
      </c>
      <c r="GZ8" s="59">
        <f ca="1">AVERAGE(OFFSET($GY$3,0,0,'Données projet'!$E$18+1,1))-AVERAGE(OFFSET($H$3,0,0,'Données projet'!$E$18+1,1))</f>
        <v>401.81944956556271</v>
      </c>
      <c r="HA8" s="59">
        <f t="shared" si="52"/>
        <v>292.20785523952651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269.83514271569811</v>
      </c>
      <c r="S9" s="59">
        <f ca="1">AVERAGE(OFFSET($R$3,0,0,'Données projet'!$E$9+1,1))-AVERAGE(OFFSET($H$3,0,0,'Données projet'!$E$9+1,1))</f>
        <v>384.05928630855732</v>
      </c>
      <c r="T9" s="59">
        <f t="shared" si="34"/>
        <v>279.93992813630513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10.16068376068376</v>
      </c>
      <c r="AI9" s="13">
        <f>IF('Données projet'!$A$62&gt;35,AI8+AH9-AQ8,IF(A9&lt;'Données projet'!$A$62,$AF$205^A9,IF(A9='Données projet'!$A$62,'Données projet'!$B$62,AI8+AH9-AQ8)))</f>
        <v>5.6762974664613317</v>
      </c>
      <c r="AJ9" s="13">
        <f>AI9*VLOOKUP('Données projet'!$B$10,Paramètres!$A$1:$I$89,3,0)*VLOOKUP('Données projet'!$B$10,Paramètres!$A$1:$I$89,5,0)</f>
        <v>3.1730502837518846</v>
      </c>
      <c r="AK9" s="13">
        <f t="shared" si="35"/>
        <v>1.27837156453606</v>
      </c>
      <c r="AL9" s="20">
        <f t="shared" si="4"/>
        <v>7.7528930524348363</v>
      </c>
      <c r="AM9" s="59">
        <f t="shared" si="5"/>
        <v>271.75289305243484</v>
      </c>
      <c r="AN9" s="59">
        <f ca="1">AVERAGE(OFFSET($AM$3,0,0,'Données projet'!$E$10+1,1))-AVERAGE(OFFSET($H$3,0,0,'Données projet'!$E$10+1,1))</f>
        <v>335.04906256888819</v>
      </c>
      <c r="AO9" s="59">
        <f t="shared" si="36"/>
        <v>440.84111898279554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7.6594017094017097</v>
      </c>
      <c r="BD9" s="12">
        <f>IF('Données projet'!$A$88&gt;35,BD8+BC9-BL8,IF(A9&lt;'Données projet'!$A$88,$BA$205^A9,IF(A9='Données projet'!$A$88,'Données projet'!$B$88,BD8+BC9-BL8)))</f>
        <v>5.1660164429823965</v>
      </c>
      <c r="BE9" s="13">
        <f>BD9*VLOOKUP('Données projet'!$B$11,Paramètres!$A$1:$I$89,3,0)*VLOOKUP('Données projet'!$B$11,Paramètres!$A$1:$I$89,5,0)</f>
        <v>2.954961405385931</v>
      </c>
      <c r="BF9" s="13">
        <f t="shared" si="37"/>
        <v>1.2004156445919905</v>
      </c>
      <c r="BG9" s="20">
        <f t="shared" si="7"/>
        <v>7.237281695378214</v>
      </c>
      <c r="BH9" s="59">
        <f t="shared" si="8"/>
        <v>271.23728169537821</v>
      </c>
      <c r="BI9" s="59">
        <f ca="1">AVERAGE(OFFSET($BH$3,0,0,'Données projet'!$E$11+1,1))-AVERAGE(OFFSET($H$3,0,0,'Données projet'!$E$11+1,1))</f>
        <v>320.76883487964511</v>
      </c>
      <c r="BJ9" s="59">
        <f t="shared" si="38"/>
        <v>290.51177680335746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14.2</v>
      </c>
      <c r="BY9" s="12">
        <f>IF('Données projet'!$A$114&gt;35,BY8+BX9-CG8,IF(A9&lt;'Données projet'!$A$114,$BV$205^A9,IF(A9='Données projet'!$A$114,'Données projet'!$B$114,BY8+BX9-CG8)))</f>
        <v>42.2</v>
      </c>
      <c r="BZ9" s="13">
        <f>BY9*VLOOKUP('Données projet'!$B$12,Paramètres!$A$1:$I$89,3,0)*VLOOKUP('Données projet'!$B$12,Paramètres!$A$1:$I$89,5,0)</f>
        <v>38.182560000000002</v>
      </c>
      <c r="CA9" s="13">
        <f t="shared" si="39"/>
        <v>11.515638334288104</v>
      </c>
      <c r="CB9" s="20">
        <f t="shared" si="10"/>
        <v>86.557695432218452</v>
      </c>
      <c r="CC9" s="59">
        <f t="shared" si="11"/>
        <v>350.55769543221845</v>
      </c>
      <c r="CD9" s="59">
        <f ca="1">AVERAGE(OFFSET($CC$3,0,0,'Données projet'!$E$12+1,1))-AVERAGE(OFFSET($H$3,0,0,'Données projet'!$E$12+1,1))</f>
        <v>366.69125512029831</v>
      </c>
      <c r="CE9" s="59">
        <f t="shared" si="40"/>
        <v>513.80016421153414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4.0628205128205126</v>
      </c>
      <c r="CT9" s="12">
        <f>IF('Données projet'!$A$140&gt;35,CT8+CS9-DB8,IF(A9&lt;'Données projet'!$A$140,$CQ$205^A9,IF(A9='Données projet'!$A$140,'Données projet'!$B$140,CT8+CS9-DB8)))</f>
        <v>2.6133030675536255</v>
      </c>
      <c r="CU9" s="17">
        <f>CT9*VLOOKUP('Données projet'!$B$13,Paramètres!$A$1:$I$89,3,0)*VLOOKUP('Données projet'!$B$13,Paramètres!$A$1:$I$89,5,0)</f>
        <v>1.7530036977149719</v>
      </c>
      <c r="CV9" s="13">
        <f t="shared" si="41"/>
        <v>0.75676070893590697</v>
      </c>
      <c r="CW9" s="20">
        <f t="shared" si="13"/>
        <v>4.3711730082502802</v>
      </c>
      <c r="CX9" s="59">
        <f t="shared" si="14"/>
        <v>268.37117300825025</v>
      </c>
      <c r="CY9" s="59">
        <f ca="1">AVERAGE(OFFSET($CX$3,0,0,'Données projet'!$E$13+1,1))-AVERAGE(OFFSET($H$3,0,0,'Données projet'!$E$13+1,1))</f>
        <v>294.94331863127815</v>
      </c>
      <c r="CZ9" s="59">
        <f t="shared" si="42"/>
        <v>218.36990036643977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3.1081584173541552</v>
      </c>
      <c r="DQ9" s="13">
        <f t="shared" si="43"/>
        <v>1.2552431053208675</v>
      </c>
      <c r="DR9" s="20">
        <f t="shared" si="16"/>
        <v>7.5995909853256647</v>
      </c>
      <c r="DS9" s="59">
        <f t="shared" si="17"/>
        <v>271.59959098532568</v>
      </c>
      <c r="DT9" s="59">
        <f ca="1">AVERAGE(OFFSET($DS$3,0,0,'Données projet'!$E$14+1,1))-AVERAGE(OFFSET($H$3,0,0,'Données projet'!$E$14+1,1))</f>
        <v>278.45534008146865</v>
      </c>
      <c r="DU9" s="59">
        <f t="shared" si="44"/>
        <v>272.97841038165217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4.0628205128205126</v>
      </c>
      <c r="EJ9" s="12">
        <f>IF('Données projet'!$A$192&gt;35,EJ8+EI9-ER8,IF(A9&lt;'Données projet'!$A$192,$EG$205^A9,IF(A9='Données projet'!$A$192,'Données projet'!$B$192,EJ8+EI9-ER8)))</f>
        <v>2.6133030675536255</v>
      </c>
      <c r="EK9" s="17">
        <f>EJ9*VLOOKUP('Données projet'!$B$15,Paramètres!$A$1:$I$89,3,0)*VLOOKUP('Données projet'!$B$15,Paramètres!$A$1:$I$89,5,0)</f>
        <v>2.8129594219147225</v>
      </c>
      <c r="EL9" s="13">
        <f t="shared" si="45"/>
        <v>1.14929867127495</v>
      </c>
      <c r="EM9" s="20">
        <f t="shared" si="19"/>
        <v>6.9009328456386783</v>
      </c>
      <c r="EN9" s="59">
        <f t="shared" si="20"/>
        <v>270.90093284563869</v>
      </c>
      <c r="EO9" s="59">
        <f ca="1">AVERAGE(OFFSET($EN$3,0,0,'Données projet'!$E$15+1,1))-AVERAGE(OFFSET($H$3,0,0,'Données projet'!$E$15+1,1))</f>
        <v>449.09332781196957</v>
      </c>
      <c r="EP9" s="59">
        <f t="shared" si="46"/>
        <v>324.85904971519432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4.6333333333333337</v>
      </c>
      <c r="FE9" s="12">
        <f>IF('Données projet'!$A$218&gt;35,FE8+FD9-FM8,IF(A9&lt;'Données projet'!$A$218,$FB$205^A9,IF(A9='Données projet'!$A$218,'Données projet'!$B$218,FE8+FD9-FM8)))</f>
        <v>2.392492352602916</v>
      </c>
      <c r="FF9" s="17">
        <f>FE9*VLOOKUP('Données projet'!$B$16,Paramètres!$A$1:$I$89,3,0)*VLOOKUP('Données projet'!$B$16,Paramètres!$A$1:$I$89,5,0)</f>
        <v>2.425987245539357</v>
      </c>
      <c r="FG9" s="13">
        <f t="shared" si="47"/>
        <v>1.008415599253496</v>
      </c>
      <c r="FH9" s="20">
        <f t="shared" si="22"/>
        <v>5.9815849546808861</v>
      </c>
      <c r="FI9" s="59">
        <f t="shared" si="23"/>
        <v>269.9815849546809</v>
      </c>
      <c r="FJ9" s="59">
        <f ca="1">AVERAGE(OFFSET($FI$3,0,0,'Données projet'!$E$16+1,1))-AVERAGE(OFFSET($H$3,0,0,'Données projet'!$E$16+1,1))</f>
        <v>419.51168383014721</v>
      </c>
      <c r="FK9" s="59">
        <f t="shared" si="48"/>
        <v>213.44145308833384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2.4666666666666668</v>
      </c>
      <c r="FZ9" s="12">
        <f>IF('Données projet'!$A$244&gt;35,FZ8+FY9-GH8,IF(A9&lt;'Données projet'!$A$244,$FW$205^A9,IF(A9='Données projet'!$A$244,'Données projet'!$B$244,FZ8+FY9-GH8)))</f>
        <v>4.2391685997738069</v>
      </c>
      <c r="GA9" s="17">
        <f>FZ9*VLOOKUP('Données projet'!$B$17,Paramètres!$A$1:$I$89,3,0)*VLOOKUP('Données projet'!$B$17,Paramètres!$A$1:$I$89,5,0)</f>
        <v>3.7033376887623981</v>
      </c>
      <c r="GB9" s="13">
        <f t="shared" si="49"/>
        <v>1.4654166376047331</v>
      </c>
      <c r="GC9" s="20">
        <f t="shared" si="25"/>
        <v>9.002247118422753</v>
      </c>
      <c r="GD9" s="59">
        <f t="shared" si="26"/>
        <v>273.00224711842276</v>
      </c>
      <c r="GE9" s="59">
        <f ca="1">AVERAGE(OFFSET($GD$3,0,0,'Données projet'!$E$17+1,1))-AVERAGE(OFFSET($H$3,0,0,'Données projet'!$E$17+1,1))</f>
        <v>324.86930206492627</v>
      </c>
      <c r="GF9" s="59">
        <f t="shared" si="50"/>
        <v>317.03005098025352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4.0628205128205126</v>
      </c>
      <c r="GU9" s="12">
        <f>IF('Données projet'!$A$270&gt;35,GU8+GT9-HC8,IF(A9&lt;'Données projet'!$A$270,$GR$205^A9,IF(A9='Données projet'!$A$270,'Données projet'!$B$270,GU8+GT9-HC8)))</f>
        <v>2.6133030675536255</v>
      </c>
      <c r="GV9" s="17">
        <f>GU9*VLOOKUP('Données projet'!$B$18,Paramètres!$A$1:$I$89,3,0)*VLOOKUP('Données projet'!$B$18,Paramètres!$A$1:$I$89,5,0)</f>
        <v>2.4868191990840303</v>
      </c>
      <c r="GW9" s="13">
        <f t="shared" si="51"/>
        <v>1.030726140054228</v>
      </c>
      <c r="GX9" s="20">
        <f t="shared" si="28"/>
        <v>6.1263914656658001</v>
      </c>
      <c r="GY9" s="59">
        <f t="shared" si="29"/>
        <v>270.12639146566579</v>
      </c>
      <c r="GZ9" s="59">
        <f ca="1">AVERAGE(OFFSET($GY$3,0,0,'Données projet'!$E$18+1,1))-AVERAGE(OFFSET($H$3,0,0,'Données projet'!$E$18+1,1))</f>
        <v>401.81944956556271</v>
      </c>
      <c r="HA9" s="59">
        <f t="shared" si="52"/>
        <v>292.20785523952651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272.03332278116835</v>
      </c>
      <c r="S10" s="59">
        <f ca="1">AVERAGE(OFFSET($R$3,0,0,'Données projet'!$E$9+1,1))-AVERAGE(OFFSET($H$3,0,0,'Données projet'!$E$9+1,1))</f>
        <v>384.05928630855732</v>
      </c>
      <c r="T10" s="59">
        <f t="shared" si="34"/>
        <v>279.93992813630513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10.16068376068376</v>
      </c>
      <c r="AI10" s="13">
        <f>IF('Données projet'!$A$62&gt;35,AI9+AH10-AQ9,IF(A10&lt;'Données projet'!$A$62,$AF$205^A10,IF(A10='Données projet'!$A$62,'Données projet'!$B$62,AI9+AH10-AQ9)))</f>
        <v>7.5812823436396872</v>
      </c>
      <c r="AJ10" s="13">
        <f>AI10*VLOOKUP('Données projet'!$B$10,Paramètres!$A$1:$I$89,3,0)*VLOOKUP('Données projet'!$B$10,Paramètres!$A$1:$I$89,5,0)</f>
        <v>4.2379368300945854</v>
      </c>
      <c r="AK10" s="13">
        <f t="shared" si="35"/>
        <v>1.6508429615446465</v>
      </c>
      <c r="AL10" s="20">
        <f t="shared" si="4"/>
        <v>10.256291470438329</v>
      </c>
      <c r="AM10" s="59">
        <f t="shared" si="5"/>
        <v>275.47851369266056</v>
      </c>
      <c r="AN10" s="59">
        <f ca="1">AVERAGE(OFFSET($AM$3,0,0,'Données projet'!$E$10+1,1))-AVERAGE(OFFSET($H$3,0,0,'Données projet'!$E$10+1,1))</f>
        <v>335.04906256888819</v>
      </c>
      <c r="AO10" s="59">
        <f t="shared" si="36"/>
        <v>440.84111898279554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7.6594017094017097</v>
      </c>
      <c r="BD10" s="12">
        <f>IF('Données projet'!$A$88&gt;35,BD9+BC10-BL9,IF(A10&lt;'Données projet'!$A$88,$BA$205^A10,IF(A10='Données projet'!$A$88,'Données projet'!$B$88,BD9+BC10-BL9)))</f>
        <v>6.7922721938236332</v>
      </c>
      <c r="BE10" s="13">
        <f>BD10*VLOOKUP('Données projet'!$B$11,Paramètres!$A$1:$I$89,3,0)*VLOOKUP('Données projet'!$B$11,Paramètres!$A$1:$I$89,5,0)</f>
        <v>3.8851796948671184</v>
      </c>
      <c r="BF10" s="13">
        <f t="shared" si="37"/>
        <v>1.5288177696682343</v>
      </c>
      <c r="BG10" s="20">
        <f t="shared" si="7"/>
        <v>9.4293789173990721</v>
      </c>
      <c r="BH10" s="59">
        <f t="shared" si="8"/>
        <v>274.65160113962128</v>
      </c>
      <c r="BI10" s="59">
        <f ca="1">AVERAGE(OFFSET($BH$3,0,0,'Données projet'!$E$11+1,1))-AVERAGE(OFFSET($H$3,0,0,'Données projet'!$E$11+1,1))</f>
        <v>320.76883487964511</v>
      </c>
      <c r="BJ10" s="59">
        <f t="shared" si="38"/>
        <v>290.51177680335746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14.2</v>
      </c>
      <c r="BY10" s="12">
        <f>IF('Données projet'!$A$114&gt;35,BY9+BX10-CG9,IF(A10&lt;'Données projet'!$A$114,$BV$205^A10,IF(A10='Données projet'!$A$114,'Données projet'!$B$114,BY9+BX10-CG9)))</f>
        <v>56.400000000000006</v>
      </c>
      <c r="BZ10" s="13">
        <f>BY10*VLOOKUP('Données projet'!$B$12,Paramètres!$A$1:$I$89,3,0)*VLOOKUP('Données projet'!$B$12,Paramètres!$A$1:$I$89,5,0)</f>
        <v>51.030720000000009</v>
      </c>
      <c r="CA10" s="13">
        <f t="shared" si="39"/>
        <v>14.879630660597618</v>
      </c>
      <c r="CB10" s="20">
        <f t="shared" si="10"/>
        <v>114.79386073387418</v>
      </c>
      <c r="CC10" s="59">
        <f t="shared" si="11"/>
        <v>380.0160829560964</v>
      </c>
      <c r="CD10" s="59">
        <f ca="1">AVERAGE(OFFSET($CC$3,0,0,'Données projet'!$E$12+1,1))-AVERAGE(OFFSET($H$3,0,0,'Données projet'!$E$12+1,1))</f>
        <v>366.69125512029831</v>
      </c>
      <c r="CE10" s="59">
        <f t="shared" si="40"/>
        <v>513.80016421153414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4.0628205128205126</v>
      </c>
      <c r="CT10" s="12">
        <f>IF('Données projet'!$A$140&gt;35,CT9+CS10-DB9,IF(A10&lt;'Données projet'!$A$140,$CQ$205^A10,IF(A10='Données projet'!$A$140,'Données projet'!$B$140,CT9+CS10-DB9)))</f>
        <v>3.067053897654088</v>
      </c>
      <c r="CU10" s="17">
        <f>CT10*VLOOKUP('Données projet'!$B$13,Paramètres!$A$1:$I$89,3,0)*VLOOKUP('Données projet'!$B$13,Paramètres!$A$1:$I$89,5,0)</f>
        <v>2.0573797545463619</v>
      </c>
      <c r="CV10" s="13">
        <f t="shared" si="41"/>
        <v>0.87175956943859878</v>
      </c>
      <c r="CW10" s="20">
        <f t="shared" si="13"/>
        <v>5.1015843226071391</v>
      </c>
      <c r="CX10" s="59">
        <f t="shared" si="14"/>
        <v>270.32380654482938</v>
      </c>
      <c r="CY10" s="59">
        <f ca="1">AVERAGE(OFFSET($CX$3,0,0,'Données projet'!$E$13+1,1))-AVERAGE(OFFSET($H$3,0,0,'Données projet'!$E$13+1,1))</f>
        <v>294.94331863127815</v>
      </c>
      <c r="CZ10" s="59">
        <f t="shared" si="42"/>
        <v>218.36990036643977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3.9541207496319881</v>
      </c>
      <c r="DQ10" s="13">
        <f t="shared" si="43"/>
        <v>1.5527637397664751</v>
      </c>
      <c r="DR10" s="20">
        <f t="shared" si="16"/>
        <v>9.5911571523689911</v>
      </c>
      <c r="DS10" s="59">
        <f t="shared" si="17"/>
        <v>274.81337937459119</v>
      </c>
      <c r="DT10" s="59">
        <f ca="1">AVERAGE(OFFSET($DS$3,0,0,'Données projet'!$E$14+1,1))-AVERAGE(OFFSET($H$3,0,0,'Données projet'!$E$14+1,1))</f>
        <v>278.45534008146865</v>
      </c>
      <c r="DU10" s="59">
        <f t="shared" si="44"/>
        <v>272.97841038165217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4.0628205128205126</v>
      </c>
      <c r="EJ10" s="12">
        <f>IF('Données projet'!$A$192&gt;35,EJ9+EI10-ER9,IF(A10&lt;'Données projet'!$A$192,$EG$205^A10,IF(A10='Données projet'!$A$192,'Données projet'!$B$192,EJ9+EI10-ER9)))</f>
        <v>3.067053897654088</v>
      </c>
      <c r="EK10" s="17">
        <f>EJ10*VLOOKUP('Données projet'!$B$15,Paramètres!$A$1:$I$89,3,0)*VLOOKUP('Données projet'!$B$15,Paramètres!$A$1:$I$89,5,0)</f>
        <v>3.3013768154348599</v>
      </c>
      <c r="EL10" s="13">
        <f t="shared" si="45"/>
        <v>1.3239483802426903</v>
      </c>
      <c r="EM10" s="20">
        <f t="shared" si="19"/>
        <v>8.0557747158050663</v>
      </c>
      <c r="EN10" s="59">
        <f t="shared" si="20"/>
        <v>273.27799693802729</v>
      </c>
      <c r="EO10" s="59">
        <f ca="1">AVERAGE(OFFSET($EN$3,0,0,'Données projet'!$E$15+1,1))-AVERAGE(OFFSET($H$3,0,0,'Données projet'!$E$15+1,1))</f>
        <v>449.09332781196957</v>
      </c>
      <c r="EP10" s="59">
        <f t="shared" si="46"/>
        <v>324.85904971519432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4.6333333333333337</v>
      </c>
      <c r="FE10" s="12">
        <f>IF('Données projet'!$A$218&gt;35,FE9+FD10-FM9,IF(A10&lt;'Données projet'!$A$218,$FB$205^A10,IF(A10='Données projet'!$A$218,'Données projet'!$B$218,FE9+FD10-FM9)))</f>
        <v>2.766892702764491</v>
      </c>
      <c r="FF10" s="17">
        <f>FE10*VLOOKUP('Données projet'!$B$16,Paramètres!$A$1:$I$89,3,0)*VLOOKUP('Données projet'!$B$16,Paramètres!$A$1:$I$89,5,0)</f>
        <v>2.8056292006031938</v>
      </c>
      <c r="FG10" s="13">
        <f t="shared" si="47"/>
        <v>1.1466519503173231</v>
      </c>
      <c r="FH10" s="20">
        <f t="shared" si="22"/>
        <v>6.8835563378532347</v>
      </c>
      <c r="FI10" s="59">
        <f t="shared" si="23"/>
        <v>272.10577856007546</v>
      </c>
      <c r="FJ10" s="59">
        <f ca="1">AVERAGE(OFFSET($FI$3,0,0,'Données projet'!$E$16+1,1))-AVERAGE(OFFSET($H$3,0,0,'Données projet'!$E$16+1,1))</f>
        <v>419.51168383014721</v>
      </c>
      <c r="FK10" s="59">
        <f t="shared" si="48"/>
        <v>213.44145308833384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2.4666666666666668</v>
      </c>
      <c r="FZ10" s="12">
        <f>IF('Données projet'!$A$244&gt;35,FZ9+FY10-GH9,IF(A10&lt;'Données projet'!$A$244,$FW$205^A10,IF(A10='Données projet'!$A$244,'Données projet'!$B$244,FZ9+FY10-GH9)))</f>
        <v>5.3929633792034757</v>
      </c>
      <c r="GA10" s="17">
        <f>FZ10*VLOOKUP('Données projet'!$B$17,Paramètres!$A$1:$I$89,3,0)*VLOOKUP('Données projet'!$B$17,Paramètres!$A$1:$I$89,5,0)</f>
        <v>4.711292808072157</v>
      </c>
      <c r="GB10" s="13">
        <f t="shared" si="49"/>
        <v>1.8127530905190552</v>
      </c>
      <c r="GC10" s="20">
        <f t="shared" si="25"/>
        <v>11.362713273379695</v>
      </c>
      <c r="GD10" s="59">
        <f t="shared" si="26"/>
        <v>276.58493549560194</v>
      </c>
      <c r="GE10" s="59">
        <f ca="1">AVERAGE(OFFSET($GD$3,0,0,'Données projet'!$E$17+1,1))-AVERAGE(OFFSET($H$3,0,0,'Données projet'!$E$17+1,1))</f>
        <v>324.86930206492627</v>
      </c>
      <c r="GF10" s="59">
        <f t="shared" si="50"/>
        <v>317.03005098025352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4.0628205128205126</v>
      </c>
      <c r="GU10" s="12">
        <f>IF('Données projet'!$A$270&gt;35,GU9+GT10-HC9,IF(A10&lt;'Données projet'!$A$270,$GR$205^A10,IF(A10='Données projet'!$A$270,'Données projet'!$B$270,GU9+GT10-HC9)))</f>
        <v>3.067053897654088</v>
      </c>
      <c r="GV10" s="17">
        <f>GU10*VLOOKUP('Données projet'!$B$18,Paramètres!$A$1:$I$89,3,0)*VLOOKUP('Données projet'!$B$18,Paramètres!$A$1:$I$89,5,0)</f>
        <v>2.9186084890076298</v>
      </c>
      <c r="GW10" s="13">
        <f t="shared" si="51"/>
        <v>1.187357331654072</v>
      </c>
      <c r="GX10" s="20">
        <f t="shared" si="28"/>
        <v>7.1512238043191303</v>
      </c>
      <c r="GY10" s="59">
        <f t="shared" si="29"/>
        <v>272.37344602654139</v>
      </c>
      <c r="GZ10" s="59">
        <f ca="1">AVERAGE(OFFSET($GY$3,0,0,'Données projet'!$E$18+1,1))-AVERAGE(OFFSET($H$3,0,0,'Données projet'!$E$18+1,1))</f>
        <v>401.81944956556271</v>
      </c>
      <c r="HA10" s="59">
        <f t="shared" si="52"/>
        <v>292.20785523952651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274.39530583012299</v>
      </c>
      <c r="S11" s="59">
        <f ca="1">AVERAGE(OFFSET($R$3,0,0,'Données projet'!$E$9+1,1))-AVERAGE(OFFSET($H$3,0,0,'Données projet'!$E$9+1,1))</f>
        <v>384.05928630855732</v>
      </c>
      <c r="T11" s="59">
        <f t="shared" si="34"/>
        <v>279.93992813630513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10.16068376068376</v>
      </c>
      <c r="AI11" s="13">
        <f>IF('Données projet'!$A$62&gt;35,AI10+AH11-AQ10,IF(A11&lt;'Données projet'!$A$62,$AF$205^A11,IF(A11='Données projet'!$A$62,'Données projet'!$B$62,AI10+AH11-AQ10)))</f>
        <v>10.125586672224557</v>
      </c>
      <c r="AJ11" s="13">
        <f>AI11*VLOOKUP('Données projet'!$B$10,Paramètres!$A$1:$I$89,3,0)*VLOOKUP('Données projet'!$B$10,Paramètres!$A$1:$I$89,5,0)</f>
        <v>5.6602029497735273</v>
      </c>
      <c r="AK11" s="13">
        <f t="shared" si="35"/>
        <v>2.1318390984944533</v>
      </c>
      <c r="AL11" s="20">
        <f t="shared" si="4"/>
        <v>13.571139900733398</v>
      </c>
      <c r="AM11" s="59">
        <f t="shared" si="5"/>
        <v>280.01558434517784</v>
      </c>
      <c r="AN11" s="59">
        <f ca="1">AVERAGE(OFFSET($AM$3,0,0,'Données projet'!$E$10+1,1))-AVERAGE(OFFSET($H$3,0,0,'Données projet'!$E$10+1,1))</f>
        <v>335.04906256888819</v>
      </c>
      <c r="AO11" s="59">
        <f t="shared" si="36"/>
        <v>440.84111898279554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7.6594017094017097</v>
      </c>
      <c r="BD11" s="12">
        <f>IF('Données projet'!$A$88&gt;35,BD10+BC11-BL10,IF(A11&lt;'Données projet'!$A$88,$BA$205^A11,IF(A11='Données projet'!$A$88,'Données projet'!$B$88,BD10+BC11-BL10)))</f>
        <v>8.9304712952782435</v>
      </c>
      <c r="BE11" s="13">
        <f>BD11*VLOOKUP('Données projet'!$B$11,Paramètres!$A$1:$I$89,3,0)*VLOOKUP('Données projet'!$B$11,Paramètres!$A$1:$I$89,5,0)</f>
        <v>5.1082295808991551</v>
      </c>
      <c r="BF11" s="13">
        <f t="shared" si="37"/>
        <v>1.9470620725271994</v>
      </c>
      <c r="BG11" s="20">
        <f t="shared" si="7"/>
        <v>12.287966296384234</v>
      </c>
      <c r="BH11" s="59">
        <f t="shared" si="8"/>
        <v>278.7324107408287</v>
      </c>
      <c r="BI11" s="59">
        <f ca="1">AVERAGE(OFFSET($BH$3,0,0,'Données projet'!$E$11+1,1))-AVERAGE(OFFSET($H$3,0,0,'Données projet'!$E$11+1,1))</f>
        <v>320.76883487964511</v>
      </c>
      <c r="BJ11" s="59">
        <f t="shared" si="38"/>
        <v>290.51177680335746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14.2</v>
      </c>
      <c r="BY11" s="12">
        <f>IF('Données projet'!$A$114&gt;35,BY10+BX11-CG10,IF(A11&lt;'Données projet'!$A$114,$BV$205^A11,IF(A11='Données projet'!$A$114,'Données projet'!$B$114,BY10+BX11-CG10)))</f>
        <v>70.600000000000009</v>
      </c>
      <c r="BZ11" s="13">
        <f>BY11*VLOOKUP('Données projet'!$B$12,Paramètres!$A$1:$I$89,3,0)*VLOOKUP('Données projet'!$B$12,Paramètres!$A$1:$I$89,5,0)</f>
        <v>63.878880000000002</v>
      </c>
      <c r="CA11" s="13">
        <f t="shared" si="39"/>
        <v>18.145367520913332</v>
      </c>
      <c r="CB11" s="20">
        <f t="shared" si="10"/>
        <v>142.85889776559074</v>
      </c>
      <c r="CC11" s="59">
        <f t="shared" si="11"/>
        <v>409.30334221003523</v>
      </c>
      <c r="CD11" s="59">
        <f ca="1">AVERAGE(OFFSET($CC$3,0,0,'Données projet'!$E$12+1,1))-AVERAGE(OFFSET($H$3,0,0,'Données projet'!$E$12+1,1))</f>
        <v>366.69125512029831</v>
      </c>
      <c r="CE11" s="59">
        <f t="shared" si="40"/>
        <v>513.80016421153414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4.0628205128205126</v>
      </c>
      <c r="CT11" s="12">
        <f>IF('Données projet'!$A$140&gt;35,CT10+CS11-DB10,IF(A11&lt;'Données projet'!$A$140,$CQ$205^A11,IF(A11='Données projet'!$A$140,'Données projet'!$B$140,CT10+CS11-DB10)))</f>
        <v>3.5995900084872572</v>
      </c>
      <c r="CU11" s="17">
        <f>CT11*VLOOKUP('Données projet'!$B$13,Paramètres!$A$1:$I$89,3,0)*VLOOKUP('Données projet'!$B$13,Paramètres!$A$1:$I$89,5,0)</f>
        <v>2.4146049776932523</v>
      </c>
      <c r="CV11" s="13">
        <f t="shared" si="41"/>
        <v>1.0042338852084027</v>
      </c>
      <c r="CW11" s="20">
        <f t="shared" si="13"/>
        <v>5.9544776862203825</v>
      </c>
      <c r="CX11" s="59">
        <f t="shared" si="14"/>
        <v>272.39892213066486</v>
      </c>
      <c r="CY11" s="59">
        <f ca="1">AVERAGE(OFFSET($CX$3,0,0,'Données projet'!$E$13+1,1))-AVERAGE(OFFSET($H$3,0,0,'Données projet'!$E$13+1,1))</f>
        <v>294.94331863127815</v>
      </c>
      <c r="CZ11" s="59">
        <f t="shared" si="42"/>
        <v>218.36990036643977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5.0303326932671979</v>
      </c>
      <c r="DQ11" s="13">
        <f t="shared" si="43"/>
        <v>1.9208034055819379</v>
      </c>
      <c r="DR11" s="20">
        <f t="shared" si="16"/>
        <v>12.106562038828912</v>
      </c>
      <c r="DS11" s="59">
        <f t="shared" si="17"/>
        <v>278.55100648327334</v>
      </c>
      <c r="DT11" s="59">
        <f ca="1">AVERAGE(OFFSET($DS$3,0,0,'Données projet'!$E$14+1,1))-AVERAGE(OFFSET($H$3,0,0,'Données projet'!$E$14+1,1))</f>
        <v>278.45534008146865</v>
      </c>
      <c r="DU11" s="59">
        <f t="shared" si="44"/>
        <v>272.97841038165217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4.0628205128205126</v>
      </c>
      <c r="EJ11" s="12">
        <f>IF('Données projet'!$A$192&gt;35,EJ10+EI11-ER10,IF(A11&lt;'Données projet'!$A$192,$EG$205^A11,IF(A11='Données projet'!$A$192,'Données projet'!$B$192,EJ10+EI11-ER10)))</f>
        <v>3.5995900084872572</v>
      </c>
      <c r="EK11" s="17">
        <f>EJ11*VLOOKUP('Données projet'!$B$15,Paramètres!$A$1:$I$89,3,0)*VLOOKUP('Données projet'!$B$15,Paramètres!$A$1:$I$89,5,0)</f>
        <v>3.8745986851356835</v>
      </c>
      <c r="EL11" s="13">
        <f t="shared" si="45"/>
        <v>1.5251382058962688</v>
      </c>
      <c r="EM11" s="20">
        <f t="shared" si="19"/>
        <v>9.4045417518806484</v>
      </c>
      <c r="EN11" s="59">
        <f t="shared" si="20"/>
        <v>275.84898619632509</v>
      </c>
      <c r="EO11" s="59">
        <f ca="1">AVERAGE(OFFSET($EN$3,0,0,'Données projet'!$E$15+1,1))-AVERAGE(OFFSET($H$3,0,0,'Données projet'!$E$15+1,1))</f>
        <v>449.09332781196957</v>
      </c>
      <c r="EP11" s="59">
        <f t="shared" si="46"/>
        <v>324.85904971519432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4.6333333333333337</v>
      </c>
      <c r="FE11" s="12">
        <f>IF('Données projet'!$A$218&gt;35,FE10+FD11-FM10,IF(A11&lt;'Données projet'!$A$218,$FB$205^A11,IF(A11='Données projet'!$A$218,'Données projet'!$B$218,FE10+FD11-FM10)))</f>
        <v>3.1998828419586647</v>
      </c>
      <c r="FF11" s="17">
        <f>FE11*VLOOKUP('Données projet'!$B$16,Paramètres!$A$1:$I$89,3,0)*VLOOKUP('Données projet'!$B$16,Paramètres!$A$1:$I$89,5,0)</f>
        <v>3.244681201746086</v>
      </c>
      <c r="FG11" s="13">
        <f t="shared" si="47"/>
        <v>1.3038381160900738</v>
      </c>
      <c r="FH11" s="20">
        <f t="shared" si="22"/>
        <v>7.9220044785646442</v>
      </c>
      <c r="FI11" s="59">
        <f t="shared" si="23"/>
        <v>274.3664489230091</v>
      </c>
      <c r="FJ11" s="59">
        <f ca="1">AVERAGE(OFFSET($FI$3,0,0,'Données projet'!$E$16+1,1))-AVERAGE(OFFSET($H$3,0,0,'Données projet'!$E$16+1,1))</f>
        <v>419.51168383014721</v>
      </c>
      <c r="FK11" s="59">
        <f t="shared" si="48"/>
        <v>213.44145308833384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2.4666666666666668</v>
      </c>
      <c r="FZ11" s="12">
        <f>IF('Données projet'!$A$244&gt;35,FZ10+FY11-GH10,IF(A11&lt;'Données projet'!$A$244,$FW$205^A11,IF(A11='Données projet'!$A$244,'Données projet'!$B$244,FZ10+FY11-GH10)))</f>
        <v>6.8607919984549888</v>
      </c>
      <c r="GA11" s="17">
        <f>FZ11*VLOOKUP('Données projet'!$B$17,Paramètres!$A$1:$I$89,3,0)*VLOOKUP('Données projet'!$B$17,Paramètres!$A$1:$I$89,5,0)</f>
        <v>5.9935878898502795</v>
      </c>
      <c r="GB11" s="13">
        <f t="shared" si="49"/>
        <v>2.2424160357272664</v>
      </c>
      <c r="GC11" s="20">
        <f t="shared" si="25"/>
        <v>14.344373503714223</v>
      </c>
      <c r="GD11" s="59">
        <f t="shared" si="26"/>
        <v>280.78881794815868</v>
      </c>
      <c r="GE11" s="59">
        <f ca="1">AVERAGE(OFFSET($GD$3,0,0,'Données projet'!$E$17+1,1))-AVERAGE(OFFSET($H$3,0,0,'Données projet'!$E$17+1,1))</f>
        <v>324.86930206492627</v>
      </c>
      <c r="GF11" s="59">
        <f t="shared" si="50"/>
        <v>317.03005098025352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4.0628205128205126</v>
      </c>
      <c r="GU11" s="12">
        <f>IF('Données projet'!$A$270&gt;35,GU10+GT11-HC10,IF(A11&lt;'Données projet'!$A$270,$GR$205^A11,IF(A11='Données projet'!$A$270,'Données projet'!$B$270,GU10+GT11-HC10)))</f>
        <v>3.5995900084872572</v>
      </c>
      <c r="GV11" s="17">
        <f>GU11*VLOOKUP('Données projet'!$B$18,Paramètres!$A$1:$I$89,3,0)*VLOOKUP('Données projet'!$B$18,Paramètres!$A$1:$I$89,5,0)</f>
        <v>3.4253698520764737</v>
      </c>
      <c r="GW11" s="13">
        <f t="shared" si="51"/>
        <v>1.3677905102498957</v>
      </c>
      <c r="GX11" s="20">
        <f t="shared" si="28"/>
        <v>8.3480876310517598</v>
      </c>
      <c r="GY11" s="59">
        <f t="shared" si="29"/>
        <v>274.79253207549624</v>
      </c>
      <c r="GZ11" s="59">
        <f ca="1">AVERAGE(OFFSET($GY$3,0,0,'Données projet'!$E$18+1,1))-AVERAGE(OFFSET($H$3,0,0,'Données projet'!$E$18+1,1))</f>
        <v>401.81944956556271</v>
      </c>
      <c r="HA11" s="59">
        <f t="shared" si="52"/>
        <v>292.20785523952651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276.94867401567694</v>
      </c>
      <c r="S12" s="59">
        <f ca="1">AVERAGE(OFFSET($R$3,0,0,'Données projet'!$E$9+1,1))-AVERAGE(OFFSET($H$3,0,0,'Données projet'!$E$9+1,1))</f>
        <v>384.05928630855732</v>
      </c>
      <c r="T12" s="59">
        <f t="shared" si="34"/>
        <v>279.93992813630513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10.16068376068376</v>
      </c>
      <c r="AI12" s="13">
        <f>IF('Données projet'!$A$62&gt;35,AI11+AH12-AQ11,IF(A12&lt;'Données projet'!$A$62,$AF$205^A12,IF(A12='Données projet'!$A$62,'Données projet'!$B$62,AI11+AH12-AQ11)))</f>
        <v>13.523768250465828</v>
      </c>
      <c r="AJ12" s="13">
        <f>AI12*VLOOKUP('Données projet'!$B$10,Paramètres!$A$1:$I$89,3,0)*VLOOKUP('Données projet'!$B$10,Paramètres!$A$1:$I$89,5,0)</f>
        <v>7.5597864520103979</v>
      </c>
      <c r="AK12" s="13">
        <f t="shared" si="35"/>
        <v>2.7529801730003816</v>
      </c>
      <c r="AL12" s="20">
        <f t="shared" si="4"/>
        <v>17.961401871893774</v>
      </c>
      <c r="AM12" s="59">
        <f t="shared" si="5"/>
        <v>285.62806853856046</v>
      </c>
      <c r="AN12" s="59">
        <f ca="1">AVERAGE(OFFSET($AM$3,0,0,'Données projet'!$E$10+1,1))-AVERAGE(OFFSET($H$3,0,0,'Données projet'!$E$10+1,1))</f>
        <v>335.04906256888819</v>
      </c>
      <c r="AO12" s="59">
        <f t="shared" si="36"/>
        <v>440.84111898279554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7.6594017094017097</v>
      </c>
      <c r="BD12" s="12">
        <f>IF('Données projet'!$A$88&gt;35,BD11+BC12-BL11,IF(A12&lt;'Données projet'!$A$88,$BA$205^A12,IF(A12='Données projet'!$A$88,'Données projet'!$B$88,BD11+BC12-BL11)))</f>
        <v>11.741772897191924</v>
      </c>
      <c r="BE12" s="13">
        <f>BD12*VLOOKUP('Données projet'!$B$11,Paramètres!$A$1:$I$89,3,0)*VLOOKUP('Données projet'!$B$11,Paramètres!$A$1:$I$89,5,0)</f>
        <v>6.7162940971937806</v>
      </c>
      <c r="BF12" s="13">
        <f t="shared" si="37"/>
        <v>2.479727008338346</v>
      </c>
      <c r="BG12" s="20">
        <f t="shared" si="7"/>
        <v>16.016403425468454</v>
      </c>
      <c r="BH12" s="59">
        <f t="shared" si="8"/>
        <v>283.68307009213515</v>
      </c>
      <c r="BI12" s="59">
        <f ca="1">AVERAGE(OFFSET($BH$3,0,0,'Données projet'!$E$11+1,1))-AVERAGE(OFFSET($H$3,0,0,'Données projet'!$E$11+1,1))</f>
        <v>320.76883487964511</v>
      </c>
      <c r="BJ12" s="59">
        <f t="shared" si="38"/>
        <v>290.51177680335746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14.2</v>
      </c>
      <c r="BY12" s="12">
        <f>IF('Données projet'!$A$114&gt;35,BY11+BX12-CG11,IF(A12&lt;'Données projet'!$A$114,$BV$205^A12,IF(A12='Données projet'!$A$114,'Données projet'!$B$114,BY11+BX12-CG11)))</f>
        <v>84.800000000000011</v>
      </c>
      <c r="BZ12" s="13">
        <f>BY12*VLOOKUP('Données projet'!$B$12,Paramètres!$A$1:$I$89,3,0)*VLOOKUP('Données projet'!$B$12,Paramètres!$A$1:$I$89,5,0)</f>
        <v>76.727040000000017</v>
      </c>
      <c r="CA12" s="13">
        <f t="shared" si="39"/>
        <v>21.334993267156719</v>
      </c>
      <c r="CB12" s="20">
        <f t="shared" si="10"/>
        <v>170.79137460696464</v>
      </c>
      <c r="CC12" s="59">
        <f t="shared" si="11"/>
        <v>438.45804127363135</v>
      </c>
      <c r="CD12" s="59">
        <f ca="1">AVERAGE(OFFSET($CC$3,0,0,'Données projet'!$E$12+1,1))-AVERAGE(OFFSET($H$3,0,0,'Données projet'!$E$12+1,1))</f>
        <v>366.69125512029831</v>
      </c>
      <c r="CE12" s="59">
        <f t="shared" si="40"/>
        <v>513.80016421153414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4.0628205128205126</v>
      </c>
      <c r="CT12" s="12">
        <f>IF('Données projet'!$A$140&gt;35,CT11+CS12-DB11,IF(A12&lt;'Données projet'!$A$140,$CQ$205^A12,IF(A12='Données projet'!$A$140,'Données projet'!$B$140,CT11+CS12-DB11)))</f>
        <v>4.2245909793472531</v>
      </c>
      <c r="CU12" s="17">
        <f>CT12*VLOOKUP('Données projet'!$B$13,Paramètres!$A$1:$I$89,3,0)*VLOOKUP('Données projet'!$B$13,Paramètres!$A$1:$I$89,5,0)</f>
        <v>2.8338556289461376</v>
      </c>
      <c r="CV12" s="13">
        <f t="shared" si="41"/>
        <v>1.1568392611396445</v>
      </c>
      <c r="CW12" s="20">
        <f t="shared" si="13"/>
        <v>6.9504602668994044</v>
      </c>
      <c r="CX12" s="59">
        <f t="shared" si="14"/>
        <v>274.61712693356611</v>
      </c>
      <c r="CY12" s="59">
        <f ca="1">AVERAGE(OFFSET($CX$3,0,0,'Données projet'!$E$13+1,1))-AVERAGE(OFFSET($H$3,0,0,'Données projet'!$E$13+1,1))</f>
        <v>294.94331863127815</v>
      </c>
      <c r="CZ12" s="59">
        <f t="shared" si="42"/>
        <v>218.36990036643977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6.399462385489338</v>
      </c>
      <c r="DQ12" s="13">
        <f t="shared" si="43"/>
        <v>2.3760766872686268</v>
      </c>
      <c r="DR12" s="20">
        <f t="shared" si="16"/>
        <v>15.284063885053456</v>
      </c>
      <c r="DS12" s="59">
        <f t="shared" si="17"/>
        <v>282.95073055172014</v>
      </c>
      <c r="DT12" s="59">
        <f ca="1">AVERAGE(OFFSET($DS$3,0,0,'Données projet'!$E$14+1,1))-AVERAGE(OFFSET($H$3,0,0,'Données projet'!$E$14+1,1))</f>
        <v>278.45534008146865</v>
      </c>
      <c r="DU12" s="59">
        <f t="shared" si="44"/>
        <v>272.97841038165217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4.0628205128205126</v>
      </c>
      <c r="EJ12" s="12">
        <f>IF('Données projet'!$A$192&gt;35,EJ11+EI12-ER11,IF(A12&lt;'Données projet'!$A$192,$EG$205^A12,IF(A12='Données projet'!$A$192,'Données projet'!$B$192,EJ11+EI12-ER11)))</f>
        <v>4.2245909793472531</v>
      </c>
      <c r="EK12" s="17">
        <f>EJ12*VLOOKUP('Données projet'!$B$15,Paramètres!$A$1:$I$89,3,0)*VLOOKUP('Données projet'!$B$15,Paramètres!$A$1:$I$89,5,0)</f>
        <v>4.5473497301693833</v>
      </c>
      <c r="EL12" s="13">
        <f t="shared" si="45"/>
        <v>1.756901237084566</v>
      </c>
      <c r="EM12" s="20">
        <f t="shared" si="19"/>
        <v>10.979903767967294</v>
      </c>
      <c r="EN12" s="59">
        <f t="shared" si="20"/>
        <v>278.64657043463399</v>
      </c>
      <c r="EO12" s="59">
        <f ca="1">AVERAGE(OFFSET($EN$3,0,0,'Données projet'!$E$15+1,1))-AVERAGE(OFFSET($H$3,0,0,'Données projet'!$E$15+1,1))</f>
        <v>449.09332781196957</v>
      </c>
      <c r="EP12" s="59">
        <f t="shared" si="46"/>
        <v>324.85904971519432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4.6333333333333337</v>
      </c>
      <c r="FE12" s="12">
        <f>IF('Données projet'!$A$218&gt;35,FE11+FD12-FM11,IF(A12&lt;'Données projet'!$A$218,$FB$205^A12,IF(A12='Données projet'!$A$218,'Données projet'!$B$218,FE11+FD12-FM11)))</f>
        <v>3.7006314672163096</v>
      </c>
      <c r="FF12" s="17">
        <f>FE12*VLOOKUP('Données projet'!$B$16,Paramètres!$A$1:$I$89,3,0)*VLOOKUP('Données projet'!$B$16,Paramètres!$A$1:$I$89,5,0)</f>
        <v>3.7524403077573383</v>
      </c>
      <c r="FG12" s="13">
        <f t="shared" si="47"/>
        <v>1.4825717886747225</v>
      </c>
      <c r="FH12" s="20">
        <f t="shared" si="22"/>
        <v>9.1176460679525047</v>
      </c>
      <c r="FI12" s="59">
        <f t="shared" si="23"/>
        <v>276.78431273461916</v>
      </c>
      <c r="FJ12" s="59">
        <f ca="1">AVERAGE(OFFSET($FI$3,0,0,'Données projet'!$E$16+1,1))-AVERAGE(OFFSET($H$3,0,0,'Données projet'!$E$16+1,1))</f>
        <v>419.51168383014721</v>
      </c>
      <c r="FK12" s="59">
        <f t="shared" si="48"/>
        <v>213.44145308833384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2.4666666666666668</v>
      </c>
      <c r="FZ12" s="12">
        <f>IF('Données projet'!$A$244&gt;35,FZ11+FY12-GH11,IF(A12&lt;'Données projet'!$A$244,$FW$205^A12,IF(A12='Données projet'!$A$244,'Données projet'!$B$244,FZ11+FY12-GH11)))</f>
        <v>8.7281265486761299</v>
      </c>
      <c r="GA12" s="17">
        <f>FZ12*VLOOKUP('Données projet'!$B$17,Paramètres!$A$1:$I$89,3,0)*VLOOKUP('Données projet'!$B$17,Paramètres!$A$1:$I$89,5,0)</f>
        <v>7.6248913529234681</v>
      </c>
      <c r="GB12" s="13">
        <f t="shared" si="49"/>
        <v>2.7739186895259813</v>
      </c>
      <c r="GC12" s="20">
        <f t="shared" si="25"/>
        <v>18.111260823932788</v>
      </c>
      <c r="GD12" s="59">
        <f t="shared" si="26"/>
        <v>285.7779274905995</v>
      </c>
      <c r="GE12" s="59">
        <f ca="1">AVERAGE(OFFSET($GD$3,0,0,'Données projet'!$E$17+1,1))-AVERAGE(OFFSET($H$3,0,0,'Données projet'!$E$17+1,1))</f>
        <v>324.86930206492627</v>
      </c>
      <c r="GF12" s="59">
        <f t="shared" si="50"/>
        <v>317.03005098025352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4.0628205128205126</v>
      </c>
      <c r="GU12" s="12">
        <f>IF('Données projet'!$A$270&gt;35,GU11+GT12-HC11,IF(A12&lt;'Données projet'!$A$270,$GR$205^A12,IF(A12='Données projet'!$A$270,'Données projet'!$B$270,GU11+GT12-HC11)))</f>
        <v>4.2245909793472531</v>
      </c>
      <c r="GV12" s="17">
        <f>GU12*VLOOKUP('Données projet'!$B$18,Paramètres!$A$1:$I$89,3,0)*VLOOKUP('Données projet'!$B$18,Paramètres!$A$1:$I$89,5,0)</f>
        <v>4.0201207759468467</v>
      </c>
      <c r="GW12" s="13">
        <f t="shared" si="51"/>
        <v>1.5756426730640929</v>
      </c>
      <c r="GX12" s="20">
        <f t="shared" si="28"/>
        <v>9.7459546736940528</v>
      </c>
      <c r="GY12" s="59">
        <f t="shared" si="29"/>
        <v>277.41262134036072</v>
      </c>
      <c r="GZ12" s="59">
        <f ca="1">AVERAGE(OFFSET($GY$3,0,0,'Données projet'!$E$18+1,1))-AVERAGE(OFFSET($H$3,0,0,'Données projet'!$E$18+1,1))</f>
        <v>401.81944956556271</v>
      </c>
      <c r="HA12" s="59">
        <f t="shared" si="52"/>
        <v>292.20785523952651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279.72566805419609</v>
      </c>
      <c r="S13" s="59">
        <f ca="1">AVERAGE(OFFSET($R$3,0,0,'Données projet'!$E$9+1,1))-AVERAGE(OFFSET($H$3,0,0,'Données projet'!$E$9+1,1))</f>
        <v>384.05928630855732</v>
      </c>
      <c r="T13" s="59">
        <f t="shared" si="34"/>
        <v>279.93992813630513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10.16068376068376</v>
      </c>
      <c r="AI13" s="13">
        <f>IF('Données projet'!$A$62&gt;35,AI12+AH13-AQ12,IF(A13&lt;'Données projet'!$A$62,$AF$205^A13,IF(A13='Données projet'!$A$62,'Données projet'!$B$62,AI12+AH13-AQ12)))</f>
        <v>18.062391208797656</v>
      </c>
      <c r="AJ13" s="13">
        <f>AI13*VLOOKUP('Données projet'!$B$10,Paramètres!$A$1:$I$89,3,0)*VLOOKUP('Données projet'!$B$10,Paramètres!$A$1:$I$89,5,0)</f>
        <v>10.09687668571789</v>
      </c>
      <c r="AK13" s="13">
        <f t="shared" si="35"/>
        <v>3.5550993685619052</v>
      </c>
      <c r="AL13" s="20">
        <f t="shared" si="4"/>
        <v>23.777191627870639</v>
      </c>
      <c r="AM13" s="59">
        <f t="shared" si="5"/>
        <v>292.66608051675951</v>
      </c>
      <c r="AN13" s="59">
        <f ca="1">AVERAGE(OFFSET($AM$3,0,0,'Données projet'!$E$10+1,1))-AVERAGE(OFFSET($H$3,0,0,'Données projet'!$E$10+1,1))</f>
        <v>335.04906256888819</v>
      </c>
      <c r="AO13" s="59">
        <f t="shared" si="36"/>
        <v>440.84111898279554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7.6594017094017097</v>
      </c>
      <c r="BD13" s="12">
        <f>IF('Données projet'!$A$88&gt;35,BD12+BC13-BL12,IF(A13&lt;'Données projet'!$A$88,$BA$205^A13,IF(A13='Données projet'!$A$88,'Données projet'!$B$88,BD12+BC13-BL12)))</f>
        <v>15.438068855573794</v>
      </c>
      <c r="BE13" s="13">
        <f>BD13*VLOOKUP('Données projet'!$B$11,Paramètres!$A$1:$I$89,3,0)*VLOOKUP('Données projet'!$B$11,Paramètres!$A$1:$I$89,5,0)</f>
        <v>8.8305753853882099</v>
      </c>
      <c r="BF13" s="13">
        <f t="shared" si="37"/>
        <v>3.1581150506935067</v>
      </c>
      <c r="BG13" s="20">
        <f t="shared" si="7"/>
        <v>20.88030250950899</v>
      </c>
      <c r="BH13" s="59">
        <f t="shared" si="8"/>
        <v>289.76919139839782</v>
      </c>
      <c r="BI13" s="59">
        <f ca="1">AVERAGE(OFFSET($BH$3,0,0,'Données projet'!$E$11+1,1))-AVERAGE(OFFSET($H$3,0,0,'Données projet'!$E$11+1,1))</f>
        <v>320.76883487964511</v>
      </c>
      <c r="BJ13" s="59">
        <f t="shared" si="38"/>
        <v>290.51177680335746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99</v>
      </c>
      <c r="BW13" s="12">
        <f>VLOOKUP(A13,'Données projet'!$A$113:$I$133,9,0)</f>
        <v>14.2</v>
      </c>
      <c r="BX13" s="12">
        <f t="array" ref="BX13">INDEX(BW:BW,MIN(IF(ISNUMBER(BW13:BW209),ROW(BW13:BW209),"")))</f>
        <v>14.2</v>
      </c>
      <c r="BY13" s="12">
        <f>IF('Données projet'!$A$114&gt;35,BY12+BX13-CG12,IF(A13&lt;'Données projet'!$A$114,$BV$205^A13,IF(A13='Données projet'!$A$114,'Données projet'!$B$114,BY12+BX13-CG12)))</f>
        <v>99.000000000000014</v>
      </c>
      <c r="BZ13" s="13">
        <f>BY13*VLOOKUP('Données projet'!$B$12,Paramètres!$A$1:$I$89,3,0)*VLOOKUP('Données projet'!$B$12,Paramètres!$A$1:$I$89,5,0)</f>
        <v>89.575200000000009</v>
      </c>
      <c r="CA13" s="13">
        <f t="shared" si="39"/>
        <v>24.462745269668691</v>
      </c>
      <c r="CB13" s="20">
        <f t="shared" si="10"/>
        <v>198.61608801133966</v>
      </c>
      <c r="CC13" s="59">
        <f t="shared" si="11"/>
        <v>467.50497690022848</v>
      </c>
      <c r="CD13" s="59">
        <f ca="1">AVERAGE(OFFSET($CC$3,0,0,'Données projet'!$E$12+1,1))-AVERAGE(OFFSET($H$3,0,0,'Données projet'!$E$12+1,1))</f>
        <v>366.69125512029831</v>
      </c>
      <c r="CE13" s="59">
        <f t="shared" si="40"/>
        <v>513.80016421153414</v>
      </c>
      <c r="CF13" s="15">
        <f>IF(ISNA(VLOOKUP(A13,'Données projet'!$A$113:$I$133,3,0)),0,VLOOKUP(A13,'Données projet'!$A$113:$I$133,3,0))</f>
        <v>2</v>
      </c>
      <c r="CG13" s="15">
        <f>IF(ISNA(VLOOKUP(A13,'Données projet'!$A$113:$I$133,4,0)),0,VLOOKUP(A13,'Données projet'!$A$113:$I$133,4,0))</f>
        <v>29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4.0628205128205126</v>
      </c>
      <c r="CT13" s="12">
        <f>IF('Données projet'!$A$140&gt;35,CT12+CS13-DB12,IF(A13&lt;'Données projet'!$A$140,$CQ$205^A13,IF(A13='Données projet'!$A$140,'Données projet'!$B$140,CT12+CS13-DB12)))</f>
        <v>4.9581115906815549</v>
      </c>
      <c r="CU13" s="17">
        <f>CT13*VLOOKUP('Données projet'!$B$13,Paramètres!$A$1:$I$89,3,0)*VLOOKUP('Données projet'!$B$13,Paramètres!$A$1:$I$89,5,0)</f>
        <v>3.3259012550291867</v>
      </c>
      <c r="CV13" s="13">
        <f t="shared" si="41"/>
        <v>1.3326348531212862</v>
      </c>
      <c r="CW13" s="20">
        <f t="shared" si="13"/>
        <v>8.1136170550287403</v>
      </c>
      <c r="CX13" s="59">
        <f t="shared" si="14"/>
        <v>277.00250594391758</v>
      </c>
      <c r="CY13" s="59">
        <f ca="1">AVERAGE(OFFSET($CX$3,0,0,'Données projet'!$E$13+1,1))-AVERAGE(OFFSET($H$3,0,0,'Données projet'!$E$13+1,1))</f>
        <v>294.94331863127815</v>
      </c>
      <c r="CZ13" s="59">
        <f t="shared" si="42"/>
        <v>218.36990036643977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8.1412346499678296</v>
      </c>
      <c r="DQ13" s="13">
        <f t="shared" si="43"/>
        <v>2.9392598989436851</v>
      </c>
      <c r="DR13" s="20">
        <f t="shared" si="16"/>
        <v>19.298528006020888</v>
      </c>
      <c r="DS13" s="59">
        <f t="shared" si="17"/>
        <v>288.18741689490975</v>
      </c>
      <c r="DT13" s="59">
        <f ca="1">AVERAGE(OFFSET($DS$3,0,0,'Données projet'!$E$14+1,1))-AVERAGE(OFFSET($H$3,0,0,'Données projet'!$E$14+1,1))</f>
        <v>278.45534008146865</v>
      </c>
      <c r="DU13" s="59">
        <f t="shared" si="44"/>
        <v>272.97841038165217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4.0628205128205126</v>
      </c>
      <c r="EJ13" s="12">
        <f>IF('Données projet'!$A$192&gt;35,EJ12+EI13-ER12,IF(A13&lt;'Données projet'!$A$192,$EG$205^A13,IF(A13='Données projet'!$A$192,'Données projet'!$B$192,EJ12+EI13-ER12)))</f>
        <v>4.9581115906815549</v>
      </c>
      <c r="EK13" s="17">
        <f>EJ13*VLOOKUP('Données projet'!$B$15,Paramètres!$A$1:$I$89,3,0)*VLOOKUP('Données projet'!$B$15,Paramètres!$A$1:$I$89,5,0)</f>
        <v>5.3369113162096253</v>
      </c>
      <c r="EL13" s="13">
        <f t="shared" si="45"/>
        <v>2.023883438848963</v>
      </c>
      <c r="EM13" s="20">
        <f t="shared" si="19"/>
        <v>12.820050865060374</v>
      </c>
      <c r="EN13" s="59">
        <f t="shared" si="20"/>
        <v>281.70893975394921</v>
      </c>
      <c r="EO13" s="59">
        <f ca="1">AVERAGE(OFFSET($EN$3,0,0,'Données projet'!$E$15+1,1))-AVERAGE(OFFSET($H$3,0,0,'Données projet'!$E$15+1,1))</f>
        <v>449.09332781196957</v>
      </c>
      <c r="EP13" s="59">
        <f t="shared" si="46"/>
        <v>324.85904971519432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4.6333333333333337</v>
      </c>
      <c r="FE13" s="12">
        <f>IF('Données projet'!$A$218&gt;35,FE12+FD13-FM12,IF(A13&lt;'Données projet'!$A$218,$FB$205^A13,IF(A13='Données projet'!$A$218,'Données projet'!$B$218,FE12+FD13-FM12)))</f>
        <v>4.279742081984776</v>
      </c>
      <c r="FF13" s="17">
        <f>FE13*VLOOKUP('Données projet'!$B$16,Paramètres!$A$1:$I$89,3,0)*VLOOKUP('Données projet'!$B$16,Paramètres!$A$1:$I$89,5,0)</f>
        <v>4.3396584711325632</v>
      </c>
      <c r="FG13" s="13">
        <f t="shared" si="47"/>
        <v>1.6858067588678463</v>
      </c>
      <c r="FH13" s="20">
        <f t="shared" si="22"/>
        <v>10.494351942250711</v>
      </c>
      <c r="FI13" s="59">
        <f t="shared" si="23"/>
        <v>279.38324083113957</v>
      </c>
      <c r="FJ13" s="59">
        <f ca="1">AVERAGE(OFFSET($FI$3,0,0,'Données projet'!$E$16+1,1))-AVERAGE(OFFSET($H$3,0,0,'Données projet'!$E$16+1,1))</f>
        <v>419.51168383014721</v>
      </c>
      <c r="FK13" s="59">
        <f t="shared" si="48"/>
        <v>213.44145308833384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2.4666666666666668</v>
      </c>
      <c r="FZ13" s="12">
        <f>IF('Données projet'!$A$244&gt;35,FZ12+FY13-GH12,IF(A13&lt;'Données projet'!$A$244,$FW$205^A13,IF(A13='Données projet'!$A$244,'Données projet'!$B$244,FZ12+FY13-GH12)))</f>
        <v>11.103702468586782</v>
      </c>
      <c r="GA13" s="17">
        <f>FZ13*VLOOKUP('Données projet'!$B$17,Paramètres!$A$1:$I$89,3,0)*VLOOKUP('Données projet'!$B$17,Paramètres!$A$1:$I$89,5,0)</f>
        <v>9.7001944765574137</v>
      </c>
      <c r="GB13" s="13">
        <f t="shared" si="49"/>
        <v>3.4313993360317685</v>
      </c>
      <c r="GC13" s="20">
        <f t="shared" si="25"/>
        <v>22.870859223592827</v>
      </c>
      <c r="GD13" s="59">
        <f t="shared" si="26"/>
        <v>291.7597481124817</v>
      </c>
      <c r="GE13" s="59">
        <f ca="1">AVERAGE(OFFSET($GD$3,0,0,'Données projet'!$E$17+1,1))-AVERAGE(OFFSET($H$3,0,0,'Données projet'!$E$17+1,1))</f>
        <v>324.86930206492627</v>
      </c>
      <c r="GF13" s="59">
        <f t="shared" si="50"/>
        <v>317.03005098025352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4.0628205128205126</v>
      </c>
      <c r="GU13" s="12">
        <f>IF('Données projet'!$A$270&gt;35,GU12+GT13-HC12,IF(A13&lt;'Données projet'!$A$270,$GR$205^A13,IF(A13='Données projet'!$A$270,'Données projet'!$B$270,GU12+GT13-HC12)))</f>
        <v>4.9581115906815549</v>
      </c>
      <c r="GV13" s="17">
        <f>GU13*VLOOKUP('Données projet'!$B$18,Paramètres!$A$1:$I$89,3,0)*VLOOKUP('Données projet'!$B$18,Paramètres!$A$1:$I$89,5,0)</f>
        <v>4.7181389896925676</v>
      </c>
      <c r="GW13" s="13">
        <f t="shared" si="51"/>
        <v>1.8150804634015034</v>
      </c>
      <c r="GX13" s="20">
        <f t="shared" si="28"/>
        <v>11.378690547472175</v>
      </c>
      <c r="GY13" s="59">
        <f t="shared" si="29"/>
        <v>280.26757943636102</v>
      </c>
      <c r="GZ13" s="59">
        <f ca="1">AVERAGE(OFFSET($GY$3,0,0,'Données projet'!$E$18+1,1))-AVERAGE(OFFSET($H$3,0,0,'Données projet'!$E$18+1,1))</f>
        <v>401.81944956556271</v>
      </c>
      <c r="HA13" s="59">
        <f t="shared" si="52"/>
        <v>292.20785523952651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282.76397625718522</v>
      </c>
      <c r="S14" s="59">
        <f ca="1">AVERAGE(OFFSET($R$3,0,0,'Données projet'!$E$9+1,1))-AVERAGE(OFFSET($H$3,0,0,'Données projet'!$E$9+1,1))</f>
        <v>384.05928630855732</v>
      </c>
      <c r="T14" s="59">
        <f t="shared" si="34"/>
        <v>279.93992813630513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10.16068376068376</v>
      </c>
      <c r="AI14" s="13">
        <f>IF('Données projet'!$A$62&gt;35,AI13+AH14-AQ13,IF(A14&lt;'Données projet'!$A$62,$AF$205^A14,IF(A14='Données projet'!$A$62,'Données projet'!$B$62,AI13+AH14-AQ13)))</f>
        <v>24.124191581618767</v>
      </c>
      <c r="AJ14" s="13">
        <f>AI14*VLOOKUP('Données projet'!$B$10,Paramètres!$A$1:$I$89,3,0)*VLOOKUP('Données projet'!$B$10,Paramètres!$A$1:$I$89,5,0)</f>
        <v>13.48542309412489</v>
      </c>
      <c r="AK14" s="13">
        <f t="shared" si="35"/>
        <v>4.5909271865822117</v>
      </c>
      <c r="AL14" s="20">
        <f t="shared" si="4"/>
        <v>31.482976738898202</v>
      </c>
      <c r="AM14" s="59">
        <f t="shared" si="5"/>
        <v>301.59408785000937</v>
      </c>
      <c r="AN14" s="59">
        <f ca="1">AVERAGE(OFFSET($AM$3,0,0,'Données projet'!$E$10+1,1))-AVERAGE(OFFSET($H$3,0,0,'Données projet'!$E$10+1,1))</f>
        <v>335.04906256888819</v>
      </c>
      <c r="AO14" s="59">
        <f t="shared" si="36"/>
        <v>440.84111898279554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7.6594017094017097</v>
      </c>
      <c r="BD14" s="12">
        <f>IF('Données projet'!$A$88&gt;35,BD13+BC14-BL13,IF(A14&lt;'Données projet'!$A$88,$BA$205^A14,IF(A14='Données projet'!$A$88,'Données projet'!$B$88,BD13+BC14-BL13)))</f>
        <v>20.297954327360205</v>
      </c>
      <c r="BE14" s="13">
        <f>BD14*VLOOKUP('Données projet'!$B$11,Paramètres!$A$1:$I$89,3,0)*VLOOKUP('Données projet'!$B$11,Paramètres!$A$1:$I$89,5,0)</f>
        <v>11.610429875250038</v>
      </c>
      <c r="BF14" s="13">
        <f t="shared" si="37"/>
        <v>4.0220922060691588</v>
      </c>
      <c r="BG14" s="20">
        <f t="shared" si="7"/>
        <v>27.226642624964267</v>
      </c>
      <c r="BH14" s="59">
        <f t="shared" si="8"/>
        <v>297.3377537360754</v>
      </c>
      <c r="BI14" s="59">
        <f ca="1">AVERAGE(OFFSET($BH$3,0,0,'Données projet'!$E$11+1,1))-AVERAGE(OFFSET($H$3,0,0,'Données projet'!$E$11+1,1))</f>
        <v>320.76883487964511</v>
      </c>
      <c r="BJ14" s="59">
        <f t="shared" si="38"/>
        <v>290.51177680335746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</v>
      </c>
      <c r="BY14" s="12">
        <f>IF('Données projet'!$A$114&gt;35,BY13+BX14-CG13,IF(A14&lt;'Données projet'!$A$114,$BV$205^A14,IF(A14='Données projet'!$A$114,'Données projet'!$B$114,BY13+BX14-CG13)))</f>
        <v>84.000000000000014</v>
      </c>
      <c r="BZ14" s="13">
        <f>BY14*VLOOKUP('Données projet'!$B$12,Paramètres!$A$1:$I$89,3,0)*VLOOKUP('Données projet'!$B$12,Paramètres!$A$1:$I$89,5,0)</f>
        <v>76.003200000000007</v>
      </c>
      <c r="CA14" s="13">
        <f t="shared" si="39"/>
        <v>21.157049992000456</v>
      </c>
      <c r="CB14" s="20">
        <f t="shared" si="10"/>
        <v>169.22076873606747</v>
      </c>
      <c r="CC14" s="59">
        <f t="shared" si="11"/>
        <v>439.33187984717858</v>
      </c>
      <c r="CD14" s="59">
        <f ca="1">AVERAGE(OFFSET($CC$3,0,0,'Données projet'!$E$12+1,1))-AVERAGE(OFFSET($H$3,0,0,'Données projet'!$E$12+1,1))</f>
        <v>366.69125512029831</v>
      </c>
      <c r="CE14" s="59">
        <f t="shared" si="40"/>
        <v>513.80016421153414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4.0628205128205126</v>
      </c>
      <c r="CT14" s="12">
        <f>IF('Données projet'!$A$140&gt;35,CT13+CS14-DB13,IF(A14&lt;'Données projet'!$A$140,$CQ$205^A14,IF(A14='Données projet'!$A$140,'Données projet'!$B$140,CT13+CS14-DB13)))</f>
        <v>5.8189942330107201</v>
      </c>
      <c r="CU14" s="17">
        <f>CT14*VLOOKUP('Données projet'!$B$13,Paramètres!$A$1:$I$89,3,0)*VLOOKUP('Données projet'!$B$13,Paramètres!$A$1:$I$89,5,0)</f>
        <v>3.9033813315035912</v>
      </c>
      <c r="CV14" s="13">
        <f t="shared" si="41"/>
        <v>1.5351446924476555</v>
      </c>
      <c r="CW14" s="20">
        <f t="shared" si="13"/>
        <v>9.4720994917150865</v>
      </c>
      <c r="CX14" s="59">
        <f t="shared" si="14"/>
        <v>279.58321060282623</v>
      </c>
      <c r="CY14" s="59">
        <f ca="1">AVERAGE(OFFSET($CX$3,0,0,'Données projet'!$E$13+1,1))-AVERAGE(OFFSET($H$3,0,0,'Données projet'!$E$13+1,1))</f>
        <v>294.94331863127815</v>
      </c>
      <c r="CZ14" s="59">
        <f t="shared" si="42"/>
        <v>218.36990036643977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10.357073396684818</v>
      </c>
      <c r="DQ14" s="13">
        <f t="shared" si="43"/>
        <v>3.6359301026893722</v>
      </c>
      <c r="DR14" s="20">
        <f t="shared" si="16"/>
        <v>24.371147761410047</v>
      </c>
      <c r="DS14" s="59">
        <f t="shared" si="17"/>
        <v>294.48225887252119</v>
      </c>
      <c r="DT14" s="59">
        <f ca="1">AVERAGE(OFFSET($DS$3,0,0,'Données projet'!$E$14+1,1))-AVERAGE(OFFSET($H$3,0,0,'Données projet'!$E$14+1,1))</f>
        <v>278.45534008146865</v>
      </c>
      <c r="DU14" s="59">
        <f t="shared" si="44"/>
        <v>272.97841038165217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4.0628205128205126</v>
      </c>
      <c r="EJ14" s="12">
        <f>IF('Données projet'!$A$192&gt;35,EJ13+EI14-ER13,IF(A14&lt;'Données projet'!$A$192,$EG$205^A14,IF(A14='Données projet'!$A$192,'Données projet'!$B$192,EJ13+EI14-ER13)))</f>
        <v>5.8189942330107201</v>
      </c>
      <c r="EK14" s="17">
        <f>EJ14*VLOOKUP('Données projet'!$B$15,Paramètres!$A$1:$I$89,3,0)*VLOOKUP('Données projet'!$B$15,Paramètres!$A$1:$I$89,5,0)</f>
        <v>6.2635653924127377</v>
      </c>
      <c r="EL14" s="13">
        <f t="shared" si="45"/>
        <v>2.3314367863069263</v>
      </c>
      <c r="EM14" s="20">
        <f t="shared" si="19"/>
        <v>14.969628794603414</v>
      </c>
      <c r="EN14" s="59">
        <f t="shared" si="20"/>
        <v>285.08073990571455</v>
      </c>
      <c r="EO14" s="59">
        <f ca="1">AVERAGE(OFFSET($EN$3,0,0,'Données projet'!$E$15+1,1))-AVERAGE(OFFSET($H$3,0,0,'Données projet'!$E$15+1,1))</f>
        <v>449.09332781196957</v>
      </c>
      <c r="EP14" s="59">
        <f t="shared" si="46"/>
        <v>324.85904971519432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4.6333333333333337</v>
      </c>
      <c r="FE14" s="12">
        <f>IF('Données projet'!$A$218&gt;35,FE13+FD14-FM13,IF(A14&lt;'Données projet'!$A$218,$FB$205^A14,IF(A14='Données projet'!$A$218,'Données projet'!$B$218,FE13+FD14-FM13)))</f>
        <v>4.9494775285173693</v>
      </c>
      <c r="FF14" s="17">
        <f>FE14*VLOOKUP('Données projet'!$B$16,Paramètres!$A$1:$I$89,3,0)*VLOOKUP('Données projet'!$B$16,Paramètres!$A$1:$I$89,5,0)</f>
        <v>5.0187702139166124</v>
      </c>
      <c r="FG14" s="13">
        <f t="shared" si="47"/>
        <v>1.916901731136365</v>
      </c>
      <c r="FH14" s="20">
        <f t="shared" si="22"/>
        <v>12.079628637633936</v>
      </c>
      <c r="FI14" s="59">
        <f t="shared" si="23"/>
        <v>282.1907397487451</v>
      </c>
      <c r="FJ14" s="59">
        <f ca="1">AVERAGE(OFFSET($FI$3,0,0,'Données projet'!$E$16+1,1))-AVERAGE(OFFSET($H$3,0,0,'Données projet'!$E$16+1,1))</f>
        <v>419.51168383014721</v>
      </c>
      <c r="FK14" s="59">
        <f t="shared" si="48"/>
        <v>213.44145308833384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2.4666666666666668</v>
      </c>
      <c r="FZ14" s="12">
        <f>IF('Données projet'!$A$244&gt;35,FZ13+FY14-GH13,IF(A14&lt;'Données projet'!$A$244,$FW$205^A14,IF(A14='Données projet'!$A$244,'Données projet'!$B$244,FZ13+FY14-GH13)))</f>
        <v>14.125850240977657</v>
      </c>
      <c r="GA14" s="17">
        <f>FZ14*VLOOKUP('Données projet'!$B$17,Paramètres!$A$1:$I$89,3,0)*VLOOKUP('Données projet'!$B$17,Paramètres!$A$1:$I$89,5,0)</f>
        <v>12.340342770518083</v>
      </c>
      <c r="GB14" s="13">
        <f t="shared" si="49"/>
        <v>4.2447175714913801</v>
      </c>
      <c r="GC14" s="20">
        <f t="shared" si="25"/>
        <v>28.885646762333149</v>
      </c>
      <c r="GD14" s="59">
        <f t="shared" si="26"/>
        <v>298.99675787344427</v>
      </c>
      <c r="GE14" s="59">
        <f ca="1">AVERAGE(OFFSET($GD$3,0,0,'Données projet'!$E$17+1,1))-AVERAGE(OFFSET($H$3,0,0,'Données projet'!$E$17+1,1))</f>
        <v>324.86930206492627</v>
      </c>
      <c r="GF14" s="59">
        <f t="shared" si="50"/>
        <v>317.03005098025352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4.0628205128205126</v>
      </c>
      <c r="GU14" s="12">
        <f>IF('Données projet'!$A$270&gt;35,GU13+GT14-HC13,IF(A14&lt;'Données projet'!$A$270,$GR$205^A14,IF(A14='Données projet'!$A$270,'Données projet'!$B$270,GU13+GT14-HC13)))</f>
        <v>5.8189942330107201</v>
      </c>
      <c r="GV14" s="17">
        <f>GU14*VLOOKUP('Données projet'!$B$18,Paramètres!$A$1:$I$89,3,0)*VLOOKUP('Données projet'!$B$18,Paramètres!$A$1:$I$89,5,0)</f>
        <v>5.5373549121330017</v>
      </c>
      <c r="GW14" s="13">
        <f t="shared" si="51"/>
        <v>2.0909036959598799</v>
      </c>
      <c r="GX14" s="20">
        <f t="shared" si="28"/>
        <v>13.285883742428437</v>
      </c>
      <c r="GY14" s="59">
        <f t="shared" si="29"/>
        <v>283.39699485353958</v>
      </c>
      <c r="GZ14" s="59">
        <f ca="1">AVERAGE(OFFSET($GY$3,0,0,'Données projet'!$E$18+1,1))-AVERAGE(OFFSET($H$3,0,0,'Données projet'!$E$18+1,1))</f>
        <v>401.81944956556271</v>
      </c>
      <c r="HA14" s="59">
        <f t="shared" si="52"/>
        <v>292.20785523952651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286.10765754879242</v>
      </c>
      <c r="S15" s="59">
        <f ca="1">AVERAGE(OFFSET($R$3,0,0,'Données projet'!$E$9+1,1))-AVERAGE(OFFSET($H$3,0,0,'Données projet'!$E$9+1,1))</f>
        <v>384.05928630855732</v>
      </c>
      <c r="T15" s="59">
        <f t="shared" si="34"/>
        <v>279.93992813630513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10.16068376068376</v>
      </c>
      <c r="AI15" s="13">
        <f>IF('Données projet'!$A$62&gt;35,AI14+AH15-AQ14,IF(A15&lt;'Données projet'!$A$62,$AF$205^A15,IF(A15='Données projet'!$A$62,'Données projet'!$B$62,AI14+AH15-AQ14)))</f>
        <v>32.220352927755336</v>
      </c>
      <c r="AJ15" s="13">
        <f>AI15*VLOOKUP('Données projet'!$B$10,Paramètres!$A$1:$I$89,3,0)*VLOOKUP('Données projet'!$B$10,Paramètres!$A$1:$I$89,5,0)</f>
        <v>18.011177286615233</v>
      </c>
      <c r="AK15" s="13">
        <f t="shared" si="35"/>
        <v>5.9285578959851977</v>
      </c>
      <c r="AL15" s="20">
        <f t="shared" si="4"/>
        <v>41.695038776362409</v>
      </c>
      <c r="AM15" s="59">
        <f t="shared" si="5"/>
        <v>313.02837210969574</v>
      </c>
      <c r="AN15" s="59">
        <f ca="1">AVERAGE(OFFSET($AM$3,0,0,'Données projet'!$E$10+1,1))-AVERAGE(OFFSET($H$3,0,0,'Données projet'!$E$10+1,1))</f>
        <v>335.04906256888819</v>
      </c>
      <c r="AO15" s="59">
        <f t="shared" si="36"/>
        <v>440.84111898279554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7.6594017094017097</v>
      </c>
      <c r="BD15" s="12">
        <f>IF('Données projet'!$A$88&gt;35,BD14+BC15-BL14,IF(A15&lt;'Données projet'!$A$88,$BA$205^A15,IF(A15='Données projet'!$A$88,'Données projet'!$B$88,BD14+BC15-BL14)))</f>
        <v>26.687725889164497</v>
      </c>
      <c r="BE15" s="13">
        <f>BD15*VLOOKUP('Données projet'!$B$11,Paramètres!$A$1:$I$89,3,0)*VLOOKUP('Données projet'!$B$11,Paramètres!$A$1:$I$89,5,0)</f>
        <v>15.265379208602091</v>
      </c>
      <c r="BF15" s="13">
        <f t="shared" si="37"/>
        <v>5.1224307710290127</v>
      </c>
      <c r="BG15" s="20">
        <f t="shared" si="7"/>
        <v>35.508769047857506</v>
      </c>
      <c r="BH15" s="59">
        <f t="shared" si="8"/>
        <v>306.84210238119084</v>
      </c>
      <c r="BI15" s="59">
        <f ca="1">AVERAGE(OFFSET($BH$3,0,0,'Données projet'!$E$11+1,1))-AVERAGE(OFFSET($H$3,0,0,'Données projet'!$E$11+1,1))</f>
        <v>320.76883487964511</v>
      </c>
      <c r="BJ15" s="59">
        <f t="shared" si="38"/>
        <v>290.51177680335746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</v>
      </c>
      <c r="BY15" s="12">
        <f>IF('Données projet'!$A$114&gt;35,BY14+BX15-CG14,IF(A15&lt;'Données projet'!$A$114,$BV$205^A15,IF(A15='Données projet'!$A$114,'Données projet'!$B$114,BY14+BX15-CG14)))</f>
        <v>98.000000000000014</v>
      </c>
      <c r="BZ15" s="13">
        <f>BY15*VLOOKUP('Données projet'!$B$12,Paramètres!$A$1:$I$89,3,0)*VLOOKUP('Données projet'!$B$12,Paramètres!$A$1:$I$89,5,0)</f>
        <v>88.670400000000015</v>
      </c>
      <c r="CA15" s="13">
        <f t="shared" si="39"/>
        <v>24.244280250395512</v>
      </c>
      <c r="CB15" s="20">
        <f t="shared" si="10"/>
        <v>196.65973476943884</v>
      </c>
      <c r="CC15" s="59">
        <f t="shared" si="11"/>
        <v>467.99306810277216</v>
      </c>
      <c r="CD15" s="59">
        <f ca="1">AVERAGE(OFFSET($CC$3,0,0,'Données projet'!$E$12+1,1))-AVERAGE(OFFSET($H$3,0,0,'Données projet'!$E$12+1,1))</f>
        <v>366.69125512029831</v>
      </c>
      <c r="CE15" s="59">
        <f t="shared" si="40"/>
        <v>513.80016421153414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4.0628205128205126</v>
      </c>
      <c r="CT15" s="12">
        <f>IF('Données projet'!$A$140&gt;35,CT14+CS15-DB14,IF(A15&lt;'Données projet'!$A$140,$CQ$205^A15,IF(A15='Données projet'!$A$140,'Données projet'!$B$140,CT14+CS15-DB14)))</f>
        <v>6.8293529228851897</v>
      </c>
      <c r="CU15" s="17">
        <f>CT15*VLOOKUP('Données projet'!$B$13,Paramètres!$A$1:$I$89,3,0)*VLOOKUP('Données projet'!$B$13,Paramètres!$A$1:$I$89,5,0)</f>
        <v>4.5811299406713859</v>
      </c>
      <c r="CV15" s="13">
        <f t="shared" si="41"/>
        <v>1.7684283292084371</v>
      </c>
      <c r="CW15" s="20">
        <f t="shared" si="13"/>
        <v>11.058813986707358</v>
      </c>
      <c r="CX15" s="59">
        <f t="shared" si="14"/>
        <v>282.39214732004069</v>
      </c>
      <c r="CY15" s="59">
        <f ca="1">AVERAGE(OFFSET($CX$3,0,0,'Données projet'!$E$13+1,1))-AVERAGE(OFFSET($H$3,0,0,'Données projet'!$E$13+1,1))</f>
        <v>294.94331863127815</v>
      </c>
      <c r="CZ15" s="59">
        <f t="shared" si="42"/>
        <v>218.36990036643977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13.176007565970389</v>
      </c>
      <c r="DQ15" s="13">
        <f t="shared" si="43"/>
        <v>4.4977266952111856</v>
      </c>
      <c r="DR15" s="20">
        <f t="shared" si="16"/>
        <v>30.781753838224574</v>
      </c>
      <c r="DS15" s="59">
        <f t="shared" si="17"/>
        <v>302.11508717155789</v>
      </c>
      <c r="DT15" s="59">
        <f ca="1">AVERAGE(OFFSET($DS$3,0,0,'Données projet'!$E$14+1,1))-AVERAGE(OFFSET($H$3,0,0,'Données projet'!$E$14+1,1))</f>
        <v>278.45534008146865</v>
      </c>
      <c r="DU15" s="59">
        <f t="shared" si="44"/>
        <v>272.97841038165217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4.0628205128205126</v>
      </c>
      <c r="EJ15" s="12">
        <f>IF('Données projet'!$A$192&gt;35,EJ14+EI15-ER14,IF(A15&lt;'Données projet'!$A$192,$EG$205^A15,IF(A15='Données projet'!$A$192,'Données projet'!$B$192,EJ14+EI15-ER14)))</f>
        <v>6.8293529228851897</v>
      </c>
      <c r="EK15" s="17">
        <f>EJ15*VLOOKUP('Données projet'!$B$15,Paramètres!$A$1:$I$89,3,0)*VLOOKUP('Données projet'!$B$15,Paramètres!$A$1:$I$89,5,0)</f>
        <v>7.3511154861936179</v>
      </c>
      <c r="EL15" s="13">
        <f t="shared" si="45"/>
        <v>2.6857265513455357</v>
      </c>
      <c r="EM15" s="20">
        <f t="shared" si="19"/>
        <v>17.480833215380692</v>
      </c>
      <c r="EN15" s="59">
        <f t="shared" si="20"/>
        <v>288.81416654871401</v>
      </c>
      <c r="EO15" s="59">
        <f ca="1">AVERAGE(OFFSET($EN$3,0,0,'Données projet'!$E$15+1,1))-AVERAGE(OFFSET($H$3,0,0,'Données projet'!$E$15+1,1))</f>
        <v>449.09332781196957</v>
      </c>
      <c r="EP15" s="59">
        <f t="shared" si="46"/>
        <v>324.85904971519432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4.6333333333333337</v>
      </c>
      <c r="FE15" s="12">
        <f>IF('Données projet'!$A$218&gt;35,FE14+FD15-FM14,IF(A15&lt;'Données projet'!$A$218,$FB$205^A15,IF(A15='Données projet'!$A$218,'Données projet'!$B$218,FE14+FD15-FM14)))</f>
        <v>5.7240196572634368</v>
      </c>
      <c r="FF15" s="17">
        <f>FE15*VLOOKUP('Données projet'!$B$16,Paramètres!$A$1:$I$89,3,0)*VLOOKUP('Données projet'!$B$16,Paramètres!$A$1:$I$89,5,0)</f>
        <v>5.8041559324651253</v>
      </c>
      <c r="FG15" s="13">
        <f t="shared" si="47"/>
        <v>2.1796758302839656</v>
      </c>
      <c r="FH15" s="20">
        <f t="shared" si="22"/>
        <v>13.905173653454666</v>
      </c>
      <c r="FI15" s="59">
        <f t="shared" si="23"/>
        <v>285.23850698678797</v>
      </c>
      <c r="FJ15" s="59">
        <f ca="1">AVERAGE(OFFSET($FI$3,0,0,'Données projet'!$E$16+1,1))-AVERAGE(OFFSET($H$3,0,0,'Données projet'!$E$16+1,1))</f>
        <v>419.51168383014721</v>
      </c>
      <c r="FK15" s="59">
        <f t="shared" si="48"/>
        <v>213.44145308833384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2.4666666666666668</v>
      </c>
      <c r="FZ15" s="12">
        <f>IF('Données projet'!$A$244&gt;35,FZ14+FY15-GH14,IF(A15&lt;'Données projet'!$A$244,$FW$205^A15,IF(A15='Données projet'!$A$244,'Données projet'!$B$244,FZ14+FY15-GH14)))</f>
        <v>17.970550417308221</v>
      </c>
      <c r="GA15" s="17">
        <f>FZ15*VLOOKUP('Données projet'!$B$17,Paramètres!$A$1:$I$89,3,0)*VLOOKUP('Données projet'!$B$17,Paramètres!$A$1:$I$89,5,0)</f>
        <v>15.699072844560465</v>
      </c>
      <c r="GB15" s="13">
        <f t="shared" si="49"/>
        <v>5.250810382962916</v>
      </c>
      <c r="GC15" s="20">
        <f t="shared" si="25"/>
        <v>36.48771328793655</v>
      </c>
      <c r="GD15" s="59">
        <f t="shared" si="26"/>
        <v>307.82104662126989</v>
      </c>
      <c r="GE15" s="59">
        <f ca="1">AVERAGE(OFFSET($GD$3,0,0,'Données projet'!$E$17+1,1))-AVERAGE(OFFSET($H$3,0,0,'Données projet'!$E$17+1,1))</f>
        <v>324.86930206492627</v>
      </c>
      <c r="GF15" s="59">
        <f t="shared" si="50"/>
        <v>317.03005098025352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4.0628205128205126</v>
      </c>
      <c r="GU15" s="12">
        <f>IF('Données projet'!$A$270&gt;35,GU14+GT15-HC14,IF(A15&lt;'Données projet'!$A$270,$GR$205^A15,IF(A15='Données projet'!$A$270,'Données projet'!$B$270,GU14+GT15-HC14)))</f>
        <v>6.8293529228851897</v>
      </c>
      <c r="GV15" s="17">
        <f>GU15*VLOOKUP('Données projet'!$B$18,Paramètres!$A$1:$I$89,3,0)*VLOOKUP('Données projet'!$B$18,Paramètres!$A$1:$I$89,5,0)</f>
        <v>6.4988122414175455</v>
      </c>
      <c r="GW15" s="13">
        <f t="shared" si="51"/>
        <v>2.408641574812437</v>
      </c>
      <c r="GX15" s="20">
        <f t="shared" si="28"/>
        <v>15.513815396600551</v>
      </c>
      <c r="GY15" s="59">
        <f t="shared" si="29"/>
        <v>286.84714872993385</v>
      </c>
      <c r="GZ15" s="59">
        <f ca="1">AVERAGE(OFFSET($GY$3,0,0,'Données projet'!$E$18+1,1))-AVERAGE(OFFSET($H$3,0,0,'Données projet'!$E$18+1,1))</f>
        <v>401.81944956556271</v>
      </c>
      <c r="HA15" s="59">
        <f t="shared" si="52"/>
        <v>292.20785523952651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289.8082212748609</v>
      </c>
      <c r="S16" s="59">
        <f ca="1">AVERAGE(OFFSET($R$3,0,0,'Données projet'!$E$9+1,1))-AVERAGE(OFFSET($H$3,0,0,'Données projet'!$E$9+1,1))</f>
        <v>384.05928630855732</v>
      </c>
      <c r="T16" s="59">
        <f t="shared" si="34"/>
        <v>279.93992813630513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10.16068376068376</v>
      </c>
      <c r="AI16" s="13">
        <f>IF('Données projet'!$A$62&gt;35,AI15+AH16-AQ15,IF(A16&lt;'Données projet'!$A$62,$AF$205^A16,IF(A16='Données projet'!$A$62,'Données projet'!$B$62,AI15+AH16-AQ15)))</f>
        <v>43.033613759729988</v>
      </c>
      <c r="AJ16" s="13">
        <f>AI16*VLOOKUP('Données projet'!$B$10,Paramètres!$A$1:$I$89,3,0)*VLOOKUP('Données projet'!$B$10,Paramètres!$A$1:$I$89,5,0)</f>
        <v>24.055790091689062</v>
      </c>
      <c r="AK16" s="13">
        <f t="shared" si="35"/>
        <v>7.6559259813080898</v>
      </c>
      <c r="AL16" s="20">
        <f t="shared" si="4"/>
        <v>55.231238827136707</v>
      </c>
      <c r="AM16" s="59">
        <f t="shared" si="5"/>
        <v>327.78679438269228</v>
      </c>
      <c r="AN16" s="59">
        <f ca="1">AVERAGE(OFFSET($AM$3,0,0,'Données projet'!$E$10+1,1))-AVERAGE(OFFSET($H$3,0,0,'Données projet'!$E$10+1,1))</f>
        <v>335.04906256888819</v>
      </c>
      <c r="AO16" s="59">
        <f t="shared" si="36"/>
        <v>440.84111898279554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7.6594017094017097</v>
      </c>
      <c r="BD16" s="12">
        <f>IF('Données projet'!$A$88&gt;35,BD15+BC16-BL15,IF(A16&lt;'Données projet'!$A$88,$BA$205^A16,IF(A16='Données projet'!$A$88,'Données projet'!$B$88,BD15+BC16-BL15)))</f>
        <v>35.088989838505007</v>
      </c>
      <c r="BE16" s="13">
        <f>BD16*VLOOKUP('Données projet'!$B$11,Paramètres!$A$1:$I$89,3,0)*VLOOKUP('Données projet'!$B$11,Paramètres!$A$1:$I$89,5,0)</f>
        <v>20.070902187624863</v>
      </c>
      <c r="BF16" s="13">
        <f t="shared" si="37"/>
        <v>6.5237930061352039</v>
      </c>
      <c r="BG16" s="20">
        <f t="shared" si="7"/>
        <v>46.319094129132111</v>
      </c>
      <c r="BH16" s="59">
        <f t="shared" si="8"/>
        <v>318.87464968468765</v>
      </c>
      <c r="BI16" s="59">
        <f ca="1">AVERAGE(OFFSET($BH$3,0,0,'Données projet'!$E$11+1,1))-AVERAGE(OFFSET($H$3,0,0,'Données projet'!$E$11+1,1))</f>
        <v>320.76883487964511</v>
      </c>
      <c r="BJ16" s="59">
        <f t="shared" si="38"/>
        <v>290.51177680335746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</v>
      </c>
      <c r="BY16" s="12">
        <f>IF('Données projet'!$A$114&gt;35,BY15+BX16-CG15,IF(A16&lt;'Données projet'!$A$114,$BV$205^A16,IF(A16='Données projet'!$A$114,'Données projet'!$B$114,BY15+BX16-CG15)))</f>
        <v>112.00000000000001</v>
      </c>
      <c r="BZ16" s="13">
        <f>BY16*VLOOKUP('Données projet'!$B$12,Paramètres!$A$1:$I$89,3,0)*VLOOKUP('Données projet'!$B$12,Paramètres!$A$1:$I$89,5,0)</f>
        <v>101.33760000000001</v>
      </c>
      <c r="CA16" s="13">
        <f t="shared" si="39"/>
        <v>27.280415454305565</v>
      </c>
      <c r="CB16" s="20">
        <f t="shared" si="10"/>
        <v>224.00971024958221</v>
      </c>
      <c r="CC16" s="59">
        <f t="shared" si="11"/>
        <v>496.56526580513776</v>
      </c>
      <c r="CD16" s="59">
        <f ca="1">AVERAGE(OFFSET($CC$3,0,0,'Données projet'!$E$12+1,1))-AVERAGE(OFFSET($H$3,0,0,'Données projet'!$E$12+1,1))</f>
        <v>366.69125512029831</v>
      </c>
      <c r="CE16" s="59">
        <f t="shared" si="40"/>
        <v>513.80016421153414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4.0628205128205126</v>
      </c>
      <c r="CT16" s="12">
        <f>IF('Données projet'!$A$140&gt;35,CT15+CS16-DB15,IF(A16&lt;'Données projet'!$A$140,$CQ$205^A16,IF(A16='Données projet'!$A$140,'Données projet'!$B$140,CT15+CS16-DB15)))</f>
        <v>8.0151413590917304</v>
      </c>
      <c r="CU16" s="17">
        <f>CT16*VLOOKUP('Données projet'!$B$13,Paramètres!$A$1:$I$89,3,0)*VLOOKUP('Données projet'!$B$13,Paramètres!$A$1:$I$89,5,0)</f>
        <v>5.3765568236787331</v>
      </c>
      <c r="CV16" s="13">
        <f t="shared" si="41"/>
        <v>2.0371622107885297</v>
      </c>
      <c r="CW16" s="20">
        <f t="shared" si="13"/>
        <v>12.912227318363817</v>
      </c>
      <c r="CX16" s="59">
        <f t="shared" si="14"/>
        <v>285.46778287391936</v>
      </c>
      <c r="CY16" s="59">
        <f ca="1">AVERAGE(OFFSET($CX$3,0,0,'Données projet'!$E$13+1,1))-AVERAGE(OFFSET($H$3,0,0,'Données projet'!$E$13+1,1))</f>
        <v>294.94331863127815</v>
      </c>
      <c r="CZ16" s="59">
        <f t="shared" si="42"/>
        <v>218.36990036643977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16.762184521553994</v>
      </c>
      <c r="DQ16" s="13">
        <f t="shared" si="43"/>
        <v>5.5637883164619248</v>
      </c>
      <c r="DR16" s="20">
        <f t="shared" si="16"/>
        <v>38.884402692877721</v>
      </c>
      <c r="DS16" s="59">
        <f t="shared" si="17"/>
        <v>311.43995824843324</v>
      </c>
      <c r="DT16" s="59">
        <f ca="1">AVERAGE(OFFSET($DS$3,0,0,'Données projet'!$E$14+1,1))-AVERAGE(OFFSET($H$3,0,0,'Données projet'!$E$14+1,1))</f>
        <v>278.45534008146865</v>
      </c>
      <c r="DU16" s="59">
        <f t="shared" si="44"/>
        <v>272.97841038165217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4.0628205128205126</v>
      </c>
      <c r="EJ16" s="12">
        <f>IF('Données projet'!$A$192&gt;35,EJ15+EI16-ER15,IF(A16&lt;'Données projet'!$A$192,$EG$205^A16,IF(A16='Données projet'!$A$192,'Données projet'!$B$192,EJ15+EI16-ER15)))</f>
        <v>8.0151413590917304</v>
      </c>
      <c r="EK16" s="17">
        <f>EJ16*VLOOKUP('Données projet'!$B$15,Paramètres!$A$1:$I$89,3,0)*VLOOKUP('Données projet'!$B$15,Paramètres!$A$1:$I$89,5,0)</f>
        <v>8.627498158926338</v>
      </c>
      <c r="EL16" s="13">
        <f t="shared" si="45"/>
        <v>3.0938548928140652</v>
      </c>
      <c r="EM16" s="20">
        <f t="shared" si="19"/>
        <v>20.414689898447865</v>
      </c>
      <c r="EN16" s="59">
        <f t="shared" si="20"/>
        <v>292.97024545400342</v>
      </c>
      <c r="EO16" s="59">
        <f ca="1">AVERAGE(OFFSET($EN$3,0,0,'Données projet'!$E$15+1,1))-AVERAGE(OFFSET($H$3,0,0,'Données projet'!$E$15+1,1))</f>
        <v>449.09332781196957</v>
      </c>
      <c r="EP16" s="59">
        <f t="shared" si="46"/>
        <v>324.85904971519432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4.6333333333333337</v>
      </c>
      <c r="FE16" s="12">
        <f>IF('Données projet'!$A$218&gt;35,FE15+FD16-FM15,IF(A16&lt;'Données projet'!$A$218,$FB$205^A16,IF(A16='Données projet'!$A$218,'Données projet'!$B$218,FE15+FD16-FM15)))</f>
        <v>6.6197696318368591</v>
      </c>
      <c r="FF16" s="17">
        <f>FE16*VLOOKUP('Données projet'!$B$16,Paramètres!$A$1:$I$89,3,0)*VLOOKUP('Données projet'!$B$16,Paramètres!$A$1:$I$89,5,0)</f>
        <v>6.7124464066825755</v>
      </c>
      <c r="FG16" s="13">
        <f t="shared" si="47"/>
        <v>2.4784717171222153</v>
      </c>
      <c r="FH16" s="20">
        <f t="shared" si="22"/>
        <v>16.007515732293342</v>
      </c>
      <c r="FI16" s="59">
        <f t="shared" si="23"/>
        <v>288.56307128784886</v>
      </c>
      <c r="FJ16" s="59">
        <f ca="1">AVERAGE(OFFSET($FI$3,0,0,'Données projet'!$E$16+1,1))-AVERAGE(OFFSET($H$3,0,0,'Données projet'!$E$16+1,1))</f>
        <v>419.51168383014721</v>
      </c>
      <c r="FK16" s="59">
        <f t="shared" si="48"/>
        <v>213.44145308833384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2.4666666666666668</v>
      </c>
      <c r="FZ16" s="12">
        <f>IF('Données projet'!$A$244&gt;35,FZ15+FY16-GH15,IF(A16&lt;'Données projet'!$A$244,$FW$205^A16,IF(A16='Données projet'!$A$244,'Données projet'!$B$244,FZ15+FY16-GH15)))</f>
        <v>22.86168101684942</v>
      </c>
      <c r="GA16" s="17">
        <f>FZ16*VLOOKUP('Données projet'!$B$17,Paramètres!$A$1:$I$89,3,0)*VLOOKUP('Données projet'!$B$17,Paramètres!$A$1:$I$89,5,0)</f>
        <v>19.971964536319657</v>
      </c>
      <c r="GB16" s="13">
        <f t="shared" si="49"/>
        <v>6.4953696479137237</v>
      </c>
      <c r="GC16" s="20">
        <f t="shared" si="25"/>
        <v>46.097273704206465</v>
      </c>
      <c r="GD16" s="59">
        <f t="shared" si="26"/>
        <v>318.65282925976203</v>
      </c>
      <c r="GE16" s="59">
        <f ca="1">AVERAGE(OFFSET($GD$3,0,0,'Données projet'!$E$17+1,1))-AVERAGE(OFFSET($H$3,0,0,'Données projet'!$E$17+1,1))</f>
        <v>324.86930206492627</v>
      </c>
      <c r="GF16" s="59">
        <f t="shared" si="50"/>
        <v>317.03005098025352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4.0628205128205126</v>
      </c>
      <c r="GU16" s="12">
        <f>IF('Données projet'!$A$270&gt;35,GU15+GT16-HC15,IF(A16&lt;'Données projet'!$A$270,$GR$205^A16,IF(A16='Données projet'!$A$270,'Données projet'!$B$270,GU15+GT16-HC15)))</f>
        <v>8.0151413590917304</v>
      </c>
      <c r="GV16" s="17">
        <f>GU16*VLOOKUP('Données projet'!$B$18,Paramètres!$A$1:$I$89,3,0)*VLOOKUP('Données projet'!$B$18,Paramètres!$A$1:$I$89,5,0)</f>
        <v>7.6272085173116917</v>
      </c>
      <c r="GW16" s="13">
        <f t="shared" si="51"/>
        <v>2.7746635328661533</v>
      </c>
      <c r="GX16" s="20">
        <f t="shared" si="28"/>
        <v>18.116593820726411</v>
      </c>
      <c r="GY16" s="59">
        <f t="shared" si="29"/>
        <v>290.67214937628194</v>
      </c>
      <c r="GZ16" s="59">
        <f ca="1">AVERAGE(OFFSET($GY$3,0,0,'Données projet'!$E$18+1,1))-AVERAGE(OFFSET($H$3,0,0,'Données projet'!$E$18+1,1))</f>
        <v>401.81944956556271</v>
      </c>
      <c r="HA16" s="59">
        <f t="shared" si="52"/>
        <v>292.20785523952651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293.9258904996496</v>
      </c>
      <c r="S17" s="59">
        <f ca="1">AVERAGE(OFFSET($R$3,0,0,'Données projet'!$E$9+1,1))-AVERAGE(OFFSET($H$3,0,0,'Données projet'!$E$9+1,1))</f>
        <v>384.05928630855732</v>
      </c>
      <c r="T17" s="59">
        <f t="shared" si="34"/>
        <v>279.93992813630513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10.16068376068376</v>
      </c>
      <c r="AI17" s="13">
        <f>IF('Données projet'!$A$62&gt;35,AI16+AH17-AQ16,IF(A17&lt;'Données projet'!$A$62,$AF$205^A17,IF(A17='Données projet'!$A$62,'Données projet'!$B$62,AI16+AH17-AQ16)))</f>
        <v>57.475841973982881</v>
      </c>
      <c r="AJ17" s="13">
        <f>AI17*VLOOKUP('Données projet'!$B$10,Paramètres!$A$1:$I$89,3,0)*VLOOKUP('Données projet'!$B$10,Paramètres!$A$1:$I$89,5,0)</f>
        <v>32.128995663456436</v>
      </c>
      <c r="AK17" s="13">
        <f t="shared" si="35"/>
        <v>9.8865868664217604</v>
      </c>
      <c r="AL17" s="20">
        <f t="shared" si="4"/>
        <v>73.177139572871184</v>
      </c>
      <c r="AM17" s="59">
        <f t="shared" si="5"/>
        <v>346.95491735064894</v>
      </c>
      <c r="AN17" s="59">
        <f ca="1">AVERAGE(OFFSET($AM$3,0,0,'Données projet'!$E$10+1,1))-AVERAGE(OFFSET($H$3,0,0,'Données projet'!$E$10+1,1))</f>
        <v>335.04906256888819</v>
      </c>
      <c r="AO17" s="59">
        <f t="shared" si="36"/>
        <v>440.84111898279554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7.6594017094017097</v>
      </c>
      <c r="BD17" s="12">
        <f>IF('Données projet'!$A$88&gt;35,BD16+BC17-BL16,IF(A17&lt;'Données projet'!$A$88,$BA$205^A17,IF(A17='Données projet'!$A$88,'Données projet'!$B$88,BD16+BC17-BL16)))</f>
        <v>46.134961554989708</v>
      </c>
      <c r="BE17" s="13">
        <f>BD17*VLOOKUP('Données projet'!$B$11,Paramètres!$A$1:$I$89,3,0)*VLOOKUP('Données projet'!$B$11,Paramètres!$A$1:$I$89,5,0)</f>
        <v>26.389198009454116</v>
      </c>
      <c r="BF17" s="13">
        <f t="shared" si="37"/>
        <v>8.3085310645104116</v>
      </c>
      <c r="BG17" s="20">
        <f t="shared" si="7"/>
        <v>60.431878137154875</v>
      </c>
      <c r="BH17" s="59">
        <f t="shared" si="8"/>
        <v>334.20965591493263</v>
      </c>
      <c r="BI17" s="59">
        <f ca="1">AVERAGE(OFFSET($BH$3,0,0,'Données projet'!$E$11+1,1))-AVERAGE(OFFSET($H$3,0,0,'Données projet'!$E$11+1,1))</f>
        <v>320.76883487964511</v>
      </c>
      <c r="BJ17" s="59">
        <f t="shared" si="38"/>
        <v>290.51177680335746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</v>
      </c>
      <c r="BY17" s="12">
        <f>IF('Données projet'!$A$114&gt;35,BY16+BX17-CG16,IF(A17&lt;'Données projet'!$A$114,$BV$205^A17,IF(A17='Données projet'!$A$114,'Données projet'!$B$114,BY16+BX17-CG16)))</f>
        <v>126.00000000000001</v>
      </c>
      <c r="BZ17" s="13">
        <f>BY17*VLOOKUP('Données projet'!$B$12,Paramètres!$A$1:$I$89,3,0)*VLOOKUP('Données projet'!$B$12,Paramètres!$A$1:$I$89,5,0)</f>
        <v>114.0048</v>
      </c>
      <c r="CA17" s="13">
        <f t="shared" si="39"/>
        <v>30.272573949217303</v>
      </c>
      <c r="CB17" s="20">
        <f t="shared" si="10"/>
        <v>251.28309296155342</v>
      </c>
      <c r="CC17" s="59">
        <f t="shared" si="11"/>
        <v>525.06087073933122</v>
      </c>
      <c r="CD17" s="59">
        <f ca="1">AVERAGE(OFFSET($CC$3,0,0,'Données projet'!$E$12+1,1))-AVERAGE(OFFSET($H$3,0,0,'Données projet'!$E$12+1,1))</f>
        <v>366.69125512029831</v>
      </c>
      <c r="CE17" s="59">
        <f t="shared" si="40"/>
        <v>513.80016421153414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4.0628205128205126</v>
      </c>
      <c r="CT17" s="12">
        <f>IF('Données projet'!$A$140&gt;35,CT16+CS17-DB16,IF(A17&lt;'Données projet'!$A$140,$CQ$205^A17,IF(A17='Données projet'!$A$140,'Données projet'!$B$140,CT16+CS17-DB16)))</f>
        <v>9.4068196111151305</v>
      </c>
      <c r="CU17" s="17">
        <f>CT17*VLOOKUP('Données projet'!$B$13,Paramètres!$A$1:$I$89,3,0)*VLOOKUP('Données projet'!$B$13,Paramètres!$A$1:$I$89,5,0)</f>
        <v>6.3100945951360288</v>
      </c>
      <c r="CV17" s="13">
        <f t="shared" si="41"/>
        <v>2.3467334268063875</v>
      </c>
      <c r="CW17" s="20">
        <f t="shared" si="13"/>
        <v>15.077308804883041</v>
      </c>
      <c r="CX17" s="59">
        <f t="shared" si="14"/>
        <v>288.85508658266082</v>
      </c>
      <c r="CY17" s="59">
        <f ca="1">AVERAGE(OFFSET($CX$3,0,0,'Données projet'!$E$13+1,1))-AVERAGE(OFFSET($H$3,0,0,'Données projet'!$E$13+1,1))</f>
        <v>294.94331863127815</v>
      </c>
      <c r="CZ17" s="59">
        <f t="shared" si="42"/>
        <v>218.36990036643977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21.324428399713909</v>
      </c>
      <c r="DQ17" s="13">
        <f t="shared" si="43"/>
        <v>6.8825303376831179</v>
      </c>
      <c r="DR17" s="20">
        <f t="shared" si="16"/>
        <v>49.127119800966483</v>
      </c>
      <c r="DS17" s="59">
        <f t="shared" si="17"/>
        <v>322.90489757874423</v>
      </c>
      <c r="DT17" s="59">
        <f ca="1">AVERAGE(OFFSET($DS$3,0,0,'Données projet'!$E$14+1,1))-AVERAGE(OFFSET($H$3,0,0,'Données projet'!$E$14+1,1))</f>
        <v>278.45534008146865</v>
      </c>
      <c r="DU17" s="59">
        <f t="shared" si="44"/>
        <v>272.97841038165217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4.0628205128205126</v>
      </c>
      <c r="EJ17" s="12">
        <f>IF('Données projet'!$A$192&gt;35,EJ16+EI17-ER16,IF(A17&lt;'Données projet'!$A$192,$EG$205^A17,IF(A17='Données projet'!$A$192,'Données projet'!$B$192,EJ16+EI17-ER16)))</f>
        <v>9.4068196111151305</v>
      </c>
      <c r="EK17" s="17">
        <f>EJ17*VLOOKUP('Données projet'!$B$15,Paramètres!$A$1:$I$89,3,0)*VLOOKUP('Données projet'!$B$15,Paramètres!$A$1:$I$89,5,0)</f>
        <v>10.125500629404325</v>
      </c>
      <c r="EL17" s="13">
        <f t="shared" si="45"/>
        <v>3.5640032277277203</v>
      </c>
      <c r="EM17" s="20">
        <f t="shared" si="19"/>
        <v>23.842552551171647</v>
      </c>
      <c r="EN17" s="59">
        <f t="shared" si="20"/>
        <v>297.62033032894942</v>
      </c>
      <c r="EO17" s="59">
        <f ca="1">AVERAGE(OFFSET($EN$3,0,0,'Données projet'!$E$15+1,1))-AVERAGE(OFFSET($H$3,0,0,'Données projet'!$E$15+1,1))</f>
        <v>449.09332781196957</v>
      </c>
      <c r="EP17" s="59">
        <f t="shared" si="46"/>
        <v>324.85904971519432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4.6333333333333337</v>
      </c>
      <c r="FE17" s="12">
        <f>IF('Données projet'!$A$218&gt;35,FE16+FD17-FM16,IF(A17&lt;'Données projet'!$A$218,$FB$205^A17,IF(A17='Données projet'!$A$218,'Données projet'!$B$218,FE16+FD17-FM16)))</f>
        <v>7.6556952286113908</v>
      </c>
      <c r="FF17" s="17">
        <f>FE17*VLOOKUP('Données projet'!$B$16,Paramètres!$A$1:$I$89,3,0)*VLOOKUP('Données projet'!$B$16,Paramètres!$A$1:$I$89,5,0)</f>
        <v>7.762874961811951</v>
      </c>
      <c r="FG17" s="13">
        <f t="shared" si="47"/>
        <v>2.8182273562094156</v>
      </c>
      <c r="FH17" s="20">
        <f t="shared" si="22"/>
        <v>18.428753203887211</v>
      </c>
      <c r="FI17" s="59">
        <f t="shared" si="23"/>
        <v>292.20653098166497</v>
      </c>
      <c r="FJ17" s="59">
        <f ca="1">AVERAGE(OFFSET($FI$3,0,0,'Données projet'!$E$16+1,1))-AVERAGE(OFFSET($H$3,0,0,'Données projet'!$E$16+1,1))</f>
        <v>419.51168383014721</v>
      </c>
      <c r="FK17" s="59">
        <f t="shared" si="48"/>
        <v>213.44145308833384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2.4666666666666668</v>
      </c>
      <c r="FZ17" s="12">
        <f>IF('Données projet'!$A$244&gt;35,FZ16+FY17-GH16,IF(A17&lt;'Données projet'!$A$244,$FW$205^A17,IF(A17='Données projet'!$A$244,'Données projet'!$B$244,FZ16+FY17-GH16)))</f>
        <v>29.084054009429774</v>
      </c>
      <c r="GA17" s="17">
        <f>FZ17*VLOOKUP('Données projet'!$B$17,Paramètres!$A$1:$I$89,3,0)*VLOOKUP('Données projet'!$B$17,Paramètres!$A$1:$I$89,5,0)</f>
        <v>25.407829582637852</v>
      </c>
      <c r="GB17" s="13">
        <f t="shared" si="49"/>
        <v>8.0349172386667025</v>
      </c>
      <c r="GC17" s="20">
        <f t="shared" si="25"/>
        <v>58.246117380438761</v>
      </c>
      <c r="GD17" s="59">
        <f t="shared" si="26"/>
        <v>332.02389515821653</v>
      </c>
      <c r="GE17" s="59">
        <f ca="1">AVERAGE(OFFSET($GD$3,0,0,'Données projet'!$E$17+1,1))-AVERAGE(OFFSET($H$3,0,0,'Données projet'!$E$17+1,1))</f>
        <v>324.86930206492627</v>
      </c>
      <c r="GF17" s="59">
        <f t="shared" si="50"/>
        <v>317.03005098025352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4.0628205128205126</v>
      </c>
      <c r="GU17" s="12">
        <f>IF('Données projet'!$A$270&gt;35,GU16+GT17-HC16,IF(A17&lt;'Données projet'!$A$270,$GR$205^A17,IF(A17='Données projet'!$A$270,'Données projet'!$B$270,GU16+GT17-HC16)))</f>
        <v>9.4068196111151305</v>
      </c>
      <c r="GV17" s="17">
        <f>GU17*VLOOKUP('Données projet'!$B$18,Paramètres!$A$1:$I$89,3,0)*VLOOKUP('Données projet'!$B$18,Paramètres!$A$1:$I$89,5,0)</f>
        <v>8.9515295419371572</v>
      </c>
      <c r="GW17" s="13">
        <f t="shared" si="51"/>
        <v>3.1963069147043139</v>
      </c>
      <c r="GX17" s="20">
        <f t="shared" si="28"/>
        <v>21.15748182865056</v>
      </c>
      <c r="GY17" s="59">
        <f t="shared" si="29"/>
        <v>294.9352596064283</v>
      </c>
      <c r="GZ17" s="59">
        <f ca="1">AVERAGE(OFFSET($GY$3,0,0,'Données projet'!$E$18+1,1))-AVERAGE(OFFSET($H$3,0,0,'Données projet'!$E$18+1,1))</f>
        <v>401.81944956556271</v>
      </c>
      <c r="HA17" s="59">
        <f t="shared" si="52"/>
        <v>292.20785523952651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298.53108004142928</v>
      </c>
      <c r="S18" s="59">
        <f ca="1">AVERAGE(OFFSET($R$3,0,0,'Données projet'!$E$9+1,1))-AVERAGE(OFFSET($H$3,0,0,'Données projet'!$E$9+1,1))</f>
        <v>384.05928630855732</v>
      </c>
      <c r="T18" s="59">
        <f t="shared" si="34"/>
        <v>279.93992813630513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10.16068376068376</v>
      </c>
      <c r="AI18" s="13">
        <f>IF('Données projet'!$A$62&gt;35,AI17+AH18-AQ17,IF(A18&lt;'Données projet'!$A$62,$AF$205^A18,IF(A18='Données projet'!$A$62,'Données projet'!$B$62,AI17+AH18-AQ17)))</f>
        <v>76.764931457129379</v>
      </c>
      <c r="AJ18" s="13">
        <f>AI18*VLOOKUP('Données projet'!$B$10,Paramètres!$A$1:$I$89,3,0)*VLOOKUP('Données projet'!$B$10,Paramètres!$A$1:$I$89,5,0)</f>
        <v>42.911596684535326</v>
      </c>
      <c r="AK18" s="13">
        <f t="shared" si="35"/>
        <v>12.767181932785956</v>
      </c>
      <c r="AL18" s="20">
        <f t="shared" si="4"/>
        <v>96.97387275850123</v>
      </c>
      <c r="AM18" s="59">
        <f t="shared" si="5"/>
        <v>371.97387275850122</v>
      </c>
      <c r="AN18" s="59">
        <f ca="1">AVERAGE(OFFSET($AM$3,0,0,'Données projet'!$E$10+1,1))-AVERAGE(OFFSET($H$3,0,0,'Données projet'!$E$10+1,1))</f>
        <v>335.04906256888819</v>
      </c>
      <c r="AO18" s="59">
        <f t="shared" si="36"/>
        <v>440.84111898279554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7.6594017094017097</v>
      </c>
      <c r="BD18" s="12">
        <f>IF('Données projet'!$A$88&gt;35,BD17+BC18-BL17,IF(A18&lt;'Données projet'!$A$88,$BA$205^A18,IF(A18='Données projet'!$A$88,'Données projet'!$B$88,BD17+BC18-BL17)))</f>
        <v>60.65819185665854</v>
      </c>
      <c r="BE18" s="13">
        <f>BD18*VLOOKUP('Données projet'!$B$11,Paramètres!$A$1:$I$89,3,0)*VLOOKUP('Données projet'!$B$11,Paramètres!$A$1:$I$89,5,0)</f>
        <v>34.696485742008683</v>
      </c>
      <c r="BF18" s="13">
        <f t="shared" si="37"/>
        <v>10.581526480839404</v>
      </c>
      <c r="BG18" s="20">
        <f t="shared" si="7"/>
        <v>78.859204621460421</v>
      </c>
      <c r="BH18" s="59">
        <f t="shared" si="8"/>
        <v>353.85920462146044</v>
      </c>
      <c r="BI18" s="59">
        <f ca="1">AVERAGE(OFFSET($BH$3,0,0,'Données projet'!$E$11+1,1))-AVERAGE(OFFSET($H$3,0,0,'Données projet'!$E$11+1,1))</f>
        <v>320.76883487964511</v>
      </c>
      <c r="BJ18" s="59">
        <f t="shared" si="38"/>
        <v>290.51177680335746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140</v>
      </c>
      <c r="BW18" s="12">
        <f>VLOOKUP(A18,'Données projet'!$A$113:$I$133,9,0)</f>
        <v>14</v>
      </c>
      <c r="BX18" s="12">
        <f t="array" ref="BX18">INDEX(BW:BW,MIN(IF(ISNUMBER(BW18:BW214),ROW(BW18:BW214),"")))</f>
        <v>14</v>
      </c>
      <c r="BY18" s="12">
        <f>IF('Données projet'!$A$114&gt;35,BY17+BX18-CG17,IF(A18&lt;'Données projet'!$A$114,$BV$205^A18,IF(A18='Données projet'!$A$114,'Données projet'!$B$114,BY17+BX18-CG17)))</f>
        <v>140</v>
      </c>
      <c r="BZ18" s="13">
        <f>BY18*VLOOKUP('Données projet'!$B$12,Paramètres!$A$1:$I$89,3,0)*VLOOKUP('Données projet'!$B$12,Paramètres!$A$1:$I$89,5,0)</f>
        <v>126.67199999999998</v>
      </c>
      <c r="CA18" s="13">
        <f t="shared" si="39"/>
        <v>33.226199426361347</v>
      </c>
      <c r="CB18" s="20">
        <f t="shared" si="10"/>
        <v>278.48936400091264</v>
      </c>
      <c r="CC18" s="59">
        <f t="shared" si="11"/>
        <v>553.4893640009127</v>
      </c>
      <c r="CD18" s="59">
        <f ca="1">AVERAGE(OFFSET($CC$3,0,0,'Données projet'!$E$12+1,1))-AVERAGE(OFFSET($H$3,0,0,'Données projet'!$E$12+1,1))</f>
        <v>366.69125512029831</v>
      </c>
      <c r="CE18" s="59">
        <f t="shared" si="40"/>
        <v>513.80016421153414</v>
      </c>
      <c r="CF18" s="15">
        <f>IF(ISNA(VLOOKUP(A18,'Données projet'!$A$113:$I$133,3,0)),0,VLOOKUP(A18,'Données projet'!$A$113:$I$133,3,0))</f>
        <v>3</v>
      </c>
      <c r="CG18" s="15">
        <f>IF(ISNA(VLOOKUP(A18,'Données projet'!$A$113:$I$133,4,0)),0,VLOOKUP(A18,'Données projet'!$A$113:$I$133,4,0))</f>
        <v>23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4.0628205128205126</v>
      </c>
      <c r="CT18" s="12">
        <f>IF('Données projet'!$A$140&gt;35,CT17+CS18-DB17,IF(A18&lt;'Données projet'!$A$140,$CQ$205^A18,IF(A18='Données projet'!$A$140,'Données projet'!$B$140,CT17+CS18-DB17)))</f>
        <v>11.040136565487554</v>
      </c>
      <c r="CU18" s="17">
        <f>CT18*VLOOKUP('Données projet'!$B$13,Paramètres!$A$1:$I$89,3,0)*VLOOKUP('Données projet'!$B$13,Paramètres!$A$1:$I$89,5,0)</f>
        <v>7.4057236081290512</v>
      </c>
      <c r="CV18" s="13">
        <f t="shared" si="41"/>
        <v>2.7033476997193961</v>
      </c>
      <c r="CW18" s="20">
        <f t="shared" si="13"/>
        <v>17.606632527836044</v>
      </c>
      <c r="CX18" s="59">
        <f t="shared" si="14"/>
        <v>292.60663252783604</v>
      </c>
      <c r="CY18" s="59">
        <f ca="1">AVERAGE(OFFSET($CX$3,0,0,'Données projet'!$E$13+1,1))-AVERAGE(OFFSET($H$3,0,0,'Données projet'!$E$13+1,1))</f>
        <v>294.94331863127815</v>
      </c>
      <c r="CZ18" s="59">
        <f t="shared" si="42"/>
        <v>218.36990036643977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27.128400000000003</v>
      </c>
      <c r="DQ18" s="13">
        <f t="shared" si="43"/>
        <v>8.5138436537878839</v>
      </c>
      <c r="DR18" s="20">
        <f t="shared" si="16"/>
        <v>62.076907697013901</v>
      </c>
      <c r="DS18" s="59">
        <f t="shared" si="17"/>
        <v>337.07690769701389</v>
      </c>
      <c r="DT18" s="59">
        <f ca="1">AVERAGE(OFFSET($DS$3,0,0,'Données projet'!$E$14+1,1))-AVERAGE(OFFSET($H$3,0,0,'Données projet'!$E$14+1,1))</f>
        <v>278.45534008146865</v>
      </c>
      <c r="DU18" s="59">
        <f t="shared" si="44"/>
        <v>272.97841038165217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4.0628205128205126</v>
      </c>
      <c r="EJ18" s="12">
        <f>IF('Données projet'!$A$192&gt;35,EJ17+EI18-ER17,IF(A18&lt;'Données projet'!$A$192,$EG$205^A18,IF(A18='Données projet'!$A$192,'Données projet'!$B$192,EJ17+EI18-ER17)))</f>
        <v>11.040136565487554</v>
      </c>
      <c r="EK18" s="17">
        <f>EJ18*VLOOKUP('Données projet'!$B$15,Paramètres!$A$1:$I$89,3,0)*VLOOKUP('Données projet'!$B$15,Paramètres!$A$1:$I$89,5,0)</f>
        <v>11.883602999090803</v>
      </c>
      <c r="EL18" s="13">
        <f t="shared" si="45"/>
        <v>4.1055962374822954</v>
      </c>
      <c r="EM18" s="20">
        <f t="shared" si="19"/>
        <v>27.847855337031476</v>
      </c>
      <c r="EN18" s="59">
        <f t="shared" si="20"/>
        <v>302.84785533703149</v>
      </c>
      <c r="EO18" s="59">
        <f ca="1">AVERAGE(OFFSET($EN$3,0,0,'Données projet'!$E$15+1,1))-AVERAGE(OFFSET($H$3,0,0,'Données projet'!$E$15+1,1))</f>
        <v>449.09332781196957</v>
      </c>
      <c r="EP18" s="59">
        <f t="shared" si="46"/>
        <v>324.85904971519432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4.6333333333333337</v>
      </c>
      <c r="FE18" s="12">
        <f>IF('Données projet'!$A$218&gt;35,FE17+FD18-FM17,IF(A18&lt;'Données projet'!$A$218,$FB$205^A18,IF(A18='Données projet'!$A$218,'Données projet'!$B$218,FE17+FD18-FM17)))</f>
        <v>8.8537324851167298</v>
      </c>
      <c r="FF18" s="17">
        <f>FE18*VLOOKUP('Données projet'!$B$16,Paramètres!$A$1:$I$89,3,0)*VLOOKUP('Données projet'!$B$16,Paramètres!$A$1:$I$89,5,0)</f>
        <v>8.9776847399083639</v>
      </c>
      <c r="FG18" s="13">
        <f t="shared" si="47"/>
        <v>3.2045576217061447</v>
      </c>
      <c r="FH18" s="20">
        <f t="shared" si="22"/>
        <v>21.217405446478605</v>
      </c>
      <c r="FI18" s="59">
        <f t="shared" si="23"/>
        <v>296.21740544647861</v>
      </c>
      <c r="FJ18" s="59">
        <f ca="1">AVERAGE(OFFSET($FI$3,0,0,'Données projet'!$E$16+1,1))-AVERAGE(OFFSET($H$3,0,0,'Données projet'!$E$16+1,1))</f>
        <v>419.51168383014721</v>
      </c>
      <c r="FK18" s="59">
        <f t="shared" si="48"/>
        <v>213.44145308833384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37</v>
      </c>
      <c r="FX18" s="12">
        <f>VLOOKUP(A18,'Données projet'!$A$243:$I$263,9,0)</f>
        <v>2.4666666666666668</v>
      </c>
      <c r="FY18" s="12">
        <f t="array" ref="FY18">INDEX(FX:FX,MIN(IF(ISNUMBER(FX18:FX214),ROW(FX18:FX214),"")))</f>
        <v>2.4666666666666668</v>
      </c>
      <c r="FZ18" s="12">
        <f>IF('Données projet'!$A$244&gt;35,FZ17+FY18-GH17,IF(A18&lt;'Données projet'!$A$244,$FW$205^A18,IF(A18='Données projet'!$A$244,'Données projet'!$B$244,FZ17+FY18-GH17)))</f>
        <v>37</v>
      </c>
      <c r="GA18" s="17">
        <f>FZ18*VLOOKUP('Données projet'!$B$17,Paramètres!$A$1:$I$89,3,0)*VLOOKUP('Données projet'!$B$17,Paramètres!$A$1:$I$89,5,0)</f>
        <v>32.323200000000007</v>
      </c>
      <c r="GB18" s="13">
        <f t="shared" si="49"/>
        <v>9.9393719729191545</v>
      </c>
      <c r="GC18" s="20">
        <f t="shared" si="25"/>
        <v>73.607312852834198</v>
      </c>
      <c r="GD18" s="59">
        <f t="shared" si="26"/>
        <v>348.60731285283418</v>
      </c>
      <c r="GE18" s="59">
        <f ca="1">AVERAGE(OFFSET($GD$3,0,0,'Données projet'!$E$17+1,1))-AVERAGE(OFFSET($H$3,0,0,'Données projet'!$E$17+1,1))</f>
        <v>324.86930206492627</v>
      </c>
      <c r="GF18" s="59">
        <f t="shared" si="50"/>
        <v>317.03005098025352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15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4.0628205128205126</v>
      </c>
      <c r="GU18" s="12">
        <f>IF('Données projet'!$A$270&gt;35,GU17+GT18-HC17,IF(A18&lt;'Données projet'!$A$270,$GR$205^A18,IF(A18='Données projet'!$A$270,'Données projet'!$B$270,GU17+GT18-HC17)))</f>
        <v>11.040136565487554</v>
      </c>
      <c r="GV18" s="17">
        <f>GU18*VLOOKUP('Données projet'!$B$18,Paramètres!$A$1:$I$89,3,0)*VLOOKUP('Données projet'!$B$18,Paramètres!$A$1:$I$89,5,0)</f>
        <v>10.505793955717957</v>
      </c>
      <c r="GW18" s="13">
        <f t="shared" si="51"/>
        <v>3.6820240623674367</v>
      </c>
      <c r="GX18" s="20">
        <f t="shared" si="28"/>
        <v>24.710449714832063</v>
      </c>
      <c r="GY18" s="59">
        <f t="shared" si="29"/>
        <v>299.71044971483207</v>
      </c>
      <c r="GZ18" s="59">
        <f ca="1">AVERAGE(OFFSET($GY$3,0,0,'Données projet'!$E$18+1,1))-AVERAGE(OFFSET($H$3,0,0,'Données projet'!$E$18+1,1))</f>
        <v>401.81944956556271</v>
      </c>
      <c r="HA18" s="59">
        <f t="shared" si="52"/>
        <v>292.20785523952651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303.70612583194941</v>
      </c>
      <c r="S19" s="59">
        <f ca="1">AVERAGE(OFFSET($R$3,0,0,'Données projet'!$E$9+1,1))-AVERAGE(OFFSET($H$3,0,0,'Données projet'!$E$9+1,1))</f>
        <v>384.05928630855732</v>
      </c>
      <c r="T19" s="59">
        <f t="shared" si="34"/>
        <v>279.93992813630513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10.16068376068376</v>
      </c>
      <c r="AI19" s="13">
        <f>IF('Données projet'!$A$62&gt;35,AI18+AH19-AQ18,IF(A19&lt;'Données projet'!$A$62,$AF$205^A19,IF(A19='Données projet'!$A$62,'Données projet'!$B$62,AI18+AH19-AQ18)))</f>
        <v>102.52750545673157</v>
      </c>
      <c r="AJ19" s="13">
        <f>AI19*VLOOKUP('Données projet'!$B$10,Paramètres!$A$1:$I$89,3,0)*VLOOKUP('Données projet'!$B$10,Paramètres!$A$1:$I$89,5,0)</f>
        <v>57.312875550312953</v>
      </c>
      <c r="AK19" s="13">
        <f t="shared" si="35"/>
        <v>16.487078574959277</v>
      </c>
      <c r="AL19" s="20">
        <f t="shared" si="4"/>
        <v>128.53492010151578</v>
      </c>
      <c r="AM19" s="59">
        <f t="shared" si="5"/>
        <v>404.75714232373798</v>
      </c>
      <c r="AN19" s="59">
        <f ca="1">AVERAGE(OFFSET($AM$3,0,0,'Données projet'!$E$10+1,1))-AVERAGE(OFFSET($H$3,0,0,'Données projet'!$E$10+1,1))</f>
        <v>335.04906256888819</v>
      </c>
      <c r="AO19" s="59">
        <f t="shared" si="36"/>
        <v>440.84111898279554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7.6594017094017097</v>
      </c>
      <c r="BD19" s="12">
        <f>IF('Données projet'!$A$88&gt;35,BD18+BC19-BL18,IF(A19&lt;'Données projet'!$A$88,$BA$205^A19,IF(A19='Données projet'!$A$88,'Données projet'!$B$88,BD18+BC19-BL18)))</f>
        <v>79.753317555788669</v>
      </c>
      <c r="BE19" s="13">
        <f>BD19*VLOOKUP('Données projet'!$B$11,Paramètres!$A$1:$I$89,3,0)*VLOOKUP('Données projet'!$B$11,Paramètres!$A$1:$I$89,5,0)</f>
        <v>45.618897641911119</v>
      </c>
      <c r="BF19" s="13">
        <f t="shared" si="37"/>
        <v>13.476353617184607</v>
      </c>
      <c r="BG19" s="20">
        <f t="shared" si="7"/>
        <v>102.92422927625837</v>
      </c>
      <c r="BH19" s="59">
        <f t="shared" si="8"/>
        <v>379.14645149848059</v>
      </c>
      <c r="BI19" s="59">
        <f ca="1">AVERAGE(OFFSET($BH$3,0,0,'Données projet'!$E$11+1,1))-AVERAGE(OFFSET($H$3,0,0,'Données projet'!$E$11+1,1))</f>
        <v>320.76883487964511</v>
      </c>
      <c r="BJ19" s="59">
        <f t="shared" si="38"/>
        <v>290.51177680335746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12.6</v>
      </c>
      <c r="BY19" s="12">
        <f>IF('Données projet'!$A$114&gt;35,BY18+BX19-CG18,IF(A19&lt;'Données projet'!$A$114,$BV$205^A19,IF(A19='Données projet'!$A$114,'Données projet'!$B$114,BY18+BX19-CG18)))</f>
        <v>129.6</v>
      </c>
      <c r="BZ19" s="13">
        <f>BY19*VLOOKUP('Données projet'!$B$12,Paramètres!$A$1:$I$89,3,0)*VLOOKUP('Données projet'!$B$12,Paramètres!$A$1:$I$89,5,0)</f>
        <v>117.26208</v>
      </c>
      <c r="CA19" s="13">
        <f t="shared" si="39"/>
        <v>31.035569170075775</v>
      </c>
      <c r="CB19" s="20">
        <f t="shared" si="10"/>
        <v>258.28507230454863</v>
      </c>
      <c r="CC19" s="59">
        <f t="shared" si="11"/>
        <v>534.50729452677092</v>
      </c>
      <c r="CD19" s="59">
        <f ca="1">AVERAGE(OFFSET($CC$3,0,0,'Données projet'!$E$12+1,1))-AVERAGE(OFFSET($H$3,0,0,'Données projet'!$E$12+1,1))</f>
        <v>366.69125512029831</v>
      </c>
      <c r="CE19" s="59">
        <f t="shared" si="40"/>
        <v>513.80016421153414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4.0628205128205126</v>
      </c>
      <c r="CT19" s="12">
        <f>IF('Données projet'!$A$140&gt;35,CT18+CS19-DB18,IF(A19&lt;'Données projet'!$A$140,$CQ$205^A19,IF(A19='Données projet'!$A$140,'Données projet'!$B$140,CT18+CS19-DB18)))</f>
        <v>12.957048229201293</v>
      </c>
      <c r="CU19" s="17">
        <f>CT19*VLOOKUP('Données projet'!$B$13,Paramètres!$A$1:$I$89,3,0)*VLOOKUP('Données projet'!$B$13,Paramètres!$A$1:$I$89,5,0)</f>
        <v>8.6915879521482271</v>
      </c>
      <c r="CV19" s="13">
        <f t="shared" si="41"/>
        <v>3.1141537858961477</v>
      </c>
      <c r="CW19" s="20">
        <f t="shared" si="13"/>
        <v>20.561666860427287</v>
      </c>
      <c r="CX19" s="59">
        <f t="shared" si="14"/>
        <v>296.78388908264952</v>
      </c>
      <c r="CY19" s="59">
        <f ca="1">AVERAGE(OFFSET($CX$3,0,0,'Données projet'!$E$13+1,1))-AVERAGE(OFFSET($H$3,0,0,'Données projet'!$E$13+1,1))</f>
        <v>294.94331863127815</v>
      </c>
      <c r="CZ19" s="59">
        <f t="shared" si="42"/>
        <v>218.36990036643977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33.6</v>
      </c>
      <c r="DP19" s="17">
        <f>DO19*VLOOKUP('Données projet'!$B$14,Paramètres!$A$1:$I$89,3,0)*VLOOKUP('Données projet'!$B$14,Paramètres!$A$1:$I$89,5,0)</f>
        <v>24.63552</v>
      </c>
      <c r="DQ19" s="13">
        <f t="shared" si="43"/>
        <v>7.8187263384607988</v>
      </c>
      <c r="DR19" s="20">
        <f t="shared" si="16"/>
        <v>56.52447903948589</v>
      </c>
      <c r="DS19" s="59">
        <f t="shared" si="17"/>
        <v>332.7467012617081</v>
      </c>
      <c r="DT19" s="59">
        <f ca="1">AVERAGE(OFFSET($DS$3,0,0,'Données projet'!$E$14+1,1))-AVERAGE(OFFSET($H$3,0,0,'Données projet'!$E$14+1,1))</f>
        <v>278.45534008146865</v>
      </c>
      <c r="DU19" s="59">
        <f t="shared" si="44"/>
        <v>272.97841038165217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4.0628205128205126</v>
      </c>
      <c r="EJ19" s="12">
        <f>IF('Données projet'!$A$192&gt;35,EJ18+EI19-ER18,IF(A19&lt;'Données projet'!$A$192,$EG$205^A19,IF(A19='Données projet'!$A$192,'Données projet'!$B$192,EJ18+EI19-ER18)))</f>
        <v>12.957048229201293</v>
      </c>
      <c r="EK19" s="17">
        <f>EJ19*VLOOKUP('Données projet'!$B$15,Paramètres!$A$1:$I$89,3,0)*VLOOKUP('Données projet'!$B$15,Paramètres!$A$1:$I$89,5,0)</f>
        <v>13.946966713912271</v>
      </c>
      <c r="EL19" s="13">
        <f t="shared" si="45"/>
        <v>4.7294907967789648</v>
      </c>
      <c r="EM19" s="20">
        <f t="shared" si="19"/>
        <v>32.528163497787233</v>
      </c>
      <c r="EN19" s="59">
        <f t="shared" si="20"/>
        <v>308.75038572000949</v>
      </c>
      <c r="EO19" s="59">
        <f ca="1">AVERAGE(OFFSET($EN$3,0,0,'Données projet'!$E$15+1,1))-AVERAGE(OFFSET($H$3,0,0,'Données projet'!$E$15+1,1))</f>
        <v>449.09332781196957</v>
      </c>
      <c r="EP19" s="59">
        <f t="shared" si="46"/>
        <v>324.85904971519432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4.6333333333333337</v>
      </c>
      <c r="FE19" s="12">
        <f>IF('Données projet'!$A$218&gt;35,FE18+FD19-FM18,IF(A19&lt;'Données projet'!$A$218,$FB$205^A19,IF(A19='Données projet'!$A$218,'Données projet'!$B$218,FE18+FD19-FM18)))</f>
        <v>10.239250202261461</v>
      </c>
      <c r="FF19" s="17">
        <f>FE19*VLOOKUP('Données projet'!$B$16,Paramètres!$A$1:$I$89,3,0)*VLOOKUP('Données projet'!$B$16,Paramètres!$A$1:$I$89,5,0)</f>
        <v>10.382599705093122</v>
      </c>
      <c r="FG19" s="13">
        <f t="shared" si="47"/>
        <v>3.6438470899832778</v>
      </c>
      <c r="FH19" s="20">
        <f t="shared" si="22"/>
        <v>24.42939483475806</v>
      </c>
      <c r="FI19" s="59">
        <f t="shared" si="23"/>
        <v>300.65161705698029</v>
      </c>
      <c r="FJ19" s="59">
        <f ca="1">AVERAGE(OFFSET($FI$3,0,0,'Données projet'!$E$16+1,1))-AVERAGE(OFFSET($H$3,0,0,'Données projet'!$E$16+1,1))</f>
        <v>419.51168383014721</v>
      </c>
      <c r="FK19" s="59">
        <f t="shared" si="48"/>
        <v>213.44145308833384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11.6</v>
      </c>
      <c r="FZ19" s="12">
        <f>IF('Données projet'!$A$244&gt;35,FZ18+FY19-GH18,IF(A19&lt;'Données projet'!$A$244,$FW$205^A19,IF(A19='Données projet'!$A$244,'Données projet'!$B$244,FZ18+FY19-GH18)))</f>
        <v>33.6</v>
      </c>
      <c r="GA19" s="17">
        <f>FZ19*VLOOKUP('Données projet'!$B$17,Paramètres!$A$1:$I$89,3,0)*VLOOKUP('Données projet'!$B$17,Paramètres!$A$1:$I$89,5,0)</f>
        <v>29.352960000000007</v>
      </c>
      <c r="GB19" s="13">
        <f t="shared" si="49"/>
        <v>9.1278666361046881</v>
      </c>
      <c r="GC19" s="20">
        <f t="shared" si="25"/>
        <v>67.020773057882352</v>
      </c>
      <c r="GD19" s="59">
        <f t="shared" si="26"/>
        <v>343.24299528010459</v>
      </c>
      <c r="GE19" s="59">
        <f ca="1">AVERAGE(OFFSET($GD$3,0,0,'Données projet'!$E$17+1,1))-AVERAGE(OFFSET($H$3,0,0,'Données projet'!$E$17+1,1))</f>
        <v>324.86930206492627</v>
      </c>
      <c r="GF19" s="59">
        <f t="shared" si="50"/>
        <v>317.03005098025352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4.0628205128205126</v>
      </c>
      <c r="GU19" s="12">
        <f>IF('Données projet'!$A$270&gt;35,GU18+GT19-HC18,IF(A19&lt;'Données projet'!$A$270,$GR$205^A19,IF(A19='Données projet'!$A$270,'Données projet'!$B$270,GU18+GT19-HC18)))</f>
        <v>12.957048229201293</v>
      </c>
      <c r="GV19" s="17">
        <f>GU19*VLOOKUP('Données projet'!$B$18,Paramètres!$A$1:$I$89,3,0)*VLOOKUP('Données projet'!$B$18,Paramètres!$A$1:$I$89,5,0)</f>
        <v>12.32992709490795</v>
      </c>
      <c r="GW19" s="13">
        <f t="shared" si="51"/>
        <v>4.2415517525816071</v>
      </c>
      <c r="GX19" s="20">
        <f t="shared" si="28"/>
        <v>28.861992326044312</v>
      </c>
      <c r="GY19" s="59">
        <f t="shared" si="29"/>
        <v>305.08421454826652</v>
      </c>
      <c r="GZ19" s="59">
        <f ca="1">AVERAGE(OFFSET($GY$3,0,0,'Données projet'!$E$18+1,1))-AVERAGE(OFFSET($H$3,0,0,'Données projet'!$E$18+1,1))</f>
        <v>401.81944956556271</v>
      </c>
      <c r="HA19" s="59">
        <f t="shared" si="52"/>
        <v>292.20785523952651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309.54730843064073</v>
      </c>
      <c r="S20" s="59">
        <f ca="1">AVERAGE(OFFSET($R$3,0,0,'Données projet'!$E$9+1,1))-AVERAGE(OFFSET($H$3,0,0,'Données projet'!$E$9+1,1))</f>
        <v>384.05928630855732</v>
      </c>
      <c r="T20" s="59">
        <f t="shared" si="34"/>
        <v>279.93992813630513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10.16068376068376</v>
      </c>
      <c r="AI20" s="13">
        <f>IF('Données projet'!$A$62&gt;35,AI19+AH20-AQ19,IF(A20&lt;'Données projet'!$A$62,$AF$205^A20,IF(A20='Données projet'!$A$62,'Données projet'!$B$62,AI19+AH20-AQ19)))</f>
        <v>136.93608755517039</v>
      </c>
      <c r="AJ20" s="13">
        <f>AI20*VLOOKUP('Données projet'!$B$10,Paramètres!$A$1:$I$89,3,0)*VLOOKUP('Données projet'!$B$10,Paramètres!$A$1:$I$89,5,0)</f>
        <v>76.547272943340246</v>
      </c>
      <c r="AK20" s="13">
        <f t="shared" si="35"/>
        <v>21.290819020824138</v>
      </c>
      <c r="AL20" s="20">
        <f t="shared" si="4"/>
        <v>170.40134350425296</v>
      </c>
      <c r="AM20" s="59">
        <f t="shared" si="5"/>
        <v>447.84578794869742</v>
      </c>
      <c r="AN20" s="59">
        <f ca="1">AVERAGE(OFFSET($AM$3,0,0,'Données projet'!$E$10+1,1))-AVERAGE(OFFSET($H$3,0,0,'Données projet'!$E$10+1,1))</f>
        <v>335.04906256888819</v>
      </c>
      <c r="AO20" s="59">
        <f t="shared" si="36"/>
        <v>440.84111898279554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7.6594017094017097</v>
      </c>
      <c r="BD20" s="12">
        <f>IF('Données projet'!$A$88&gt;35,BD19+BC20-BL19,IF(A20&lt;'Données projet'!$A$88,$BA$205^A20,IF(A20='Données projet'!$A$88,'Données projet'!$B$88,BD19+BC20-BL19)))</f>
        <v>104.85956581404854</v>
      </c>
      <c r="BE20" s="13">
        <f>BD20*VLOOKUP('Données projet'!$B$11,Paramètres!$A$1:$I$89,3,0)*VLOOKUP('Données projet'!$B$11,Paramètres!$A$1:$I$89,5,0)</f>
        <v>59.979671645635769</v>
      </c>
      <c r="BF20" s="13">
        <f t="shared" si="37"/>
        <v>17.163129265353199</v>
      </c>
      <c r="BG20" s="20">
        <f t="shared" si="7"/>
        <v>134.35704491997242</v>
      </c>
      <c r="BH20" s="59">
        <f t="shared" si="8"/>
        <v>411.80148936441685</v>
      </c>
      <c r="BI20" s="59">
        <f ca="1">AVERAGE(OFFSET($BH$3,0,0,'Données projet'!$E$11+1,1))-AVERAGE(OFFSET($H$3,0,0,'Données projet'!$E$11+1,1))</f>
        <v>320.76883487964511</v>
      </c>
      <c r="BJ20" s="59">
        <f t="shared" si="38"/>
        <v>290.51177680335746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12.6</v>
      </c>
      <c r="BY20" s="12">
        <f>IF('Données projet'!$A$114&gt;35,BY19+BX20-CG19,IF(A20&lt;'Données projet'!$A$114,$BV$205^A20,IF(A20='Données projet'!$A$114,'Données projet'!$B$114,BY19+BX20-CG19)))</f>
        <v>142.19999999999999</v>
      </c>
      <c r="BZ20" s="13">
        <f>BY20*VLOOKUP('Données projet'!$B$12,Paramètres!$A$1:$I$89,3,0)*VLOOKUP('Données projet'!$B$12,Paramètres!$A$1:$I$89,5,0)</f>
        <v>128.66255999999998</v>
      </c>
      <c r="CA20" s="13">
        <f t="shared" si="39"/>
        <v>33.687130461083775</v>
      </c>
      <c r="CB20" s="20">
        <f t="shared" si="10"/>
        <v>282.75904421972086</v>
      </c>
      <c r="CC20" s="59">
        <f t="shared" si="11"/>
        <v>560.20348866416532</v>
      </c>
      <c r="CD20" s="59">
        <f ca="1">AVERAGE(OFFSET($CC$3,0,0,'Données projet'!$E$12+1,1))-AVERAGE(OFFSET($H$3,0,0,'Données projet'!$E$12+1,1))</f>
        <v>366.69125512029831</v>
      </c>
      <c r="CE20" s="59">
        <f t="shared" si="40"/>
        <v>513.80016421153414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4.0628205128205126</v>
      </c>
      <c r="CT20" s="12">
        <f>IF('Données projet'!$A$140&gt;35,CT19+CS20-DB19,IF(A20&lt;'Données projet'!$A$140,$CQ$205^A20,IF(A20='Données projet'!$A$140,'Données projet'!$B$140,CT19+CS20-DB19)))</f>
        <v>15.206795479203771</v>
      </c>
      <c r="CU20" s="17">
        <f>CT20*VLOOKUP('Données projet'!$B$13,Paramètres!$A$1:$I$89,3,0)*VLOOKUP('Données projet'!$B$13,Paramètres!$A$1:$I$89,5,0)</f>
        <v>10.200718407449891</v>
      </c>
      <c r="CV20" s="13">
        <f t="shared" si="41"/>
        <v>3.5873867809227589</v>
      </c>
      <c r="CW20" s="20">
        <f t="shared" si="13"/>
        <v>24.014283203082368</v>
      </c>
      <c r="CX20" s="59">
        <f t="shared" si="14"/>
        <v>301.45872764752681</v>
      </c>
      <c r="CY20" s="59">
        <f ca="1">AVERAGE(OFFSET($CX$3,0,0,'Données projet'!$E$13+1,1))-AVERAGE(OFFSET($H$3,0,0,'Données projet'!$E$13+1,1))</f>
        <v>294.94331863127815</v>
      </c>
      <c r="CZ20" s="59">
        <f t="shared" si="42"/>
        <v>218.36990036643977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45.2</v>
      </c>
      <c r="DP20" s="17">
        <f>DO20*VLOOKUP('Données projet'!$B$14,Paramètres!$A$1:$I$89,3,0)*VLOOKUP('Données projet'!$B$14,Paramètres!$A$1:$I$89,5,0)</f>
        <v>33.140639999999998</v>
      </c>
      <c r="DQ20" s="13">
        <f t="shared" si="43"/>
        <v>10.161152005886803</v>
      </c>
      <c r="DR20" s="20">
        <f t="shared" si="16"/>
        <v>75.417287743586172</v>
      </c>
      <c r="DS20" s="59">
        <f t="shared" si="17"/>
        <v>352.8617321880306</v>
      </c>
      <c r="DT20" s="59">
        <f ca="1">AVERAGE(OFFSET($DS$3,0,0,'Données projet'!$E$14+1,1))-AVERAGE(OFFSET($H$3,0,0,'Données projet'!$E$14+1,1))</f>
        <v>278.45534008146865</v>
      </c>
      <c r="DU20" s="59">
        <f t="shared" si="44"/>
        <v>272.97841038165217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4.0628205128205126</v>
      </c>
      <c r="EJ20" s="12">
        <f>IF('Données projet'!$A$192&gt;35,EJ19+EI20-ER19,IF(A20&lt;'Données projet'!$A$192,$EG$205^A20,IF(A20='Données projet'!$A$192,'Données projet'!$B$192,EJ19+EI20-ER19)))</f>
        <v>15.206795479203771</v>
      </c>
      <c r="EK20" s="17">
        <f>EJ20*VLOOKUP('Données projet'!$B$15,Paramètres!$A$1:$I$89,3,0)*VLOOKUP('Données projet'!$B$15,Paramètres!$A$1:$I$89,5,0)</f>
        <v>16.368594653814938</v>
      </c>
      <c r="EL20" s="13">
        <f t="shared" si="45"/>
        <v>5.4481936125637764</v>
      </c>
      <c r="EM20" s="20">
        <f t="shared" si="19"/>
        <v>37.997572897276264</v>
      </c>
      <c r="EN20" s="59">
        <f t="shared" si="20"/>
        <v>315.44201734172071</v>
      </c>
      <c r="EO20" s="59">
        <f ca="1">AVERAGE(OFFSET($EN$3,0,0,'Données projet'!$E$15+1,1))-AVERAGE(OFFSET($H$3,0,0,'Données projet'!$E$15+1,1))</f>
        <v>449.09332781196957</v>
      </c>
      <c r="EP20" s="59">
        <f t="shared" si="46"/>
        <v>324.85904971519432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4.6333333333333337</v>
      </c>
      <c r="FE20" s="12">
        <f>IF('Données projet'!$A$218&gt;35,FE19+FD20-FM19,IF(A20&lt;'Données projet'!$A$218,$FB$205^A20,IF(A20='Données projet'!$A$218,'Données projet'!$B$218,FE19+FD20-FM19)))</f>
        <v>11.84158713635779</v>
      </c>
      <c r="FF20" s="17">
        <f>FE20*VLOOKUP('Données projet'!$B$16,Paramètres!$A$1:$I$89,3,0)*VLOOKUP('Données projet'!$B$16,Paramètres!$A$1:$I$89,5,0)</f>
        <v>12.0073693562668</v>
      </c>
      <c r="FG20" s="13">
        <f t="shared" si="47"/>
        <v>4.1433555524929</v>
      </c>
      <c r="FH20" s="20">
        <f t="shared" si="22"/>
        <v>28.12917921608981</v>
      </c>
      <c r="FI20" s="59">
        <f t="shared" si="23"/>
        <v>305.57362366053428</v>
      </c>
      <c r="FJ20" s="59">
        <f ca="1">AVERAGE(OFFSET($FI$3,0,0,'Données projet'!$E$16+1,1))-AVERAGE(OFFSET($H$3,0,0,'Données projet'!$E$16+1,1))</f>
        <v>419.51168383014721</v>
      </c>
      <c r="FK20" s="59">
        <f t="shared" si="48"/>
        <v>213.44145308833384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11.6</v>
      </c>
      <c r="FZ20" s="12">
        <f>IF('Données projet'!$A$244&gt;35,FZ19+FY20-GH19,IF(A20&lt;'Données projet'!$A$244,$FW$205^A20,IF(A20='Données projet'!$A$244,'Données projet'!$B$244,FZ19+FY20-GH19)))</f>
        <v>45.2</v>
      </c>
      <c r="GA20" s="17">
        <f>FZ20*VLOOKUP('Données projet'!$B$17,Paramètres!$A$1:$I$89,3,0)*VLOOKUP('Données projet'!$B$17,Paramètres!$A$1:$I$89,5,0)</f>
        <v>39.486720000000005</v>
      </c>
      <c r="GB20" s="13">
        <f t="shared" si="49"/>
        <v>11.862499896265861</v>
      </c>
      <c r="GC20" s="20">
        <f t="shared" si="25"/>
        <v>89.433224652663043</v>
      </c>
      <c r="GD20" s="59">
        <f t="shared" si="26"/>
        <v>366.87766909710751</v>
      </c>
      <c r="GE20" s="59">
        <f ca="1">AVERAGE(OFFSET($GD$3,0,0,'Données projet'!$E$17+1,1))-AVERAGE(OFFSET($H$3,0,0,'Données projet'!$E$17+1,1))</f>
        <v>324.86930206492627</v>
      </c>
      <c r="GF20" s="59">
        <f t="shared" si="50"/>
        <v>317.03005098025352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4.0628205128205126</v>
      </c>
      <c r="GU20" s="12">
        <f>IF('Données projet'!$A$270&gt;35,GU19+GT20-HC19,IF(A20&lt;'Données projet'!$A$270,$GR$205^A20,IF(A20='Données projet'!$A$270,'Données projet'!$B$270,GU19+GT20-HC19)))</f>
        <v>15.206795479203771</v>
      </c>
      <c r="GV20" s="17">
        <f>GU20*VLOOKUP('Données projet'!$B$18,Paramètres!$A$1:$I$89,3,0)*VLOOKUP('Données projet'!$B$18,Paramètres!$A$1:$I$89,5,0)</f>
        <v>14.470786578010308</v>
      </c>
      <c r="GW20" s="13">
        <f t="shared" si="51"/>
        <v>4.8861063820046198</v>
      </c>
      <c r="GX20" s="20">
        <f t="shared" si="28"/>
        <v>33.713255238692668</v>
      </c>
      <c r="GY20" s="59">
        <f t="shared" si="29"/>
        <v>311.15769968313714</v>
      </c>
      <c r="GZ20" s="59">
        <f ca="1">AVERAGE(OFFSET($GY$3,0,0,'Données projet'!$E$18+1,1))-AVERAGE(OFFSET($H$3,0,0,'Données projet'!$E$18+1,1))</f>
        <v>401.81944956556271</v>
      </c>
      <c r="HA20" s="59">
        <f t="shared" si="52"/>
        <v>292.20785523952651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316.16722083858792</v>
      </c>
      <c r="S21" s="59">
        <f ca="1">AVERAGE(OFFSET($R$3,0,0,'Données projet'!$E$9+1,1))-AVERAGE(OFFSET($H$3,0,0,'Données projet'!$E$9+1,1))</f>
        <v>384.05928630855732</v>
      </c>
      <c r="T21" s="59">
        <f t="shared" si="34"/>
        <v>279.93992813630513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182.89230769230767</v>
      </c>
      <c r="AG21" s="12">
        <f>VLOOKUP(A21,'Données projet'!$A$61:$I$81,9,0)</f>
        <v>10.16068376068376</v>
      </c>
      <c r="AH21" s="12">
        <f t="array" ref="AH21">INDEX(AG:AG,MIN(IF(ISNUMBER(AG21:AG217),ROW(AG21:AG217),"")))</f>
        <v>10.16068376068376</v>
      </c>
      <c r="AI21" s="13">
        <f>IF('Données projet'!$A$62&gt;35,AI20+AH21-AQ20,IF(A21&lt;'Données projet'!$A$62,$AF$205^A21,IF(A21='Données projet'!$A$62,'Données projet'!$B$62,AI20+AH21-AQ20)))</f>
        <v>182.89230769230767</v>
      </c>
      <c r="AJ21" s="13">
        <f>AI21*VLOOKUP('Données projet'!$B$10,Paramètres!$A$1:$I$89,3,0)*VLOOKUP('Données projet'!$B$10,Paramètres!$A$1:$I$89,5,0)</f>
        <v>102.23679999999999</v>
      </c>
      <c r="AK21" s="13">
        <f t="shared" si="35"/>
        <v>27.494196289326943</v>
      </c>
      <c r="AL21" s="20">
        <f t="shared" si="4"/>
        <v>225.9481518705777</v>
      </c>
      <c r="AM21" s="59">
        <f t="shared" si="5"/>
        <v>504.61481853724439</v>
      </c>
      <c r="AN21" s="59">
        <f ca="1">AVERAGE(OFFSET($AM$3,0,0,'Données projet'!$E$10+1,1))-AVERAGE(OFFSET($H$3,0,0,'Données projet'!$E$10+1,1))</f>
        <v>335.04906256888819</v>
      </c>
      <c r="AO21" s="59">
        <f t="shared" si="36"/>
        <v>440.84111898279554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69.284615384615378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0.30800000000000005</v>
      </c>
      <c r="AT21" s="16">
        <f>IF(ISNA(VLOOKUP(A21,'Données projet'!$A$61:$I$81,7,0)),0%,VLOOKUP(A21,'Données projet'!$A$61:$I$81,7,0))</f>
        <v>0.44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15.762109241455983</v>
      </c>
      <c r="AW21" s="21">
        <f>EXP(-LN(2)/2)*AW20+(1-EXP(-LN(2)/2))/(LN(2)/2)*AQ21*AT21*VLOOKUP('Données projet'!$B$10,Paramètres!$A$1:$I$89,3,0)*0.475*44/12</f>
        <v>19.294646846829099</v>
      </c>
      <c r="AX21" s="21">
        <f t="shared" si="6"/>
        <v>35.056756088285084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137.86923076923077</v>
      </c>
      <c r="BB21" s="12">
        <f>VLOOKUP(A21,'Données projet'!$A$87:$I$107,9,0)</f>
        <v>7.6594017094017097</v>
      </c>
      <c r="BC21" s="12">
        <f t="array" ref="BC21">INDEX(BB:BB,MIN(IF(ISNUMBER(BB21:BB217),ROW(BB21:BB217),"")))</f>
        <v>7.6594017094017097</v>
      </c>
      <c r="BD21" s="12">
        <f>IF('Données projet'!$A$88&gt;35,BD20+BC21-BL20,IF(A21&lt;'Données projet'!$A$88,$BA$205^A21,IF(A21='Données projet'!$A$88,'Données projet'!$B$88,BD20+BC21-BL20)))</f>
        <v>137.86923076923077</v>
      </c>
      <c r="BE21" s="13">
        <f>BD21*VLOOKUP('Données projet'!$B$11,Paramètres!$A$1:$I$89,3,0)*VLOOKUP('Données projet'!$B$11,Paramètres!$A$1:$I$89,5,0)</f>
        <v>78.861199999999997</v>
      </c>
      <c r="BF21" s="13">
        <f t="shared" si="37"/>
        <v>21.858509693868037</v>
      </c>
      <c r="BG21" s="20">
        <f t="shared" si="7"/>
        <v>175.42016105015344</v>
      </c>
      <c r="BH21" s="59">
        <f t="shared" si="8"/>
        <v>454.08682771682015</v>
      </c>
      <c r="BI21" s="59">
        <f ca="1">AVERAGE(OFFSET($BH$3,0,0,'Données projet'!$E$11+1,1))-AVERAGE(OFFSET($H$3,0,0,'Données projet'!$E$11+1,1))</f>
        <v>320.76883487964511</v>
      </c>
      <c r="BJ21" s="59">
        <f t="shared" si="38"/>
        <v>290.51177680335746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52.746153846153838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0.25200000000000006</v>
      </c>
      <c r="BO21" s="16">
        <f>IF(ISNA(VLOOKUP(A21,'Données projet'!$A$87:$I$107,7,0)),0%,VLOOKUP(A21,'Données projet'!$A$87:$I$107,7,0))</f>
        <v>0.44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10.046212611049011</v>
      </c>
      <c r="BR21" s="21">
        <f>EXP(-LN(2)/2)*BR20+(1-EXP(-LN(2)/2))/(LN(2)/2)*BL21*BO21*VLOOKUP('Données projet'!$B$11,Paramètres!$A$1:$I$89,3,0)*0.475*44/12</f>
        <v>15.030555848973053</v>
      </c>
      <c r="BS21" s="22">
        <f t="shared" si="9"/>
        <v>25.076768460022066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12.6</v>
      </c>
      <c r="BY21" s="12">
        <f>IF('Données projet'!$A$114&gt;35,BY20+BX21-CG20,IF(A21&lt;'Données projet'!$A$114,$BV$205^A21,IF(A21='Données projet'!$A$114,'Données projet'!$B$114,BY20+BX21-CG20)))</f>
        <v>154.79999999999998</v>
      </c>
      <c r="BZ21" s="13">
        <f>BY21*VLOOKUP('Données projet'!$B$12,Paramètres!$A$1:$I$89,3,0)*VLOOKUP('Données projet'!$B$12,Paramètres!$A$1:$I$89,5,0)</f>
        <v>140.06303999999997</v>
      </c>
      <c r="CA21" s="13">
        <f t="shared" si="39"/>
        <v>36.31144669536954</v>
      </c>
      <c r="CB21" s="20">
        <f t="shared" si="10"/>
        <v>307.18556432776853</v>
      </c>
      <c r="CC21" s="59">
        <f t="shared" si="11"/>
        <v>585.85223099443522</v>
      </c>
      <c r="CD21" s="59">
        <f ca="1">AVERAGE(OFFSET($CC$3,0,0,'Données projet'!$E$12+1,1))-AVERAGE(OFFSET($H$3,0,0,'Données projet'!$E$12+1,1))</f>
        <v>366.69125512029831</v>
      </c>
      <c r="CE21" s="59">
        <f t="shared" si="40"/>
        <v>513.80016421153414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4.0628205128205126</v>
      </c>
      <c r="CT21" s="12">
        <f>IF('Données projet'!$A$140&gt;35,CT20+CS21-DB20,IF(A21&lt;'Données projet'!$A$140,$CQ$205^A21,IF(A21='Données projet'!$A$140,'Données projet'!$B$140,CT20+CS21-DB20)))</f>
        <v>17.847168942782186</v>
      </c>
      <c r="CU21" s="17">
        <f>CT21*VLOOKUP('Données projet'!$B$13,Paramètres!$A$1:$I$89,3,0)*VLOOKUP('Données projet'!$B$13,Paramètres!$A$1:$I$89,5,0)</f>
        <v>11.97188092681829</v>
      </c>
      <c r="CV21" s="13">
        <f t="shared" si="41"/>
        <v>4.1325332018681884</v>
      </c>
      <c r="CW21" s="20">
        <f t="shared" si="13"/>
        <v>28.048521274128948</v>
      </c>
      <c r="CX21" s="59">
        <f t="shared" si="14"/>
        <v>306.71518794079566</v>
      </c>
      <c r="CY21" s="59">
        <f ca="1">AVERAGE(OFFSET($CX$3,0,0,'Données projet'!$E$13+1,1))-AVERAGE(OFFSET($H$3,0,0,'Données projet'!$E$13+1,1))</f>
        <v>294.94331863127815</v>
      </c>
      <c r="CZ21" s="59">
        <f t="shared" si="42"/>
        <v>218.36990036643977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56.800000000000004</v>
      </c>
      <c r="DP21" s="17">
        <f>DO21*VLOOKUP('Données projet'!$B$14,Paramètres!$A$1:$I$89,3,0)*VLOOKUP('Données projet'!$B$14,Paramètres!$A$1:$I$89,5,0)</f>
        <v>41.645760000000003</v>
      </c>
      <c r="DQ21" s="13">
        <f t="shared" si="43"/>
        <v>12.433826892120967</v>
      </c>
      <c r="DR21" s="20">
        <f t="shared" si="16"/>
        <v>94.18861383711068</v>
      </c>
      <c r="DS21" s="59">
        <f t="shared" si="17"/>
        <v>372.85528050377735</v>
      </c>
      <c r="DT21" s="59">
        <f ca="1">AVERAGE(OFFSET($DS$3,0,0,'Données projet'!$E$14+1,1))-AVERAGE(OFFSET($H$3,0,0,'Données projet'!$E$14+1,1))</f>
        <v>278.45534008146865</v>
      </c>
      <c r="DU21" s="59">
        <f t="shared" si="44"/>
        <v>272.97841038165217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4.0628205128205126</v>
      </c>
      <c r="EJ21" s="12">
        <f>IF('Données projet'!$A$192&gt;35,EJ20+EI21-ER20,IF(A21&lt;'Données projet'!$A$192,$EG$205^A21,IF(A21='Données projet'!$A$192,'Données projet'!$B$192,EJ20+EI21-ER20)))</f>
        <v>17.847168942782186</v>
      </c>
      <c r="EK21" s="17">
        <f>EJ21*VLOOKUP('Données projet'!$B$15,Paramètres!$A$1:$I$89,3,0)*VLOOKUP('Données projet'!$B$15,Paramètres!$A$1:$I$89,5,0)</f>
        <v>19.210692650010746</v>
      </c>
      <c r="EL21" s="13">
        <f t="shared" si="45"/>
        <v>6.2761119358126942</v>
      </c>
      <c r="EM21" s="20">
        <f t="shared" si="19"/>
        <v>44.389517986975818</v>
      </c>
      <c r="EN21" s="59">
        <f t="shared" si="20"/>
        <v>323.0561846536425</v>
      </c>
      <c r="EO21" s="59">
        <f ca="1">AVERAGE(OFFSET($EN$3,0,0,'Données projet'!$E$15+1,1))-AVERAGE(OFFSET($H$3,0,0,'Données projet'!$E$15+1,1))</f>
        <v>449.09332781196957</v>
      </c>
      <c r="EP21" s="59">
        <f t="shared" si="46"/>
        <v>324.85904971519432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4.6333333333333337</v>
      </c>
      <c r="FE21" s="12">
        <f>IF('Données projet'!$A$218&gt;35,FE20+FD21-FM20,IF(A21&lt;'Données projet'!$A$218,$FB$205^A21,IF(A21='Données projet'!$A$218,'Données projet'!$B$218,FE20+FD21-FM20)))</f>
        <v>13.694673256151539</v>
      </c>
      <c r="FF21" s="17">
        <f>FE21*VLOOKUP('Données projet'!$B$16,Paramètres!$A$1:$I$89,3,0)*VLOOKUP('Données projet'!$B$16,Paramètres!$A$1:$I$89,5,0)</f>
        <v>13.886398681737663</v>
      </c>
      <c r="FG21" s="13">
        <f t="shared" si="47"/>
        <v>4.7113379926303471</v>
      </c>
      <c r="FH21" s="20">
        <f t="shared" si="22"/>
        <v>32.391058041190952</v>
      </c>
      <c r="FI21" s="59">
        <f t="shared" si="23"/>
        <v>311.05772470785763</v>
      </c>
      <c r="FJ21" s="59">
        <f ca="1">AVERAGE(OFFSET($FI$3,0,0,'Données projet'!$E$16+1,1))-AVERAGE(OFFSET($H$3,0,0,'Données projet'!$E$16+1,1))</f>
        <v>419.51168383014721</v>
      </c>
      <c r="FK21" s="59">
        <f t="shared" si="48"/>
        <v>213.44145308833384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11.6</v>
      </c>
      <c r="FZ21" s="12">
        <f>IF('Données projet'!$A$244&gt;35,FZ20+FY21-GH20,IF(A21&lt;'Données projet'!$A$244,$FW$205^A21,IF(A21='Données projet'!$A$244,'Données projet'!$B$244,FZ20+FY21-GH20)))</f>
        <v>56.800000000000004</v>
      </c>
      <c r="GA21" s="17">
        <f>FZ21*VLOOKUP('Données projet'!$B$17,Paramètres!$A$1:$I$89,3,0)*VLOOKUP('Données projet'!$B$17,Paramètres!$A$1:$I$89,5,0)</f>
        <v>49.620480000000015</v>
      </c>
      <c r="GB21" s="13">
        <f t="shared" si="49"/>
        <v>14.515703547444382</v>
      </c>
      <c r="GC21" s="20">
        <f t="shared" si="25"/>
        <v>111.70385301179901</v>
      </c>
      <c r="GD21" s="59">
        <f t="shared" si="26"/>
        <v>390.37051967846571</v>
      </c>
      <c r="GE21" s="59">
        <f ca="1">AVERAGE(OFFSET($GD$3,0,0,'Données projet'!$E$17+1,1))-AVERAGE(OFFSET($H$3,0,0,'Données projet'!$E$17+1,1))</f>
        <v>324.86930206492627</v>
      </c>
      <c r="GF21" s="59">
        <f t="shared" si="50"/>
        <v>317.03005098025352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4.0628205128205126</v>
      </c>
      <c r="GU21" s="12">
        <f>IF('Données projet'!$A$270&gt;35,GU20+GT21-HC20,IF(A21&lt;'Données projet'!$A$270,$GR$205^A21,IF(A21='Données projet'!$A$270,'Données projet'!$B$270,GU20+GT21-HC20)))</f>
        <v>17.847168942782186</v>
      </c>
      <c r="GV21" s="17">
        <f>GU21*VLOOKUP('Données projet'!$B$18,Paramètres!$A$1:$I$89,3,0)*VLOOKUP('Données projet'!$B$18,Paramètres!$A$1:$I$89,5,0)</f>
        <v>16.983365965951528</v>
      </c>
      <c r="GW21" s="13">
        <f t="shared" si="51"/>
        <v>5.6286088132097909</v>
      </c>
      <c r="GX21" s="20">
        <f t="shared" si="28"/>
        <v>39.382522740372629</v>
      </c>
      <c r="GY21" s="59">
        <f t="shared" si="29"/>
        <v>318.04918940703931</v>
      </c>
      <c r="GZ21" s="59">
        <f ca="1">AVERAGE(OFFSET($GY$3,0,0,'Données projet'!$E$18+1,1))-AVERAGE(OFFSET($H$3,0,0,'Données projet'!$E$18+1,1))</f>
        <v>401.81944956556271</v>
      </c>
      <c r="HA21" s="59">
        <f t="shared" si="52"/>
        <v>292.20785523952651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323.69753932281691</v>
      </c>
      <c r="S22" s="59">
        <f ca="1">AVERAGE(OFFSET($R$3,0,0,'Données projet'!$E$9+1,1))-AVERAGE(OFFSET($H$3,0,0,'Données projet'!$E$9+1,1))</f>
        <v>384.05928630855732</v>
      </c>
      <c r="T22" s="59">
        <f t="shared" si="34"/>
        <v>279.93992813630513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20.658974358974358</v>
      </c>
      <c r="AI22" s="13">
        <f>IF('Données projet'!$A$62&gt;35,AI21+AH22-AQ21,IF(A22&lt;'Données projet'!$A$62,$AF$205^A22,IF(A22='Données projet'!$A$62,'Données projet'!$B$62,AI21+AH22-AQ21)))</f>
        <v>134.26666666666665</v>
      </c>
      <c r="AJ22" s="13">
        <f>AI22*VLOOKUP('Données projet'!$B$10,Paramètres!$A$1:$I$89,3,0)*VLOOKUP('Données projet'!$B$10,Paramètres!$A$1:$I$89,5,0)</f>
        <v>75.055066666666661</v>
      </c>
      <c r="AK22" s="13">
        <f t="shared" si="35"/>
        <v>20.923669242672773</v>
      </c>
      <c r="AL22" s="20">
        <f t="shared" si="4"/>
        <v>167.1629650420995</v>
      </c>
      <c r="AM22" s="59">
        <f t="shared" si="5"/>
        <v>447.05185393098839</v>
      </c>
      <c r="AN22" s="59">
        <f ca="1">AVERAGE(OFFSET($AM$3,0,0,'Données projet'!$E$10+1,1))-AVERAGE(OFFSET($H$3,0,0,'Données projet'!$E$10+1,1))</f>
        <v>335.04906256888819</v>
      </c>
      <c r="AO22" s="59">
        <f t="shared" si="36"/>
        <v>440.84111898279554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15.33109353535507</v>
      </c>
      <c r="AW22" s="21">
        <f>EXP(-LN(2)/2)*AW21+(1-EXP(-LN(2)/2))/(LN(2)/2)*AQ22*AT22*VLOOKUP('Données projet'!$B$10,Paramètres!$A$1:$I$89,3,0)*0.475*44/12</f>
        <v>13.643375625992494</v>
      </c>
      <c r="AX22" s="21">
        <f t="shared" si="6"/>
        <v>28.974469161347564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12.908974358974362</v>
      </c>
      <c r="BD22" s="12">
        <f>IF('Données projet'!$A$88&gt;35,BD21+BC22-BL21,IF(A22&lt;'Données projet'!$A$88,$BA$205^A22,IF(A22='Données projet'!$A$88,'Données projet'!$B$88,BD21+BC22-BL21)))</f>
        <v>98.03205128205127</v>
      </c>
      <c r="BE22" s="13">
        <f>BD22*VLOOKUP('Données projet'!$B$11,Paramètres!$A$1:$I$89,3,0)*VLOOKUP('Données projet'!$B$11,Paramètres!$A$1:$I$89,5,0)</f>
        <v>56.074333333333335</v>
      </c>
      <c r="BF22" s="13">
        <f t="shared" si="37"/>
        <v>16.171862509920548</v>
      </c>
      <c r="BG22" s="20">
        <f t="shared" si="7"/>
        <v>125.82879109366719</v>
      </c>
      <c r="BH22" s="59">
        <f t="shared" si="8"/>
        <v>405.71767998255604</v>
      </c>
      <c r="BI22" s="59">
        <f ca="1">AVERAGE(OFFSET($BH$3,0,0,'Données projet'!$E$11+1,1))-AVERAGE(OFFSET($H$3,0,0,'Données projet'!$E$11+1,1))</f>
        <v>320.76883487964511</v>
      </c>
      <c r="BJ22" s="59">
        <f t="shared" si="38"/>
        <v>290.51177680335746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9.7714983988925148</v>
      </c>
      <c r="BR22" s="21">
        <f>EXP(-LN(2)/2)*BR21+(1-EXP(-LN(2)/2))/(LN(2)/2)*BL22*BO22*VLOOKUP('Données projet'!$B$11,Paramètres!$A$1:$I$89,3,0)*0.475*44/12</f>
        <v>10.628207965811972</v>
      </c>
      <c r="BS22" s="22">
        <f t="shared" si="9"/>
        <v>20.399706364704485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12.6</v>
      </c>
      <c r="BY22" s="12">
        <f>IF('Données projet'!$A$114&gt;35,BY21+BX22-CG21,IF(A22&lt;'Données projet'!$A$114,$BV$205^A22,IF(A22='Données projet'!$A$114,'Données projet'!$B$114,BY21+BX22-CG21)))</f>
        <v>167.39999999999998</v>
      </c>
      <c r="BZ22" s="13">
        <f>BY22*VLOOKUP('Données projet'!$B$12,Paramètres!$A$1:$I$89,3,0)*VLOOKUP('Données projet'!$B$12,Paramètres!$A$1:$I$89,5,0)</f>
        <v>151.46351999999999</v>
      </c>
      <c r="CA22" s="13">
        <f t="shared" si="39"/>
        <v>38.910987614777085</v>
      </c>
      <c r="CB22" s="20">
        <f t="shared" si="10"/>
        <v>331.56893409573678</v>
      </c>
      <c r="CC22" s="59">
        <f t="shared" si="11"/>
        <v>611.45782298462564</v>
      </c>
      <c r="CD22" s="59">
        <f ca="1">AVERAGE(OFFSET($CC$3,0,0,'Données projet'!$E$12+1,1))-AVERAGE(OFFSET($H$3,0,0,'Données projet'!$E$12+1,1))</f>
        <v>366.69125512029831</v>
      </c>
      <c r="CE22" s="59">
        <f t="shared" si="40"/>
        <v>513.80016421153414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4.0628205128205126</v>
      </c>
      <c r="CT22" s="12">
        <f>IF('Données projet'!$A$140&gt;35,CT21+CS22-DB21,IF(A22&lt;'Données projet'!$A$140,$CQ$205^A22,IF(A22='Données projet'!$A$140,'Données projet'!$B$140,CT21+CS22-DB21)))</f>
        <v>20.945993500590358</v>
      </c>
      <c r="CU22" s="17">
        <f>CT22*VLOOKUP('Données projet'!$B$13,Paramètres!$A$1:$I$89,3,0)*VLOOKUP('Données projet'!$B$13,Paramètres!$A$1:$I$89,5,0)</f>
        <v>14.050572440196014</v>
      </c>
      <c r="CV22" s="13">
        <f t="shared" si="41"/>
        <v>4.7605211557785063</v>
      </c>
      <c r="CW22" s="20">
        <f t="shared" si="13"/>
        <v>32.762654679655618</v>
      </c>
      <c r="CX22" s="59">
        <f t="shared" si="14"/>
        <v>312.65154356854447</v>
      </c>
      <c r="CY22" s="59">
        <f ca="1">AVERAGE(OFFSET($CX$3,0,0,'Données projet'!$E$13+1,1))-AVERAGE(OFFSET($H$3,0,0,'Données projet'!$E$13+1,1))</f>
        <v>294.94331863127815</v>
      </c>
      <c r="CZ22" s="59">
        <f t="shared" si="42"/>
        <v>218.36990036643977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68.400000000000006</v>
      </c>
      <c r="DP22" s="17">
        <f>DO22*VLOOKUP('Données projet'!$B$14,Paramètres!$A$1:$I$89,3,0)*VLOOKUP('Données projet'!$B$14,Paramètres!$A$1:$I$89,5,0)</f>
        <v>50.150880000000008</v>
      </c>
      <c r="DQ22" s="13">
        <f t="shared" si="43"/>
        <v>14.652718245804536</v>
      </c>
      <c r="DR22" s="20">
        <f t="shared" si="16"/>
        <v>112.86626694477626</v>
      </c>
      <c r="DS22" s="59">
        <f t="shared" si="17"/>
        <v>392.75515583366513</v>
      </c>
      <c r="DT22" s="59">
        <f ca="1">AVERAGE(OFFSET($DS$3,0,0,'Données projet'!$E$14+1,1))-AVERAGE(OFFSET($H$3,0,0,'Données projet'!$E$14+1,1))</f>
        <v>278.45534008146865</v>
      </c>
      <c r="DU22" s="59">
        <f t="shared" si="44"/>
        <v>272.97841038165217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4.0628205128205126</v>
      </c>
      <c r="EJ22" s="12">
        <f>IF('Données projet'!$A$192&gt;35,EJ21+EI22-ER21,IF(A22&lt;'Données projet'!$A$192,$EG$205^A22,IF(A22='Données projet'!$A$192,'Données projet'!$B$192,EJ21+EI22-ER21)))</f>
        <v>20.945993500590358</v>
      </c>
      <c r="EK22" s="17">
        <f>EJ22*VLOOKUP('Données projet'!$B$15,Paramètres!$A$1:$I$89,3,0)*VLOOKUP('Données projet'!$B$15,Paramètres!$A$1:$I$89,5,0)</f>
        <v>22.546267404035461</v>
      </c>
      <c r="EL22" s="13">
        <f t="shared" si="45"/>
        <v>7.2298423719774645</v>
      </c>
      <c r="EM22" s="20">
        <f t="shared" si="19"/>
        <v>51.860057859889174</v>
      </c>
      <c r="EN22" s="59">
        <f t="shared" si="20"/>
        <v>331.74894674877805</v>
      </c>
      <c r="EO22" s="59">
        <f ca="1">AVERAGE(OFFSET($EN$3,0,0,'Données projet'!$E$15+1,1))-AVERAGE(OFFSET($H$3,0,0,'Données projet'!$E$15+1,1))</f>
        <v>449.09332781196957</v>
      </c>
      <c r="EP22" s="59">
        <f t="shared" si="46"/>
        <v>324.85904971519432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4.6333333333333337</v>
      </c>
      <c r="FE22" s="12">
        <f>IF('Données projet'!$A$218&gt;35,FE21+FD22-FM21,IF(A22&lt;'Données projet'!$A$218,$FB$205^A22,IF(A22='Données projet'!$A$218,'Données projet'!$B$218,FE21+FD22-FM21)))</f>
        <v>15.837748220162709</v>
      </c>
      <c r="FF22" s="17">
        <f>FE22*VLOOKUP('Données projet'!$B$16,Paramètres!$A$1:$I$89,3,0)*VLOOKUP('Données projet'!$B$16,Paramètres!$A$1:$I$89,5,0)</f>
        <v>16.059476695244989</v>
      </c>
      <c r="FG22" s="13">
        <f t="shared" si="47"/>
        <v>5.3571810093505565</v>
      </c>
      <c r="FH22" s="20">
        <f t="shared" si="22"/>
        <v>37.300678835503909</v>
      </c>
      <c r="FI22" s="59">
        <f t="shared" si="23"/>
        <v>317.18956772439276</v>
      </c>
      <c r="FJ22" s="59">
        <f ca="1">AVERAGE(OFFSET($FI$3,0,0,'Données projet'!$E$16+1,1))-AVERAGE(OFFSET($H$3,0,0,'Données projet'!$E$16+1,1))</f>
        <v>419.51168383014721</v>
      </c>
      <c r="FK22" s="59">
        <f t="shared" si="48"/>
        <v>213.44145308833384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11.6</v>
      </c>
      <c r="FZ22" s="12">
        <f>IF('Données projet'!$A$244&gt;35,FZ21+FY22-GH21,IF(A22&lt;'Données projet'!$A$244,$FW$205^A22,IF(A22='Données projet'!$A$244,'Données projet'!$B$244,FZ21+FY22-GH21)))</f>
        <v>68.400000000000006</v>
      </c>
      <c r="GA22" s="17">
        <f>FZ22*VLOOKUP('Données projet'!$B$17,Paramètres!$A$1:$I$89,3,0)*VLOOKUP('Données projet'!$B$17,Paramètres!$A$1:$I$89,5,0)</f>
        <v>59.754240000000017</v>
      </c>
      <c r="GB22" s="13">
        <f t="shared" si="49"/>
        <v>17.106118338764027</v>
      </c>
      <c r="GC22" s="20">
        <f t="shared" si="25"/>
        <v>133.8651241066807</v>
      </c>
      <c r="GD22" s="59">
        <f t="shared" si="26"/>
        <v>413.75401299556955</v>
      </c>
      <c r="GE22" s="59">
        <f ca="1">AVERAGE(OFFSET($GD$3,0,0,'Données projet'!$E$17+1,1))-AVERAGE(OFFSET($H$3,0,0,'Données projet'!$E$17+1,1))</f>
        <v>324.86930206492627</v>
      </c>
      <c r="GF22" s="59">
        <f t="shared" si="50"/>
        <v>317.03005098025352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4.0628205128205126</v>
      </c>
      <c r="GU22" s="12">
        <f>IF('Données projet'!$A$270&gt;35,GU21+GT22-HC21,IF(A22&lt;'Données projet'!$A$270,$GR$205^A22,IF(A22='Données projet'!$A$270,'Données projet'!$B$270,GU21+GT22-HC21)))</f>
        <v>20.945993500590358</v>
      </c>
      <c r="GV22" s="17">
        <f>GU22*VLOOKUP('Données projet'!$B$18,Paramètres!$A$1:$I$89,3,0)*VLOOKUP('Données projet'!$B$18,Paramètres!$A$1:$I$89,5,0)</f>
        <v>19.932207415161784</v>
      </c>
      <c r="GW22" s="13">
        <f t="shared" si="51"/>
        <v>6.4839433887121185</v>
      </c>
      <c r="GX22" s="20">
        <f t="shared" si="28"/>
        <v>46.008129316747045</v>
      </c>
      <c r="GY22" s="59">
        <f t="shared" si="29"/>
        <v>325.8970182056359</v>
      </c>
      <c r="GZ22" s="59">
        <f ca="1">AVERAGE(OFFSET($GY$3,0,0,'Données projet'!$E$18+1,1))-AVERAGE(OFFSET($H$3,0,0,'Données projet'!$E$18+1,1))</f>
        <v>401.81944956556271</v>
      </c>
      <c r="HA22" s="59">
        <f t="shared" si="52"/>
        <v>292.20785523952651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332.29226599272459</v>
      </c>
      <c r="S23" s="59">
        <f ca="1">AVERAGE(OFFSET($R$3,0,0,'Données projet'!$E$9+1,1))-AVERAGE(OFFSET($H$3,0,0,'Données projet'!$E$9+1,1))</f>
        <v>384.05928630855732</v>
      </c>
      <c r="T23" s="59">
        <f t="shared" si="34"/>
        <v>279.93992813630513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20.658974358974358</v>
      </c>
      <c r="AI23" s="13">
        <f>IF('Données projet'!$A$62&gt;35,AI22+AH23-AQ22,IF(A23&lt;'Données projet'!$A$62,$AF$205^A23,IF(A23='Données projet'!$A$62,'Données projet'!$B$62,AI22+AH23-AQ22)))</f>
        <v>154.925641025641</v>
      </c>
      <c r="AJ23" s="13">
        <f>AI23*VLOOKUP('Données projet'!$B$10,Paramètres!$A$1:$I$89,3,0)*VLOOKUP('Données projet'!$B$10,Paramètres!$A$1:$I$89,5,0)</f>
        <v>86.603433333333314</v>
      </c>
      <c r="AK23" s="13">
        <f t="shared" si="35"/>
        <v>23.744229853900279</v>
      </c>
      <c r="AL23" s="20">
        <f t="shared" si="4"/>
        <v>192.18884671776516</v>
      </c>
      <c r="AM23" s="59">
        <f t="shared" si="5"/>
        <v>473.2999578288763</v>
      </c>
      <c r="AN23" s="59">
        <f ca="1">AVERAGE(OFFSET($AM$3,0,0,'Données projet'!$E$10+1,1))-AVERAGE(OFFSET($H$3,0,0,'Données projet'!$E$10+1,1))</f>
        <v>335.04906256888819</v>
      </c>
      <c r="AO23" s="59">
        <f t="shared" si="36"/>
        <v>440.84111898279554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14.911863976403616</v>
      </c>
      <c r="AW23" s="21">
        <f>EXP(-LN(2)/2)*AW22+(1-EXP(-LN(2)/2))/(LN(2)/2)*AQ23*AT23*VLOOKUP('Données projet'!$B$10,Paramètres!$A$1:$I$89,3,0)*0.475*44/12</f>
        <v>9.6473234234145515</v>
      </c>
      <c r="AX23" s="21">
        <f t="shared" si="6"/>
        <v>24.559187399818168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12.908974358974362</v>
      </c>
      <c r="BD23" s="12">
        <f>IF('Données projet'!$A$88&gt;35,BD22+BC23-BL22,IF(A23&lt;'Données projet'!$A$88,$BA$205^A23,IF(A23='Données projet'!$A$88,'Données projet'!$B$88,BD22+BC23-BL22)))</f>
        <v>110.94102564102563</v>
      </c>
      <c r="BE23" s="13">
        <f>BD23*VLOOKUP('Données projet'!$B$11,Paramètres!$A$1:$I$89,3,0)*VLOOKUP('Données projet'!$B$11,Paramètres!$A$1:$I$89,5,0)</f>
        <v>63.458266666666667</v>
      </c>
      <c r="BF23" s="13">
        <f t="shared" si="37"/>
        <v>18.039755336226683</v>
      </c>
      <c r="BG23" s="20">
        <f t="shared" si="7"/>
        <v>141.94238832170592</v>
      </c>
      <c r="BH23" s="59">
        <f t="shared" si="8"/>
        <v>423.05349943281703</v>
      </c>
      <c r="BI23" s="59">
        <f ca="1">AVERAGE(OFFSET($BH$3,0,0,'Données projet'!$E$11+1,1))-AVERAGE(OFFSET($H$3,0,0,'Données projet'!$E$11+1,1))</f>
        <v>320.76883487964511</v>
      </c>
      <c r="BJ23" s="59">
        <f t="shared" si="38"/>
        <v>290.51177680335746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9.5042962613140318</v>
      </c>
      <c r="BR23" s="21">
        <f>EXP(-LN(2)/2)*BR22+(1-EXP(-LN(2)/2))/(LN(2)/2)*BL23*BO23*VLOOKUP('Données projet'!$B$11,Paramètres!$A$1:$I$89,3,0)*0.475*44/12</f>
        <v>7.5152779244865284</v>
      </c>
      <c r="BS23" s="22">
        <f t="shared" si="9"/>
        <v>17.019574185800561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180</v>
      </c>
      <c r="BW23" s="12">
        <f>VLOOKUP(A23,'Données projet'!$A$113:$I$133,9,0)</f>
        <v>12.6</v>
      </c>
      <c r="BX23" s="12">
        <f t="array" ref="BX23">INDEX(BW:BW,MIN(IF(ISNUMBER(BW23:BW219),ROW(BW23:BW219),"")))</f>
        <v>12.6</v>
      </c>
      <c r="BY23" s="12">
        <f>IF('Données projet'!$A$114&gt;35,BY22+BX23-CG22,IF(A23&lt;'Données projet'!$A$114,$BV$205^A23,IF(A23='Données projet'!$A$114,'Données projet'!$B$114,BY22+BX23-CG22)))</f>
        <v>179.99999999999997</v>
      </c>
      <c r="BZ23" s="13">
        <f>BY23*VLOOKUP('Données projet'!$B$12,Paramètres!$A$1:$I$89,3,0)*VLOOKUP('Données projet'!$B$12,Paramètres!$A$1:$I$89,5,0)</f>
        <v>162.86399999999998</v>
      </c>
      <c r="CA23" s="13">
        <f t="shared" si="39"/>
        <v>41.487830069509123</v>
      </c>
      <c r="CB23" s="20">
        <f t="shared" si="10"/>
        <v>355.91277070439497</v>
      </c>
      <c r="CC23" s="59">
        <f t="shared" si="11"/>
        <v>637.02388181550612</v>
      </c>
      <c r="CD23" s="59">
        <f ca="1">AVERAGE(OFFSET($CC$3,0,0,'Données projet'!$E$12+1,1))-AVERAGE(OFFSET($H$3,0,0,'Données projet'!$E$12+1,1))</f>
        <v>366.69125512029831</v>
      </c>
      <c r="CE23" s="59">
        <f t="shared" si="40"/>
        <v>513.80016421153414</v>
      </c>
      <c r="CF23" s="15">
        <f>IF(ISNA(VLOOKUP(A23,'Données projet'!$A$113:$I$133,3,0)),0,VLOOKUP(A23,'Données projet'!$A$113:$I$133,3,0))</f>
        <v>4</v>
      </c>
      <c r="CG23" s="15">
        <f>IF(ISNA(VLOOKUP(A23,'Données projet'!$A$113:$I$133,4,0)),0,VLOOKUP(A23,'Données projet'!$A$113:$I$133,4,0))</f>
        <v>19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4.0628205128205126</v>
      </c>
      <c r="CT23" s="12">
        <f>IF('Données projet'!$A$140&gt;35,CT22+CS23-DB22,IF(A23&lt;'Données projet'!$A$140,$CQ$205^A23,IF(A23='Données projet'!$A$140,'Données projet'!$B$140,CT22+CS23-DB22)))</f>
        <v>24.582870545650774</v>
      </c>
      <c r="CU23" s="17">
        <f>CT23*VLOOKUP('Données projet'!$B$13,Paramètres!$A$1:$I$89,3,0)*VLOOKUP('Données projet'!$B$13,Paramètres!$A$1:$I$89,5,0)</f>
        <v>16.49018956202254</v>
      </c>
      <c r="CV23" s="13">
        <f t="shared" si="41"/>
        <v>5.4839394065532705</v>
      </c>
      <c r="CW23" s="20">
        <f t="shared" si="13"/>
        <v>38.271607953602867</v>
      </c>
      <c r="CX23" s="59">
        <f t="shared" si="14"/>
        <v>319.38271906471402</v>
      </c>
      <c r="CY23" s="59">
        <f ca="1">AVERAGE(OFFSET($CX$3,0,0,'Données projet'!$E$13+1,1))-AVERAGE(OFFSET($H$3,0,0,'Données projet'!$E$13+1,1))</f>
        <v>294.94331863127815</v>
      </c>
      <c r="CZ23" s="59">
        <f t="shared" si="42"/>
        <v>218.36990036643977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80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58.655999999999992</v>
      </c>
      <c r="DQ23" s="13">
        <f t="shared" si="43"/>
        <v>16.828016909929062</v>
      </c>
      <c r="DR23" s="20">
        <f t="shared" si="16"/>
        <v>131.46799611812642</v>
      </c>
      <c r="DS23" s="59">
        <f t="shared" si="17"/>
        <v>412.57910722923759</v>
      </c>
      <c r="DT23" s="59">
        <f ca="1">AVERAGE(OFFSET($DS$3,0,0,'Données projet'!$E$14+1,1))-AVERAGE(OFFSET($H$3,0,0,'Données projet'!$E$14+1,1))</f>
        <v>278.45534008146865</v>
      </c>
      <c r="DU23" s="59">
        <f t="shared" si="44"/>
        <v>272.97841038165217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4.0628205128205126</v>
      </c>
      <c r="EJ23" s="12">
        <f>IF('Données projet'!$A$192&gt;35,EJ22+EI23-ER22,IF(A23&lt;'Données projet'!$A$192,$EG$205^A23,IF(A23='Données projet'!$A$192,'Données projet'!$B$192,EJ22+EI23-ER22)))</f>
        <v>24.582870545650774</v>
      </c>
      <c r="EK23" s="17">
        <f>EJ23*VLOOKUP('Données projet'!$B$15,Paramètres!$A$1:$I$89,3,0)*VLOOKUP('Données projet'!$B$15,Paramètres!$A$1:$I$89,5,0)</f>
        <v>26.461001855338495</v>
      </c>
      <c r="EL23" s="13">
        <f t="shared" si="45"/>
        <v>8.3285035796405325</v>
      </c>
      <c r="EM23" s="20">
        <f t="shared" si="19"/>
        <v>60.591721965921806</v>
      </c>
      <c r="EN23" s="59">
        <f t="shared" si="20"/>
        <v>341.70283307703295</v>
      </c>
      <c r="EO23" s="59">
        <f ca="1">AVERAGE(OFFSET($EN$3,0,0,'Données projet'!$E$15+1,1))-AVERAGE(OFFSET($H$3,0,0,'Données projet'!$E$15+1,1))</f>
        <v>449.09332781196957</v>
      </c>
      <c r="EP23" s="59">
        <f t="shared" si="46"/>
        <v>324.85904971519432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4.6333333333333337</v>
      </c>
      <c r="FE23" s="12">
        <f>IF('Données projet'!$A$218&gt;35,FE22+FD23-FM22,IF(A23&lt;'Données projet'!$A$218,$FB$205^A23,IF(A23='Données projet'!$A$218,'Données projet'!$B$218,FE22+FD23-FM22)))</f>
        <v>18.316192288311388</v>
      </c>
      <c r="FF23" s="17">
        <f>FE23*VLOOKUP('Données projet'!$B$16,Paramètres!$A$1:$I$89,3,0)*VLOOKUP('Données projet'!$B$16,Paramètres!$A$1:$I$89,5,0)</f>
        <v>18.572618980347748</v>
      </c>
      <c r="FG23" s="13">
        <f t="shared" si="47"/>
        <v>6.0915579421045374</v>
      </c>
      <c r="FH23" s="20">
        <f t="shared" si="22"/>
        <v>42.956774806604393</v>
      </c>
      <c r="FI23" s="59">
        <f t="shared" si="23"/>
        <v>324.06788591771556</v>
      </c>
      <c r="FJ23" s="59">
        <f ca="1">AVERAGE(OFFSET($FI$3,0,0,'Données projet'!$E$16+1,1))-AVERAGE(OFFSET($H$3,0,0,'Données projet'!$E$16+1,1))</f>
        <v>419.51168383014721</v>
      </c>
      <c r="FK23" s="59">
        <f t="shared" si="48"/>
        <v>213.44145308833384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80</v>
      </c>
      <c r="FX23" s="12">
        <f>VLOOKUP(A23,'Données projet'!$A$243:$I$263,9,0)</f>
        <v>11.6</v>
      </c>
      <c r="FY23" s="12">
        <f t="array" ref="FY23">INDEX(FX:FX,MIN(IF(ISNUMBER(FX23:FX219),ROW(FX23:FX219),"")))</f>
        <v>11.6</v>
      </c>
      <c r="FZ23" s="12">
        <f>IF('Données projet'!$A$244&gt;35,FZ22+FY23-GH22,IF(A23&lt;'Données projet'!$A$244,$FW$205^A23,IF(A23='Données projet'!$A$244,'Données projet'!$B$244,FZ22+FY23-GH22)))</f>
        <v>80</v>
      </c>
      <c r="GA23" s="17">
        <f>FZ23*VLOOKUP('Données projet'!$B$17,Paramètres!$A$1:$I$89,3,0)*VLOOKUP('Données projet'!$B$17,Paramètres!$A$1:$I$89,5,0)</f>
        <v>69.888000000000005</v>
      </c>
      <c r="GB23" s="13">
        <f t="shared" si="49"/>
        <v>19.645641432461961</v>
      </c>
      <c r="GC23" s="20">
        <f t="shared" si="25"/>
        <v>155.93775882820458</v>
      </c>
      <c r="GD23" s="59">
        <f t="shared" si="26"/>
        <v>437.04886993931575</v>
      </c>
      <c r="GE23" s="59">
        <f ca="1">AVERAGE(OFFSET($GD$3,0,0,'Données projet'!$E$17+1,1))-AVERAGE(OFFSET($H$3,0,0,'Données projet'!$E$17+1,1))</f>
        <v>324.86930206492627</v>
      </c>
      <c r="GF23" s="59">
        <f t="shared" si="50"/>
        <v>317.03005098025352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28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4.0628205128205126</v>
      </c>
      <c r="GU23" s="12">
        <f>IF('Données projet'!$A$270&gt;35,GU22+GT23-HC22,IF(A23&lt;'Données projet'!$A$270,$GR$205^A23,IF(A23='Données projet'!$A$270,'Données projet'!$B$270,GU22+GT23-HC22)))</f>
        <v>24.582870545650774</v>
      </c>
      <c r="GV23" s="17">
        <f>GU23*VLOOKUP('Données projet'!$B$18,Paramètres!$A$1:$I$89,3,0)*VLOOKUP('Données projet'!$B$18,Paramètres!$A$1:$I$89,5,0)</f>
        <v>23.393059611241277</v>
      </c>
      <c r="GW23" s="13">
        <f t="shared" si="51"/>
        <v>7.4692563052803118</v>
      </c>
      <c r="GX23" s="20">
        <f t="shared" si="28"/>
        <v>53.751866887941766</v>
      </c>
      <c r="GY23" s="59">
        <f t="shared" si="29"/>
        <v>334.86297799905293</v>
      </c>
      <c r="GZ23" s="59">
        <f ca="1">AVERAGE(OFFSET($GY$3,0,0,'Données projet'!$E$18+1,1))-AVERAGE(OFFSET($H$3,0,0,'Données projet'!$E$18+1,1))</f>
        <v>401.81944956556271</v>
      </c>
      <c r="HA23" s="59">
        <f t="shared" si="52"/>
        <v>292.20785523952651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342.13152361878485</v>
      </c>
      <c r="S24" s="59">
        <f ca="1">AVERAGE(OFFSET($R$3,0,0,'Données projet'!$E$9+1,1))-AVERAGE(OFFSET($H$3,0,0,'Données projet'!$E$9+1,1))</f>
        <v>384.05928630855732</v>
      </c>
      <c r="T24" s="59">
        <f t="shared" si="34"/>
        <v>279.93992813630513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20.658974358974358</v>
      </c>
      <c r="AI24" s="13">
        <f>IF('Données projet'!$A$62&gt;35,AI23+AH24-AQ23,IF(A24&lt;'Données projet'!$A$62,$AF$205^A24,IF(A24='Données projet'!$A$62,'Données projet'!$B$62,AI23+AH24-AQ23)))</f>
        <v>175.58461538461535</v>
      </c>
      <c r="AJ24" s="13">
        <f>AI24*VLOOKUP('Données projet'!$B$10,Paramètres!$A$1:$I$89,3,0)*VLOOKUP('Données projet'!$B$10,Paramètres!$A$1:$I$89,5,0)</f>
        <v>98.15179999999998</v>
      </c>
      <c r="AK24" s="13">
        <f t="shared" si="35"/>
        <v>26.52121247620833</v>
      </c>
      <c r="AL24" s="20">
        <f t="shared" si="4"/>
        <v>217.13883006272945</v>
      </c>
      <c r="AM24" s="59">
        <f t="shared" si="5"/>
        <v>499.4721633960628</v>
      </c>
      <c r="AN24" s="59">
        <f ca="1">AVERAGE(OFFSET($AM$3,0,0,'Données projet'!$E$10+1,1))-AVERAGE(OFFSET($H$3,0,0,'Données projet'!$E$10+1,1))</f>
        <v>335.04906256888819</v>
      </c>
      <c r="AO24" s="59">
        <f t="shared" si="36"/>
        <v>440.84111898279554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14.504098271788013</v>
      </c>
      <c r="AW24" s="21">
        <f>EXP(-LN(2)/2)*AW23+(1-EXP(-LN(2)/2))/(LN(2)/2)*AQ24*AT24*VLOOKUP('Données projet'!$B$10,Paramètres!$A$1:$I$89,3,0)*0.475*44/12</f>
        <v>6.8216878129962479</v>
      </c>
      <c r="AX24" s="21">
        <f t="shared" si="6"/>
        <v>21.325786084784262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12.908974358974362</v>
      </c>
      <c r="BD24" s="12">
        <f>IF('Données projet'!$A$88&gt;35,BD23+BC24-BL23,IF(A24&lt;'Données projet'!$A$88,$BA$205^A24,IF(A24='Données projet'!$A$88,'Données projet'!$B$88,BD23+BC24-BL23)))</f>
        <v>123.85</v>
      </c>
      <c r="BE24" s="13">
        <f>BD24*VLOOKUP('Données projet'!$B$11,Paramètres!$A$1:$I$89,3,0)*VLOOKUP('Données projet'!$B$11,Paramètres!$A$1:$I$89,5,0)</f>
        <v>70.842200000000005</v>
      </c>
      <c r="BF24" s="13">
        <f t="shared" si="37"/>
        <v>19.882459714316386</v>
      </c>
      <c r="BG24" s="20">
        <f t="shared" si="7"/>
        <v>158.01211566910104</v>
      </c>
      <c r="BH24" s="59">
        <f t="shared" si="8"/>
        <v>440.34544900243435</v>
      </c>
      <c r="BI24" s="59">
        <f ca="1">AVERAGE(OFFSET($BH$3,0,0,'Données projet'!$E$11+1,1))-AVERAGE(OFFSET($H$3,0,0,'Données projet'!$E$11+1,1))</f>
        <v>320.76883487964511</v>
      </c>
      <c r="BJ24" s="59">
        <f t="shared" si="38"/>
        <v>290.51177680335746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9.2444007802391823</v>
      </c>
      <c r="BR24" s="21">
        <f>EXP(-LN(2)/2)*BR23+(1-EXP(-LN(2)/2))/(LN(2)/2)*BL24*BO24*VLOOKUP('Données projet'!$B$11,Paramètres!$A$1:$I$89,3,0)*0.475*44/12</f>
        <v>5.3141039829059871</v>
      </c>
      <c r="BS24" s="22">
        <f t="shared" si="9"/>
        <v>14.558504763145169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10.6</v>
      </c>
      <c r="BY24" s="12">
        <f>IF('Données projet'!$A$114&gt;35,BY23+BX24-CG23,IF(A24&lt;'Données projet'!$A$114,$BV$205^A24,IF(A24='Données projet'!$A$114,'Données projet'!$B$114,BY23+BX24-CG23)))</f>
        <v>171.59999999999997</v>
      </c>
      <c r="BZ24" s="13">
        <f>BY24*VLOOKUP('Données projet'!$B$12,Paramètres!$A$1:$I$89,3,0)*VLOOKUP('Données projet'!$B$12,Paramètres!$A$1:$I$89,5,0)</f>
        <v>155.26367999999997</v>
      </c>
      <c r="CA24" s="13">
        <f t="shared" si="39"/>
        <v>39.77236412265178</v>
      </c>
      <c r="CB24" s="20">
        <f t="shared" si="10"/>
        <v>339.68777684695175</v>
      </c>
      <c r="CC24" s="59">
        <f t="shared" si="11"/>
        <v>622.02111018028506</v>
      </c>
      <c r="CD24" s="59">
        <f ca="1">AVERAGE(OFFSET($CC$3,0,0,'Données projet'!$E$12+1,1))-AVERAGE(OFFSET($H$3,0,0,'Données projet'!$E$12+1,1))</f>
        <v>366.69125512029831</v>
      </c>
      <c r="CE24" s="59">
        <f t="shared" si="40"/>
        <v>513.80016421153414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4.0628205128205126</v>
      </c>
      <c r="CT24" s="12">
        <f>IF('Données projet'!$A$140&gt;35,CT23+CS24-DB23,IF(A24&lt;'Données projet'!$A$140,$CQ$205^A24,IF(A24='Données projet'!$A$140,'Données projet'!$B$140,CT23+CS24-DB23)))</f>
        <v>28.851222752799568</v>
      </c>
      <c r="CU24" s="17">
        <f>CT24*VLOOKUP('Données projet'!$B$13,Paramètres!$A$1:$I$89,3,0)*VLOOKUP('Données projet'!$B$13,Paramètres!$A$1:$I$89,5,0)</f>
        <v>19.35340022257795</v>
      </c>
      <c r="CV24" s="13">
        <f t="shared" si="41"/>
        <v>6.3172897316595966</v>
      </c>
      <c r="CW24" s="20">
        <f t="shared" si="13"/>
        <v>44.70978500363038</v>
      </c>
      <c r="CX24" s="59">
        <f t="shared" si="14"/>
        <v>327.04311833696369</v>
      </c>
      <c r="CY24" s="59">
        <f ca="1">AVERAGE(OFFSET($CX$3,0,0,'Données projet'!$E$13+1,1))-AVERAGE(OFFSET($H$3,0,0,'Données projet'!$E$13+1,1))</f>
        <v>294.94331863127815</v>
      </c>
      <c r="CZ24" s="59">
        <f t="shared" si="42"/>
        <v>218.36990036643977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64.599999999999994</v>
      </c>
      <c r="DP24" s="17">
        <f>DO24*VLOOKUP('Données projet'!$B$14,Paramètres!$A$1:$I$89,3,0)*VLOOKUP('Données projet'!$B$14,Paramètres!$A$1:$I$89,5,0)</f>
        <v>47.364719999999991</v>
      </c>
      <c r="DQ24" s="13">
        <f t="shared" si="43"/>
        <v>13.931057351916726</v>
      </c>
      <c r="DR24" s="20">
        <f t="shared" si="16"/>
        <v>106.75681222125495</v>
      </c>
      <c r="DS24" s="59">
        <f t="shared" si="17"/>
        <v>389.09014555458828</v>
      </c>
      <c r="DT24" s="59">
        <f ca="1">AVERAGE(OFFSET($DS$3,0,0,'Données projet'!$E$14+1,1))-AVERAGE(OFFSET($H$3,0,0,'Données projet'!$E$14+1,1))</f>
        <v>278.45534008146865</v>
      </c>
      <c r="DU24" s="59">
        <f t="shared" si="44"/>
        <v>272.97841038165217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4.0628205128205126</v>
      </c>
      <c r="EJ24" s="12">
        <f>IF('Données projet'!$A$192&gt;35,EJ23+EI24-ER23,IF(A24&lt;'Données projet'!$A$192,$EG$205^A24,IF(A24='Données projet'!$A$192,'Données projet'!$B$192,EJ23+EI24-ER23)))</f>
        <v>28.851222752799568</v>
      </c>
      <c r="EK24" s="17">
        <f>EJ24*VLOOKUP('Données projet'!$B$15,Paramètres!$A$1:$I$89,3,0)*VLOOKUP('Données projet'!$B$15,Paramètres!$A$1:$I$89,5,0)</f>
        <v>31.055456171113452</v>
      </c>
      <c r="EL24" s="13">
        <f t="shared" si="45"/>
        <v>9.5941195267184156</v>
      </c>
      <c r="EM24" s="20">
        <f t="shared" si="19"/>
        <v>70.798011007057156</v>
      </c>
      <c r="EN24" s="59">
        <f t="shared" si="20"/>
        <v>353.13134434039046</v>
      </c>
      <c r="EO24" s="59">
        <f ca="1">AVERAGE(OFFSET($EN$3,0,0,'Données projet'!$E$15+1,1))-AVERAGE(OFFSET($H$3,0,0,'Données projet'!$E$15+1,1))</f>
        <v>449.09332781196957</v>
      </c>
      <c r="EP24" s="59">
        <f t="shared" si="46"/>
        <v>324.85904971519432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4.6333333333333337</v>
      </c>
      <c r="FE24" s="12">
        <f>IF('Données projet'!$A$218&gt;35,FE23+FD24-FM23,IF(A24&lt;'Données projet'!$A$218,$FB$205^A24,IF(A24='Données projet'!$A$218,'Données projet'!$B$218,FE23+FD24-FM23)))</f>
        <v>21.182487262633792</v>
      </c>
      <c r="FF24" s="17">
        <f>FE24*VLOOKUP('Données projet'!$B$16,Paramètres!$A$1:$I$89,3,0)*VLOOKUP('Données projet'!$B$16,Paramètres!$A$1:$I$89,5,0)</f>
        <v>21.479042084310667</v>
      </c>
      <c r="FG24" s="13">
        <f t="shared" si="47"/>
        <v>6.9266052607237425</v>
      </c>
      <c r="FH24" s="20">
        <f t="shared" si="22"/>
        <v>49.47316912593493</v>
      </c>
      <c r="FI24" s="59">
        <f t="shared" si="23"/>
        <v>331.80650245926824</v>
      </c>
      <c r="FJ24" s="59">
        <f ca="1">AVERAGE(OFFSET($FI$3,0,0,'Données projet'!$E$16+1,1))-AVERAGE(OFFSET($H$3,0,0,'Données projet'!$E$16+1,1))</f>
        <v>419.51168383014721</v>
      </c>
      <c r="FK24" s="59">
        <f t="shared" si="48"/>
        <v>213.44145308833384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12.6</v>
      </c>
      <c r="FZ24" s="12">
        <f>IF('Données projet'!$A$244&gt;35,FZ23+FY24-GH23,IF(A24&lt;'Données projet'!$A$244,$FW$205^A24,IF(A24='Données projet'!$A$244,'Données projet'!$B$244,FZ23+FY24-GH23)))</f>
        <v>64.599999999999994</v>
      </c>
      <c r="GA24" s="17">
        <f>FZ24*VLOOKUP('Données projet'!$B$17,Paramètres!$A$1:$I$89,3,0)*VLOOKUP('Données projet'!$B$17,Paramètres!$A$1:$I$89,5,0)</f>
        <v>56.434560000000005</v>
      </c>
      <c r="GB24" s="13">
        <f t="shared" si="49"/>
        <v>16.26362505907256</v>
      </c>
      <c r="GC24" s="20">
        <f t="shared" si="25"/>
        <v>126.61600564455136</v>
      </c>
      <c r="GD24" s="59">
        <f t="shared" si="26"/>
        <v>408.94933897788468</v>
      </c>
      <c r="GE24" s="59">
        <f ca="1">AVERAGE(OFFSET($GD$3,0,0,'Données projet'!$E$17+1,1))-AVERAGE(OFFSET($H$3,0,0,'Données projet'!$E$17+1,1))</f>
        <v>324.86930206492627</v>
      </c>
      <c r="GF24" s="59">
        <f t="shared" si="50"/>
        <v>317.03005098025352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4.0628205128205126</v>
      </c>
      <c r="GU24" s="12">
        <f>IF('Données projet'!$A$270&gt;35,GU23+GT24-HC23,IF(A24&lt;'Données projet'!$A$270,$GR$205^A24,IF(A24='Données projet'!$A$270,'Données projet'!$B$270,GU23+GT24-HC23)))</f>
        <v>28.851222752799568</v>
      </c>
      <c r="GV24" s="17">
        <f>GU24*VLOOKUP('Données projet'!$B$18,Paramètres!$A$1:$I$89,3,0)*VLOOKUP('Données projet'!$B$18,Paramètres!$A$1:$I$89,5,0)</f>
        <v>27.45482357156407</v>
      </c>
      <c r="GW24" s="13">
        <f t="shared" si="51"/>
        <v>8.6042993298019912</v>
      </c>
      <c r="GX24" s="20">
        <f t="shared" si="28"/>
        <v>62.802972386545882</v>
      </c>
      <c r="GY24" s="59">
        <f t="shared" si="29"/>
        <v>345.1363057198792</v>
      </c>
      <c r="GZ24" s="59">
        <f ca="1">AVERAGE(OFFSET($GY$3,0,0,'Données projet'!$E$18+1,1))-AVERAGE(OFFSET($H$3,0,0,'Données projet'!$E$18+1,1))</f>
        <v>401.81944956556271</v>
      </c>
      <c r="HA24" s="59">
        <f t="shared" si="52"/>
        <v>292.20785523952651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353.42599694336508</v>
      </c>
      <c r="S25" s="59">
        <f ca="1">AVERAGE(OFFSET($R$3,0,0,'Données projet'!$E$9+1,1))-AVERAGE(OFFSET($H$3,0,0,'Données projet'!$E$9+1,1))</f>
        <v>384.05928630855732</v>
      </c>
      <c r="T25" s="59">
        <f t="shared" si="34"/>
        <v>279.93992813630513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20.658974358974358</v>
      </c>
      <c r="AI25" s="13">
        <f>IF('Données projet'!$A$62&gt;35,AI24+AH25-AQ24,IF(A25&lt;'Données projet'!$A$62,$AF$205^A25,IF(A25='Données projet'!$A$62,'Données projet'!$B$62,AI24+AH25-AQ24)))</f>
        <v>196.24358974358969</v>
      </c>
      <c r="AJ25" s="13">
        <f>AI25*VLOOKUP('Données projet'!$B$10,Paramètres!$A$1:$I$89,3,0)*VLOOKUP('Données projet'!$B$10,Paramètres!$A$1:$I$89,5,0)</f>
        <v>109.70016666666663</v>
      </c>
      <c r="AK25" s="13">
        <f t="shared" si="35"/>
        <v>29.260330282475415</v>
      </c>
      <c r="AL25" s="20">
        <f t="shared" si="4"/>
        <v>242.02286551975575</v>
      </c>
      <c r="AM25" s="59">
        <f t="shared" si="5"/>
        <v>525.57842107531133</v>
      </c>
      <c r="AN25" s="59">
        <f ca="1">AVERAGE(OFFSET($AM$3,0,0,'Données projet'!$E$10+1,1))-AVERAGE(OFFSET($H$3,0,0,'Données projet'!$E$10+1,1))</f>
        <v>335.04906256888819</v>
      </c>
      <c r="AO25" s="59">
        <f t="shared" si="36"/>
        <v>440.84111898279554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14.107482941808591</v>
      </c>
      <c r="AW25" s="21">
        <f>EXP(-LN(2)/2)*AW24+(1-EXP(-LN(2)/2))/(LN(2)/2)*AQ25*AT25*VLOOKUP('Données projet'!$B$10,Paramètres!$A$1:$I$89,3,0)*0.475*44/12</f>
        <v>4.8236617117072758</v>
      </c>
      <c r="AX25" s="21">
        <f t="shared" si="6"/>
        <v>18.931144653515865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12.908974358974362</v>
      </c>
      <c r="BD25" s="12">
        <f>IF('Données projet'!$A$88&gt;35,BD24+BC25-BL24,IF(A25&lt;'Données projet'!$A$88,$BA$205^A25,IF(A25='Données projet'!$A$88,'Données projet'!$B$88,BD24+BC25-BL24)))</f>
        <v>136.75897435897434</v>
      </c>
      <c r="BE25" s="13">
        <f>BD25*VLOOKUP('Données projet'!$B$11,Paramètres!$A$1:$I$89,3,0)*VLOOKUP('Données projet'!$B$11,Paramètres!$A$1:$I$89,5,0)</f>
        <v>78.226133333333323</v>
      </c>
      <c r="BF25" s="13">
        <f t="shared" si="37"/>
        <v>21.702900123537106</v>
      </c>
      <c r="BG25" s="20">
        <f t="shared" si="7"/>
        <v>174.04306660404936</v>
      </c>
      <c r="BH25" s="59">
        <f t="shared" si="8"/>
        <v>457.59862215960493</v>
      </c>
      <c r="BI25" s="59">
        <f ca="1">AVERAGE(OFFSET($BH$3,0,0,'Données projet'!$E$11+1,1))-AVERAGE(OFFSET($H$3,0,0,'Données projet'!$E$11+1,1))</f>
        <v>320.76883487964511</v>
      </c>
      <c r="BJ25" s="59">
        <f t="shared" si="38"/>
        <v>290.51177680335746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8.9916121547616328</v>
      </c>
      <c r="BR25" s="21">
        <f>EXP(-LN(2)/2)*BR24+(1-EXP(-LN(2)/2))/(LN(2)/2)*BL25*BO25*VLOOKUP('Données projet'!$B$11,Paramètres!$A$1:$I$89,3,0)*0.475*44/12</f>
        <v>3.7576389622432647</v>
      </c>
      <c r="BS25" s="22">
        <f t="shared" si="9"/>
        <v>12.749251117004897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10.6</v>
      </c>
      <c r="BY25" s="12">
        <f>IF('Données projet'!$A$114&gt;35,BY24+BX25-CG24,IF(A25&lt;'Données projet'!$A$114,$BV$205^A25,IF(A25='Données projet'!$A$114,'Données projet'!$B$114,BY24+BX25-CG24)))</f>
        <v>182.19999999999996</v>
      </c>
      <c r="BZ25" s="13">
        <f>BY25*VLOOKUP('Données projet'!$B$12,Paramètres!$A$1:$I$89,3,0)*VLOOKUP('Données projet'!$B$12,Paramètres!$A$1:$I$89,5,0)</f>
        <v>164.85455999999996</v>
      </c>
      <c r="CA25" s="13">
        <f t="shared" si="39"/>
        <v>41.935562922532498</v>
      </c>
      <c r="CB25" s="20">
        <f t="shared" si="10"/>
        <v>360.15946409007734</v>
      </c>
      <c r="CC25" s="59">
        <f t="shared" si="11"/>
        <v>643.71501964563288</v>
      </c>
      <c r="CD25" s="59">
        <f ca="1">AVERAGE(OFFSET($CC$3,0,0,'Données projet'!$E$12+1,1))-AVERAGE(OFFSET($H$3,0,0,'Données projet'!$E$12+1,1))</f>
        <v>366.69125512029831</v>
      </c>
      <c r="CE25" s="59">
        <f t="shared" si="40"/>
        <v>513.80016421153414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4.0628205128205126</v>
      </c>
      <c r="CT25" s="12">
        <f>IF('Données projet'!$A$140&gt;35,CT24+CS25-DB24,IF(A25&lt;'Données projet'!$A$140,$CQ$205^A25,IF(A25='Données projet'!$A$140,'Données projet'!$B$140,CT24+CS25-DB24)))</f>
        <v>33.860693883812012</v>
      </c>
      <c r="CU25" s="17">
        <f>CT25*VLOOKUP('Données projet'!$B$13,Paramètres!$A$1:$I$89,3,0)*VLOOKUP('Données projet'!$B$13,Paramètres!$A$1:$I$89,5,0)</f>
        <v>22.713753457261099</v>
      </c>
      <c r="CV25" s="13">
        <f t="shared" si="41"/>
        <v>7.277277627473751</v>
      </c>
      <c r="CW25" s="20">
        <f t="shared" si="13"/>
        <v>52.234379139246528</v>
      </c>
      <c r="CX25" s="59">
        <f t="shared" si="14"/>
        <v>335.78993469480207</v>
      </c>
      <c r="CY25" s="59">
        <f ca="1">AVERAGE(OFFSET($CX$3,0,0,'Données projet'!$E$13+1,1))-AVERAGE(OFFSET($H$3,0,0,'Données projet'!$E$13+1,1))</f>
        <v>294.94331863127815</v>
      </c>
      <c r="CZ25" s="59">
        <f t="shared" si="42"/>
        <v>218.36990036643977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77.199999999999989</v>
      </c>
      <c r="DP25" s="17">
        <f>DO25*VLOOKUP('Données projet'!$B$14,Paramètres!$A$1:$I$89,3,0)*VLOOKUP('Données projet'!$B$14,Paramètres!$A$1:$I$89,5,0)</f>
        <v>56.603039999999986</v>
      </c>
      <c r="DQ25" s="13">
        <f t="shared" si="43"/>
        <v>16.306519487923971</v>
      </c>
      <c r="DR25" s="20">
        <f t="shared" si="16"/>
        <v>126.98414944146755</v>
      </c>
      <c r="DS25" s="59">
        <f t="shared" si="17"/>
        <v>410.53970499702308</v>
      </c>
      <c r="DT25" s="59">
        <f ca="1">AVERAGE(OFFSET($DS$3,0,0,'Données projet'!$E$14+1,1))-AVERAGE(OFFSET($H$3,0,0,'Données projet'!$E$14+1,1))</f>
        <v>278.45534008146865</v>
      </c>
      <c r="DU25" s="59">
        <f t="shared" si="44"/>
        <v>272.97841038165217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4.0628205128205126</v>
      </c>
      <c r="EJ25" s="12">
        <f>IF('Données projet'!$A$192&gt;35,EJ24+EI25-ER24,IF(A25&lt;'Données projet'!$A$192,$EG$205^A25,IF(A25='Données projet'!$A$192,'Données projet'!$B$192,EJ24+EI25-ER24)))</f>
        <v>33.860693883812012</v>
      </c>
      <c r="EK25" s="17">
        <f>EJ25*VLOOKUP('Données projet'!$B$15,Paramètres!$A$1:$I$89,3,0)*VLOOKUP('Données projet'!$B$15,Paramètres!$A$1:$I$89,5,0)</f>
        <v>36.447650896535251</v>
      </c>
      <c r="EL25" s="13">
        <f t="shared" si="45"/>
        <v>11.052060987038981</v>
      </c>
      <c r="EM25" s="20">
        <f t="shared" si="19"/>
        <v>82.728664863891794</v>
      </c>
      <c r="EN25" s="59">
        <f t="shared" si="20"/>
        <v>366.28422041944737</v>
      </c>
      <c r="EO25" s="59">
        <f ca="1">AVERAGE(OFFSET($EN$3,0,0,'Données projet'!$E$15+1,1))-AVERAGE(OFFSET($H$3,0,0,'Données projet'!$E$15+1,1))</f>
        <v>449.09332781196957</v>
      </c>
      <c r="EP25" s="59">
        <f t="shared" si="46"/>
        <v>324.85904971519432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4.6333333333333337</v>
      </c>
      <c r="FE25" s="12">
        <f>IF('Données projet'!$A$218&gt;35,FE24+FD25-FM24,IF(A25&lt;'Données projet'!$A$218,$FB$205^A25,IF(A25='Données projet'!$A$218,'Données projet'!$B$218,FE24+FD25-FM24)))</f>
        <v>24.497327805298408</v>
      </c>
      <c r="FF25" s="17">
        <f>FE25*VLOOKUP('Données projet'!$B$16,Paramètres!$A$1:$I$89,3,0)*VLOOKUP('Données projet'!$B$16,Paramètres!$A$1:$I$89,5,0)</f>
        <v>24.840290394572587</v>
      </c>
      <c r="FG25" s="13">
        <f t="shared" si="47"/>
        <v>7.8761231353091583</v>
      </c>
      <c r="FH25" s="20">
        <f t="shared" si="22"/>
        <v>56.981086897877383</v>
      </c>
      <c r="FI25" s="59">
        <f t="shared" si="23"/>
        <v>340.53664245343293</v>
      </c>
      <c r="FJ25" s="59">
        <f ca="1">AVERAGE(OFFSET($FI$3,0,0,'Données projet'!$E$16+1,1))-AVERAGE(OFFSET($H$3,0,0,'Données projet'!$E$16+1,1))</f>
        <v>419.51168383014721</v>
      </c>
      <c r="FK25" s="59">
        <f t="shared" si="48"/>
        <v>213.44145308833384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12.6</v>
      </c>
      <c r="FZ25" s="12">
        <f>IF('Données projet'!$A$244&gt;35,FZ24+FY25-GH24,IF(A25&lt;'Données projet'!$A$244,$FW$205^A25,IF(A25='Données projet'!$A$244,'Données projet'!$B$244,FZ24+FY25-GH24)))</f>
        <v>77.199999999999989</v>
      </c>
      <c r="GA25" s="17">
        <f>FZ25*VLOOKUP('Données projet'!$B$17,Paramètres!$A$1:$I$89,3,0)*VLOOKUP('Données projet'!$B$17,Paramètres!$A$1:$I$89,5,0)</f>
        <v>67.441919999999996</v>
      </c>
      <c r="GB25" s="13">
        <f t="shared" si="49"/>
        <v>19.036826299015036</v>
      </c>
      <c r="GC25" s="20">
        <f t="shared" si="25"/>
        <v>150.61714980411784</v>
      </c>
      <c r="GD25" s="59">
        <f t="shared" si="26"/>
        <v>434.17270535967339</v>
      </c>
      <c r="GE25" s="59">
        <f ca="1">AVERAGE(OFFSET($GD$3,0,0,'Données projet'!$E$17+1,1))-AVERAGE(OFFSET($H$3,0,0,'Données projet'!$E$17+1,1))</f>
        <v>324.86930206492627</v>
      </c>
      <c r="GF25" s="59">
        <f t="shared" si="50"/>
        <v>317.03005098025352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4.0628205128205126</v>
      </c>
      <c r="GU25" s="12">
        <f>IF('Données projet'!$A$270&gt;35,GU24+GT25-HC24,IF(A25&lt;'Données projet'!$A$270,$GR$205^A25,IF(A25='Données projet'!$A$270,'Données projet'!$B$270,GU24+GT25-HC24)))</f>
        <v>33.860693883812012</v>
      </c>
      <c r="GV25" s="17">
        <f>GU25*VLOOKUP('Données projet'!$B$18,Paramètres!$A$1:$I$89,3,0)*VLOOKUP('Données projet'!$B$18,Paramètres!$A$1:$I$89,5,0)</f>
        <v>32.221836299835509</v>
      </c>
      <c r="GW25" s="13">
        <f t="shared" si="51"/>
        <v>9.9118257468944293</v>
      </c>
      <c r="GX25" s="20">
        <f t="shared" si="28"/>
        <v>73.382794731387975</v>
      </c>
      <c r="GY25" s="59">
        <f t="shared" si="29"/>
        <v>356.93835028694355</v>
      </c>
      <c r="GZ25" s="59">
        <f ca="1">AVERAGE(OFFSET($GY$3,0,0,'Données projet'!$E$18+1,1))-AVERAGE(OFFSET($H$3,0,0,'Données projet'!$E$18+1,1))</f>
        <v>401.81944956556271</v>
      </c>
      <c r="HA25" s="59">
        <f t="shared" si="52"/>
        <v>292.20785523952651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366.42213084948315</v>
      </c>
      <c r="S26" s="59">
        <f ca="1">AVERAGE(OFFSET($R$3,0,0,'Données projet'!$E$9+1,1))-AVERAGE(OFFSET($H$3,0,0,'Données projet'!$E$9+1,1))</f>
        <v>384.05928630855732</v>
      </c>
      <c r="T26" s="59">
        <f t="shared" si="34"/>
        <v>279.93992813630513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20.658974358974358</v>
      </c>
      <c r="AI26" s="13">
        <f>IF('Données projet'!$A$62&gt;35,AI25+AH26-AQ25,IF(A26&lt;'Données projet'!$A$62,$AF$205^A26,IF(A26='Données projet'!$A$62,'Données projet'!$B$62,AI25+AH26-AQ25)))</f>
        <v>216.90256410256404</v>
      </c>
      <c r="AJ26" s="13">
        <f>AI26*VLOOKUP('Données projet'!$B$10,Paramètres!$A$1:$I$89,3,0)*VLOOKUP('Données projet'!$B$10,Paramètres!$A$1:$I$89,5,0)</f>
        <v>121.2485333333333</v>
      </c>
      <c r="AK26" s="13">
        <f t="shared" si="35"/>
        <v>31.966023537079113</v>
      </c>
      <c r="AL26" s="20">
        <f t="shared" si="4"/>
        <v>266.84868654930165</v>
      </c>
      <c r="AM26" s="59">
        <f t="shared" si="5"/>
        <v>551.62646432707947</v>
      </c>
      <c r="AN26" s="59">
        <f ca="1">AVERAGE(OFFSET($AM$3,0,0,'Données projet'!$E$10+1,1))-AVERAGE(OFFSET($H$3,0,0,'Données projet'!$E$10+1,1))</f>
        <v>335.04906256888819</v>
      </c>
      <c r="AO26" s="59">
        <f t="shared" si="36"/>
        <v>440.84111898279554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13.72171307888455</v>
      </c>
      <c r="AW26" s="21">
        <f>EXP(-LN(2)/2)*AW25+(1-EXP(-LN(2)/2))/(LN(2)/2)*AQ26*AT26*VLOOKUP('Données projet'!$B$10,Paramètres!$A$1:$I$89,3,0)*0.475*44/12</f>
        <v>3.410843906498124</v>
      </c>
      <c r="AX26" s="21">
        <f t="shared" si="6"/>
        <v>17.132556985382674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12.908974358974362</v>
      </c>
      <c r="BD26" s="12">
        <f>IF('Données projet'!$A$88&gt;35,BD25+BC26-BL25,IF(A26&lt;'Données projet'!$A$88,$BA$205^A26,IF(A26='Données projet'!$A$88,'Données projet'!$B$88,BD25+BC26-BL25)))</f>
        <v>149.66794871794872</v>
      </c>
      <c r="BE26" s="13">
        <f>BD26*VLOOKUP('Données projet'!$B$11,Paramètres!$A$1:$I$89,3,0)*VLOOKUP('Données projet'!$B$11,Paramètres!$A$1:$I$89,5,0)</f>
        <v>85.610066666666668</v>
      </c>
      <c r="BF26" s="13">
        <f t="shared" si="37"/>
        <v>23.503417181104801</v>
      </c>
      <c r="BG26" s="20">
        <f t="shared" si="7"/>
        <v>190.03931770153531</v>
      </c>
      <c r="BH26" s="59">
        <f t="shared" si="8"/>
        <v>474.81709547931308</v>
      </c>
      <c r="BI26" s="59">
        <f ca="1">AVERAGE(OFFSET($BH$3,0,0,'Données projet'!$E$11+1,1))-AVERAGE(OFFSET($H$3,0,0,'Données projet'!$E$11+1,1))</f>
        <v>320.76883487964511</v>
      </c>
      <c r="BJ26" s="59">
        <f t="shared" si="38"/>
        <v>290.51177680335746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8.7457360475413441</v>
      </c>
      <c r="BR26" s="21">
        <f>EXP(-LN(2)/2)*BR25+(1-EXP(-LN(2)/2))/(LN(2)/2)*BL26*BO26*VLOOKUP('Données projet'!$B$11,Paramètres!$A$1:$I$89,3,0)*0.475*44/12</f>
        <v>2.657051991452994</v>
      </c>
      <c r="BS26" s="22">
        <f t="shared" si="9"/>
        <v>11.402788038994338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10.6</v>
      </c>
      <c r="BY26" s="12">
        <f>IF('Données projet'!$A$114&gt;35,BY25+BX26-CG25,IF(A26&lt;'Données projet'!$A$114,$BV$205^A26,IF(A26='Données projet'!$A$114,'Données projet'!$B$114,BY25+BX26-CG25)))</f>
        <v>192.79999999999995</v>
      </c>
      <c r="BZ26" s="13">
        <f>BY26*VLOOKUP('Données projet'!$B$12,Paramètres!$A$1:$I$89,3,0)*VLOOKUP('Données projet'!$B$12,Paramètres!$A$1:$I$89,5,0)</f>
        <v>174.44543999999996</v>
      </c>
      <c r="CA26" s="13">
        <f t="shared" si="39"/>
        <v>44.08415354960767</v>
      </c>
      <c r="CB26" s="20">
        <f t="shared" si="10"/>
        <v>380.60570876556659</v>
      </c>
      <c r="CC26" s="59">
        <f t="shared" si="11"/>
        <v>665.38348654334436</v>
      </c>
      <c r="CD26" s="59">
        <f ca="1">AVERAGE(OFFSET($CC$3,0,0,'Données projet'!$E$12+1,1))-AVERAGE(OFFSET($H$3,0,0,'Données projet'!$E$12+1,1))</f>
        <v>366.69125512029831</v>
      </c>
      <c r="CE26" s="59">
        <f t="shared" si="40"/>
        <v>513.80016421153414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4.0628205128205126</v>
      </c>
      <c r="CT26" s="12">
        <f>IF('Données projet'!$A$140&gt;35,CT25+CS26-DB25,IF(A26&lt;'Données projet'!$A$140,$CQ$205^A26,IF(A26='Données projet'!$A$140,'Données projet'!$B$140,CT25+CS26-DB25)))</f>
        <v>39.739965273463824</v>
      </c>
      <c r="CU26" s="17">
        <f>CT26*VLOOKUP('Données projet'!$B$13,Paramètres!$A$1:$I$89,3,0)*VLOOKUP('Données projet'!$B$13,Paramètres!$A$1:$I$89,5,0)</f>
        <v>26.65756870543953</v>
      </c>
      <c r="CV26" s="13">
        <f t="shared" si="41"/>
        <v>8.3831471907838733</v>
      </c>
      <c r="CW26" s="20">
        <f t="shared" si="13"/>
        <v>61.029246852589097</v>
      </c>
      <c r="CX26" s="59">
        <f t="shared" si="14"/>
        <v>345.80702463036687</v>
      </c>
      <c r="CY26" s="59">
        <f ca="1">AVERAGE(OFFSET($CX$3,0,0,'Données projet'!$E$13+1,1))-AVERAGE(OFFSET($H$3,0,0,'Données projet'!$E$13+1,1))</f>
        <v>294.94331863127815</v>
      </c>
      <c r="CZ26" s="59">
        <f t="shared" si="42"/>
        <v>218.36990036643977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89.799999999999983</v>
      </c>
      <c r="DP26" s="17">
        <f>DO26*VLOOKUP('Données projet'!$B$14,Paramètres!$A$1:$I$89,3,0)*VLOOKUP('Données projet'!$B$14,Paramètres!$A$1:$I$89,5,0)</f>
        <v>65.84135999999998</v>
      </c>
      <c r="DQ26" s="13">
        <f t="shared" si="43"/>
        <v>18.637068365902625</v>
      </c>
      <c r="DR26" s="20">
        <f t="shared" si="16"/>
        <v>147.13326273728035</v>
      </c>
      <c r="DS26" s="59">
        <f t="shared" si="17"/>
        <v>431.91104051505812</v>
      </c>
      <c r="DT26" s="59">
        <f ca="1">AVERAGE(OFFSET($DS$3,0,0,'Données projet'!$E$14+1,1))-AVERAGE(OFFSET($H$3,0,0,'Données projet'!$E$14+1,1))</f>
        <v>278.45534008146865</v>
      </c>
      <c r="DU26" s="59">
        <f t="shared" si="44"/>
        <v>272.97841038165217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4.0628205128205126</v>
      </c>
      <c r="EJ26" s="12">
        <f>IF('Données projet'!$A$192&gt;35,EJ25+EI26-ER25,IF(A26&lt;'Données projet'!$A$192,$EG$205^A26,IF(A26='Données projet'!$A$192,'Données projet'!$B$192,EJ25+EI26-ER25)))</f>
        <v>39.739965273463824</v>
      </c>
      <c r="EK26" s="17">
        <f>EJ26*VLOOKUP('Données projet'!$B$15,Paramètres!$A$1:$I$89,3,0)*VLOOKUP('Données projet'!$B$15,Paramètres!$A$1:$I$89,5,0)</f>
        <v>42.776098620356457</v>
      </c>
      <c r="EL26" s="13">
        <f t="shared" si="45"/>
        <v>12.731554127615578</v>
      </c>
      <c r="EM26" s="20">
        <f t="shared" si="19"/>
        <v>96.67582853605127</v>
      </c>
      <c r="EN26" s="59">
        <f t="shared" si="20"/>
        <v>381.45360631382903</v>
      </c>
      <c r="EO26" s="59">
        <f ca="1">AVERAGE(OFFSET($EN$3,0,0,'Données projet'!$E$15+1,1))-AVERAGE(OFFSET($H$3,0,0,'Données projet'!$E$15+1,1))</f>
        <v>449.09332781196957</v>
      </c>
      <c r="EP26" s="59">
        <f t="shared" si="46"/>
        <v>324.85904971519432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4.6333333333333337</v>
      </c>
      <c r="FE26" s="12">
        <f>IF('Données projet'!$A$218&gt;35,FE25+FD26-FM25,IF(A26&lt;'Données projet'!$A$218,$FB$205^A26,IF(A26='Données projet'!$A$218,'Données projet'!$B$218,FE25+FD26-FM25)))</f>
        <v>28.330906666417075</v>
      </c>
      <c r="FF26" s="17">
        <f>FE26*VLOOKUP('Données projet'!$B$16,Paramètres!$A$1:$I$89,3,0)*VLOOKUP('Données projet'!$B$16,Paramètres!$A$1:$I$89,5,0)</f>
        <v>28.727539359746917</v>
      </c>
      <c r="FG26" s="13">
        <f t="shared" si="47"/>
        <v>8.9558035007859651</v>
      </c>
      <c r="FH26" s="20">
        <f t="shared" si="22"/>
        <v>65.63182214876143</v>
      </c>
      <c r="FI26" s="59">
        <f t="shared" si="23"/>
        <v>350.40959992653922</v>
      </c>
      <c r="FJ26" s="59">
        <f ca="1">AVERAGE(OFFSET($FI$3,0,0,'Données projet'!$E$16+1,1))-AVERAGE(OFFSET($H$3,0,0,'Données projet'!$E$16+1,1))</f>
        <v>419.51168383014721</v>
      </c>
      <c r="FK26" s="59">
        <f t="shared" si="48"/>
        <v>213.44145308833384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12.6</v>
      </c>
      <c r="FZ26" s="12">
        <f>IF('Données projet'!$A$244&gt;35,FZ25+FY26-GH25,IF(A26&lt;'Données projet'!$A$244,$FW$205^A26,IF(A26='Données projet'!$A$244,'Données projet'!$B$244,FZ25+FY26-GH25)))</f>
        <v>89.799999999999983</v>
      </c>
      <c r="GA26" s="17">
        <f>FZ26*VLOOKUP('Données projet'!$B$17,Paramètres!$A$1:$I$89,3,0)*VLOOKUP('Données projet'!$B$17,Paramètres!$A$1:$I$89,5,0)</f>
        <v>78.449280000000002</v>
      </c>
      <c r="GB26" s="13">
        <f t="shared" si="49"/>
        <v>21.757594161482565</v>
      </c>
      <c r="GC26" s="20">
        <f t="shared" si="25"/>
        <v>174.52697249791549</v>
      </c>
      <c r="GD26" s="59">
        <f t="shared" si="26"/>
        <v>459.30475027569327</v>
      </c>
      <c r="GE26" s="59">
        <f ca="1">AVERAGE(OFFSET($GD$3,0,0,'Données projet'!$E$17+1,1))-AVERAGE(OFFSET($H$3,0,0,'Données projet'!$E$17+1,1))</f>
        <v>324.86930206492627</v>
      </c>
      <c r="GF26" s="59">
        <f t="shared" si="50"/>
        <v>317.03005098025352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4.0628205128205126</v>
      </c>
      <c r="GU26" s="12">
        <f>IF('Données projet'!$A$270&gt;35,GU25+GT26-HC25,IF(A26&lt;'Données projet'!$A$270,$GR$205^A26,IF(A26='Données projet'!$A$270,'Données projet'!$B$270,GU25+GT26-HC25)))</f>
        <v>39.739965273463824</v>
      </c>
      <c r="GV26" s="17">
        <f>GU26*VLOOKUP('Données projet'!$B$18,Paramètres!$A$1:$I$89,3,0)*VLOOKUP('Données projet'!$B$18,Paramètres!$A$1:$I$89,5,0)</f>
        <v>37.816550954228177</v>
      </c>
      <c r="GW26" s="13">
        <f t="shared" si="51"/>
        <v>11.418046475500782</v>
      </c>
      <c r="GX26" s="20">
        <f t="shared" si="28"/>
        <v>85.75025719011127</v>
      </c>
      <c r="GY26" s="59">
        <f t="shared" si="29"/>
        <v>370.52803496788903</v>
      </c>
      <c r="GZ26" s="59">
        <f ca="1">AVERAGE(OFFSET($GY$3,0,0,'Données projet'!$E$18+1,1))-AVERAGE(OFFSET($H$3,0,0,'Données projet'!$E$18+1,1))</f>
        <v>401.81944956556271</v>
      </c>
      <c r="HA26" s="59">
        <f t="shared" si="52"/>
        <v>292.20785523952651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381.40821462978687</v>
      </c>
      <c r="S27" s="59">
        <f ca="1">AVERAGE(OFFSET($R$3,0,0,'Données projet'!$E$9+1,1))-AVERAGE(OFFSET($H$3,0,0,'Données projet'!$E$9+1,1))</f>
        <v>384.05928630855732</v>
      </c>
      <c r="T27" s="59">
        <f t="shared" si="34"/>
        <v>279.93992813630513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237.56153846153845</v>
      </c>
      <c r="AG27" s="12">
        <f>VLOOKUP(A27,'Données projet'!$A$61:$I$81,9,0)</f>
        <v>20.658974358974358</v>
      </c>
      <c r="AH27" s="12">
        <f t="array" ref="AH27">INDEX(AG:AG,MIN(IF(ISNUMBER(AG27:AG223),ROW(AG27:AG223),"")))</f>
        <v>20.658974358974358</v>
      </c>
      <c r="AI27" s="13">
        <f>IF('Données projet'!$A$62&gt;35,AI26+AH27-AQ26,IF(A27&lt;'Données projet'!$A$62,$AF$205^A27,IF(A27='Données projet'!$A$62,'Données projet'!$B$62,AI26+AH27-AQ26)))</f>
        <v>237.56153846153839</v>
      </c>
      <c r="AJ27" s="13">
        <f>AI27*VLOOKUP('Données projet'!$B$10,Paramètres!$A$1:$I$89,3,0)*VLOOKUP('Données projet'!$B$10,Paramètres!$A$1:$I$89,5,0)</f>
        <v>132.79689999999997</v>
      </c>
      <c r="AK27" s="13">
        <f t="shared" si="35"/>
        <v>34.641837967861036</v>
      </c>
      <c r="AL27" s="20">
        <f t="shared" si="4"/>
        <v>291.62246862735793</v>
      </c>
      <c r="AM27" s="59">
        <f t="shared" si="5"/>
        <v>577.62246862735788</v>
      </c>
      <c r="AN27" s="59">
        <f ca="1">AVERAGE(OFFSET($AM$3,0,0,'Données projet'!$E$10+1,1))-AVERAGE(OFFSET($H$3,0,0,'Données projet'!$E$10+1,1))</f>
        <v>335.04906256888819</v>
      </c>
      <c r="AO27" s="59">
        <f t="shared" si="36"/>
        <v>440.84111898279554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42.661538461538463</v>
      </c>
      <c r="AR27" s="16">
        <f>IF(ISNA(VLOOKUP(A27,'Données projet'!$A$61:$I$81,5,0)),0%,VLOOKUP(A27,'Données projet'!$A$61:$I$81,5,0)*VLOOKUP('Données projet'!$B$10,Paramètres!$A$1:$I$89,7,0))</f>
        <v>0.38500000000000001</v>
      </c>
      <c r="AS27" s="16">
        <f>IF(ISNA(VLOOKUP(A27,'Données projet'!$A$61:$I$81,6,0)),0%,VLOOKUP(A27,'Données projet'!$A$61:$I$81,6,0)*VLOOKUP('Données projet'!$B$10,Paramètres!$A$1:$I$89,7,0))</f>
        <v>9.240000000000001E-2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12.179722870865961</v>
      </c>
      <c r="AV27" s="21">
        <f>EXP(-LN(2)/25)*AV26+(1-EXP(-LN(2)/25))/(LN(2)/25)*Calculateur!AQ27*Calculateur!AS27*VLOOKUP('Données projet'!$B$10,Paramètres!$A$1:$I$89,3,0)*0.475*44/12</f>
        <v>16.25811611180935</v>
      </c>
      <c r="AW27" s="21">
        <f>EXP(-LN(2)/2)*AW26+(1-EXP(-LN(2)/2))/(LN(2)/2)*AQ27*AT27*VLOOKUP('Données projet'!$B$10,Paramètres!$A$1:$I$89,3,0)*0.475*44/12</f>
        <v>5.9759957746672558</v>
      </c>
      <c r="AX27" s="21">
        <f t="shared" si="6"/>
        <v>34.413834757342563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162.57692307692309</v>
      </c>
      <c r="BB27" s="12">
        <f>VLOOKUP(A27,'Données projet'!$A$87:$I$107,9,0)</f>
        <v>12.908974358974362</v>
      </c>
      <c r="BC27" s="12">
        <f t="array" ref="BC27">INDEX(BB:BB,MIN(IF(ISNUMBER(BB27:BB223),ROW(BB27:BB223),"")))</f>
        <v>12.908974358974362</v>
      </c>
      <c r="BD27" s="12">
        <f>IF('Données projet'!$A$88&gt;35,BD26+BC27-BL26,IF(A27&lt;'Données projet'!$A$88,$BA$205^A27,IF(A27='Données projet'!$A$88,'Données projet'!$B$88,BD26+BC27-BL26)))</f>
        <v>162.57692307692309</v>
      </c>
      <c r="BE27" s="13">
        <f>BD27*VLOOKUP('Données projet'!$B$11,Paramètres!$A$1:$I$89,3,0)*VLOOKUP('Données projet'!$B$11,Paramètres!$A$1:$I$89,5,0)</f>
        <v>92.994</v>
      </c>
      <c r="BF27" s="13">
        <f t="shared" si="37"/>
        <v>25.285924672357144</v>
      </c>
      <c r="BG27" s="20">
        <f t="shared" si="7"/>
        <v>206.00420213768868</v>
      </c>
      <c r="BH27" s="59">
        <f t="shared" si="8"/>
        <v>492.00420213768871</v>
      </c>
      <c r="BI27" s="59">
        <f ca="1">AVERAGE(OFFSET($BH$3,0,0,'Données projet'!$E$11+1,1))-AVERAGE(OFFSET($H$3,0,0,'Données projet'!$E$11+1,1))</f>
        <v>320.76883487964511</v>
      </c>
      <c r="BJ27" s="59">
        <f t="shared" si="38"/>
        <v>290.51177680335746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36.723076923076924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0.25200000000000006</v>
      </c>
      <c r="BO27" s="16">
        <f>IF(ISNA(VLOOKUP(A27,'Données projet'!$A$87:$I$107,7,0)),0%,VLOOKUP(A27,'Données projet'!$A$87:$I$107,7,0))</f>
        <v>0.44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15.500986090375781</v>
      </c>
      <c r="BR27" s="21">
        <f>EXP(-LN(2)/2)*BR26+(1-EXP(-LN(2)/2))/(LN(2)/2)*BL27*BO27*VLOOKUP('Données projet'!$B$11,Paramètres!$A$1:$I$89,3,0)*0.475*44/12</f>
        <v>12.343435730647283</v>
      </c>
      <c r="BS27" s="22">
        <f t="shared" si="9"/>
        <v>27.844421821023062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10.6</v>
      </c>
      <c r="BY27" s="12">
        <f>IF('Données projet'!$A$114&gt;35,BY26+BX27-CG26,IF(A27&lt;'Données projet'!$A$114,$BV$205^A27,IF(A27='Données projet'!$A$114,'Données projet'!$B$114,BY26+BX27-CG26)))</f>
        <v>203.39999999999995</v>
      </c>
      <c r="BZ27" s="13">
        <f>BY27*VLOOKUP('Données projet'!$B$12,Paramètres!$A$1:$I$89,3,0)*VLOOKUP('Données projet'!$B$12,Paramètres!$A$1:$I$89,5,0)</f>
        <v>184.03631999999996</v>
      </c>
      <c r="CA27" s="13">
        <f t="shared" si="39"/>
        <v>46.219030699200047</v>
      </c>
      <c r="CB27" s="20">
        <f t="shared" si="10"/>
        <v>401.02806913443993</v>
      </c>
      <c r="CC27" s="59">
        <f t="shared" si="11"/>
        <v>687.02806913443987</v>
      </c>
      <c r="CD27" s="59">
        <f ca="1">AVERAGE(OFFSET($CC$3,0,0,'Données projet'!$E$12+1,1))-AVERAGE(OFFSET($H$3,0,0,'Données projet'!$E$12+1,1))</f>
        <v>366.69125512029831</v>
      </c>
      <c r="CE27" s="59">
        <f t="shared" si="40"/>
        <v>513.80016421153414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4.0628205128205126</v>
      </c>
      <c r="CT27" s="12">
        <f>IF('Données projet'!$A$140&gt;35,CT26+CS27-DB26,IF(A27&lt;'Données projet'!$A$140,$CQ$205^A27,IF(A27='Données projet'!$A$140,'Données projet'!$B$140,CT26+CS27-DB26)))</f>
        <v>46.640061345320483</v>
      </c>
      <c r="CU27" s="17">
        <f>CT27*VLOOKUP('Données projet'!$B$13,Paramètres!$A$1:$I$89,3,0)*VLOOKUP('Données projet'!$B$13,Paramètres!$A$1:$I$89,5,0)</f>
        <v>31.286153150440978</v>
      </c>
      <c r="CV27" s="13">
        <f t="shared" si="41"/>
        <v>9.6570668895510785</v>
      </c>
      <c r="CW27" s="20">
        <f t="shared" si="13"/>
        <v>71.309441569652833</v>
      </c>
      <c r="CX27" s="59">
        <f t="shared" si="14"/>
        <v>357.30944156965285</v>
      </c>
      <c r="CY27" s="59">
        <f ca="1">AVERAGE(OFFSET($CX$3,0,0,'Données projet'!$E$13+1,1))-AVERAGE(OFFSET($H$3,0,0,'Données projet'!$E$13+1,1))</f>
        <v>294.94331863127815</v>
      </c>
      <c r="CZ27" s="59">
        <f t="shared" si="42"/>
        <v>218.36990036643977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102.39999999999998</v>
      </c>
      <c r="DP27" s="17">
        <f>DO27*VLOOKUP('Données projet'!$B$14,Paramètres!$A$1:$I$89,3,0)*VLOOKUP('Données projet'!$B$14,Paramètres!$A$1:$I$89,5,0)</f>
        <v>75.079679999999982</v>
      </c>
      <c r="DQ27" s="13">
        <f t="shared" si="43"/>
        <v>20.929732076759169</v>
      </c>
      <c r="DR27" s="20">
        <f t="shared" si="16"/>
        <v>167.2163927003555</v>
      </c>
      <c r="DS27" s="59">
        <f t="shared" si="17"/>
        <v>453.21639270035553</v>
      </c>
      <c r="DT27" s="59">
        <f ca="1">AVERAGE(OFFSET($DS$3,0,0,'Données projet'!$E$14+1,1))-AVERAGE(OFFSET($H$3,0,0,'Données projet'!$E$14+1,1))</f>
        <v>278.45534008146865</v>
      </c>
      <c r="DU27" s="59">
        <f t="shared" si="44"/>
        <v>272.97841038165217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4.0628205128205126</v>
      </c>
      <c r="EJ27" s="12">
        <f>IF('Données projet'!$A$192&gt;35,EJ26+EI27-ER26,IF(A27&lt;'Données projet'!$A$192,$EG$205^A27,IF(A27='Données projet'!$A$192,'Données projet'!$B$192,EJ26+EI27-ER26)))</f>
        <v>46.640061345320483</v>
      </c>
      <c r="EK27" s="17">
        <f>EJ27*VLOOKUP('Données projet'!$B$15,Paramètres!$A$1:$I$89,3,0)*VLOOKUP('Données projet'!$B$15,Paramètres!$A$1:$I$89,5,0)</f>
        <v>50.203362032102966</v>
      </c>
      <c r="EL27" s="13">
        <f t="shared" si="45"/>
        <v>14.666266381853569</v>
      </c>
      <c r="EM27" s="20">
        <f t="shared" si="19"/>
        <v>112.98126948764094</v>
      </c>
      <c r="EN27" s="59">
        <f t="shared" si="20"/>
        <v>398.98126948764093</v>
      </c>
      <c r="EO27" s="59">
        <f ca="1">AVERAGE(OFFSET($EN$3,0,0,'Données projet'!$E$15+1,1))-AVERAGE(OFFSET($H$3,0,0,'Données projet'!$E$15+1,1))</f>
        <v>449.09332781196957</v>
      </c>
      <c r="EP27" s="59">
        <f t="shared" si="46"/>
        <v>324.85904971519432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4.6333333333333337</v>
      </c>
      <c r="FE27" s="12">
        <f>IF('Données projet'!$A$218&gt;35,FE26+FD27-FM26,IF(A27&lt;'Données projet'!$A$218,$FB$205^A27,IF(A27='Données projet'!$A$218,'Données projet'!$B$218,FE26+FD27-FM26)))</f>
        <v>32.764401036738235</v>
      </c>
      <c r="FF27" s="17">
        <f>FE27*VLOOKUP('Données projet'!$B$16,Paramètres!$A$1:$I$89,3,0)*VLOOKUP('Données projet'!$B$16,Paramètres!$A$1:$I$89,5,0)</f>
        <v>33.223102651252567</v>
      </c>
      <c r="FG27" s="13">
        <f t="shared" si="47"/>
        <v>10.183489385167142</v>
      </c>
      <c r="FH27" s="20">
        <f t="shared" si="22"/>
        <v>75.599814463430988</v>
      </c>
      <c r="FI27" s="59">
        <f t="shared" si="23"/>
        <v>361.59981446343102</v>
      </c>
      <c r="FJ27" s="59">
        <f ca="1">AVERAGE(OFFSET($FI$3,0,0,'Données projet'!$E$16+1,1))-AVERAGE(OFFSET($H$3,0,0,'Données projet'!$E$16+1,1))</f>
        <v>419.51168383014721</v>
      </c>
      <c r="FK27" s="59">
        <f t="shared" si="48"/>
        <v>213.44145308833384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12.6</v>
      </c>
      <c r="FZ27" s="12">
        <f>IF('Données projet'!$A$244&gt;35,FZ26+FY27-GH26,IF(A27&lt;'Données projet'!$A$244,$FW$205^A27,IF(A27='Données projet'!$A$244,'Données projet'!$B$244,FZ26+FY27-GH26)))</f>
        <v>102.39999999999998</v>
      </c>
      <c r="GA27" s="17">
        <f>FZ27*VLOOKUP('Données projet'!$B$17,Paramètres!$A$1:$I$89,3,0)*VLOOKUP('Données projet'!$B$17,Paramètres!$A$1:$I$89,5,0)</f>
        <v>89.456639999999993</v>
      </c>
      <c r="GB27" s="13">
        <f t="shared" si="49"/>
        <v>24.434133496437113</v>
      </c>
      <c r="GC27" s="20">
        <f t="shared" si="25"/>
        <v>198.35976383962796</v>
      </c>
      <c r="GD27" s="59">
        <f t="shared" si="26"/>
        <v>484.35976383962793</v>
      </c>
      <c r="GE27" s="59">
        <f ca="1">AVERAGE(OFFSET($GD$3,0,0,'Données projet'!$E$17+1,1))-AVERAGE(OFFSET($H$3,0,0,'Données projet'!$E$17+1,1))</f>
        <v>324.86930206492627</v>
      </c>
      <c r="GF27" s="59">
        <f t="shared" si="50"/>
        <v>317.03005098025352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4.0628205128205126</v>
      </c>
      <c r="GU27" s="12">
        <f>IF('Données projet'!$A$270&gt;35,GU26+GT27-HC26,IF(A27&lt;'Données projet'!$A$270,$GR$205^A27,IF(A27='Données projet'!$A$270,'Données projet'!$B$270,GU26+GT27-HC26)))</f>
        <v>46.640061345320483</v>
      </c>
      <c r="GV27" s="17">
        <f>GU27*VLOOKUP('Données projet'!$B$18,Paramètres!$A$1:$I$89,3,0)*VLOOKUP('Données projet'!$B$18,Paramètres!$A$1:$I$89,5,0)</f>
        <v>44.382682376206972</v>
      </c>
      <c r="GW27" s="13">
        <f t="shared" si="51"/>
        <v>13.153155497870197</v>
      </c>
      <c r="GX27" s="20">
        <f t="shared" si="28"/>
        <v>100.20825096401774</v>
      </c>
      <c r="GY27" s="59">
        <f t="shared" si="29"/>
        <v>386.20825096401774</v>
      </c>
      <c r="GZ27" s="59">
        <f ca="1">AVERAGE(OFFSET($GY$3,0,0,'Données projet'!$E$18+1,1))-AVERAGE(OFFSET($H$3,0,0,'Données projet'!$E$18+1,1))</f>
        <v>401.81944956556271</v>
      </c>
      <c r="HA27" s="59">
        <f t="shared" si="52"/>
        <v>292.20785523952651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398.72150370848578</v>
      </c>
      <c r="S28" s="59">
        <f ca="1">AVERAGE(OFFSET($R$3,0,0,'Données projet'!$E$9+1,1))-AVERAGE(OFFSET($H$3,0,0,'Données projet'!$E$9+1,1))</f>
        <v>384.05928630855732</v>
      </c>
      <c r="T28" s="59">
        <f t="shared" si="34"/>
        <v>279.93992813630513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22.828205128205127</v>
      </c>
      <c r="AI28" s="13">
        <f>IF('Données projet'!$A$62&gt;35,AI27+AH28-AQ27,IF(A28&lt;'Données projet'!$A$62,$AF$205^A28,IF(A28='Données projet'!$A$62,'Données projet'!$B$62,AI27+AH28-AQ27)))</f>
        <v>217.72820512820502</v>
      </c>
      <c r="AJ28" s="13">
        <f>AI28*VLOOKUP('Données projet'!$B$10,Paramètres!$A$1:$I$89,3,0)*VLOOKUP('Données projet'!$B$10,Paramètres!$A$1:$I$89,5,0)</f>
        <v>121.71006666666661</v>
      </c>
      <c r="AK28" s="13">
        <f t="shared" si="35"/>
        <v>32.073515207801002</v>
      </c>
      <c r="AL28" s="20">
        <f t="shared" si="4"/>
        <v>267.83973843136442</v>
      </c>
      <c r="AM28" s="59">
        <f t="shared" si="5"/>
        <v>555.06196065358665</v>
      </c>
      <c r="AN28" s="59">
        <f ca="1">AVERAGE(OFFSET($AM$3,0,0,'Données projet'!$E$10+1,1))-AVERAGE(OFFSET($H$3,0,0,'Données projet'!$E$10+1,1))</f>
        <v>335.04906256888819</v>
      </c>
      <c r="AO28" s="59">
        <f t="shared" si="36"/>
        <v>440.84111898279554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11.940885934265687</v>
      </c>
      <c r="AV28" s="21">
        <f>EXP(-LN(2)/25)*AV27+(1-EXP(-LN(2)/25))/(LN(2)/25)*Calculateur!AQ28*Calculateur!AS28*VLOOKUP('Données projet'!$B$10,Paramètres!$A$1:$I$89,3,0)*0.475*44/12</f>
        <v>15.813537071754755</v>
      </c>
      <c r="AW28" s="21">
        <f>EXP(-LN(2)/2)*AW27+(1-EXP(-LN(2)/2))/(LN(2)/2)*AQ28*AT28*VLOOKUP('Données projet'!$B$10,Paramètres!$A$1:$I$89,3,0)*0.475*44/12</f>
        <v>4.2256671366093723</v>
      </c>
      <c r="AX28" s="21">
        <f t="shared" si="6"/>
        <v>31.980090142629813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12.589743589743586</v>
      </c>
      <c r="BD28" s="12">
        <f>IF('Données projet'!$A$88&gt;35,BD27+BC28-BL27,IF(A28&lt;'Données projet'!$A$88,$BA$205^A28,IF(A28='Données projet'!$A$88,'Données projet'!$B$88,BD27+BC28-BL27)))</f>
        <v>138.44358974358977</v>
      </c>
      <c r="BE28" s="13">
        <f>BD28*VLOOKUP('Données projet'!$B$11,Paramètres!$A$1:$I$89,3,0)*VLOOKUP('Données projet'!$B$11,Paramètres!$A$1:$I$89,5,0)</f>
        <v>79.189733333333351</v>
      </c>
      <c r="BF28" s="13">
        <f t="shared" si="37"/>
        <v>21.938952491485786</v>
      </c>
      <c r="BG28" s="20">
        <f t="shared" si="7"/>
        <v>176.13246114489334</v>
      </c>
      <c r="BH28" s="59">
        <f t="shared" si="8"/>
        <v>463.35468336711557</v>
      </c>
      <c r="BI28" s="59">
        <f ca="1">AVERAGE(OFFSET($BH$3,0,0,'Données projet'!$E$11+1,1))-AVERAGE(OFFSET($H$3,0,0,'Données projet'!$E$11+1,1))</f>
        <v>320.76883487964511</v>
      </c>
      <c r="BJ28" s="59">
        <f t="shared" si="38"/>
        <v>290.51177680335746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15.077110810573025</v>
      </c>
      <c r="BR28" s="21">
        <f>EXP(-LN(2)/2)*BR27+(1-EXP(-LN(2)/2))/(LN(2)/2)*BL28*BO28*VLOOKUP('Données projet'!$B$11,Paramètres!$A$1:$I$89,3,0)*0.475*44/12</f>
        <v>8.7281271082810203</v>
      </c>
      <c r="BS28" s="22">
        <f t="shared" si="9"/>
        <v>23.805237918854047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214</v>
      </c>
      <c r="BW28" s="12">
        <f>VLOOKUP(A28,'Données projet'!$A$113:$I$133,9,0)</f>
        <v>10.6</v>
      </c>
      <c r="BX28" s="12">
        <f t="array" ref="BX28">INDEX(BW:BW,MIN(IF(ISNUMBER(BW28:BW224),ROW(BW28:BW224),"")))</f>
        <v>10.6</v>
      </c>
      <c r="BY28" s="12">
        <f>IF('Données projet'!$A$114&gt;35,BY27+BX28-CG27,IF(A28&lt;'Données projet'!$A$114,$BV$205^A28,IF(A28='Données projet'!$A$114,'Données projet'!$B$114,BY27+BX28-CG27)))</f>
        <v>213.99999999999994</v>
      </c>
      <c r="BZ28" s="13">
        <f>BY28*VLOOKUP('Données projet'!$B$12,Paramètres!$A$1:$I$89,3,0)*VLOOKUP('Données projet'!$B$12,Paramètres!$A$1:$I$89,5,0)</f>
        <v>193.62719999999996</v>
      </c>
      <c r="CA28" s="13">
        <f t="shared" si="39"/>
        <v>48.340990547231193</v>
      </c>
      <c r="CB28" s="20">
        <f t="shared" si="10"/>
        <v>421.42793186976087</v>
      </c>
      <c r="CC28" s="59">
        <f t="shared" si="11"/>
        <v>708.65015409198304</v>
      </c>
      <c r="CD28" s="59">
        <f ca="1">AVERAGE(OFFSET($CC$3,0,0,'Données projet'!$E$12+1,1))-AVERAGE(OFFSET($H$3,0,0,'Données projet'!$E$12+1,1))</f>
        <v>366.69125512029831</v>
      </c>
      <c r="CE28" s="59">
        <f t="shared" si="40"/>
        <v>513.80016421153414</v>
      </c>
      <c r="CF28" s="15">
        <f>IF(ISNA(VLOOKUP(A28,'Données projet'!$A$113:$I$133,3,0)),0,VLOOKUP(A28,'Données projet'!$A$113:$I$133,3,0))</f>
        <v>5</v>
      </c>
      <c r="CG28" s="15">
        <f>IF(ISNA(VLOOKUP(A28,'Données projet'!$A$113:$I$133,4,0)),0,VLOOKUP(A28,'Données projet'!$A$113:$I$133,4,0))</f>
        <v>14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0.15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2.0922117601375478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2.0922117601375478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4.0628205128205126</v>
      </c>
      <c r="CT28" s="12">
        <f>IF('Données projet'!$A$140&gt;35,CT27+CS28-DB27,IF(A28&lt;'Données projet'!$A$140,$CQ$205^A28,IF(A28='Données projet'!$A$140,'Données projet'!$B$140,CT27+CS28-DB27)))</f>
        <v>54.738229068051083</v>
      </c>
      <c r="CU28" s="17">
        <f>CT28*VLOOKUP('Données projet'!$B$13,Paramètres!$A$1:$I$89,3,0)*VLOOKUP('Données projet'!$B$13,Paramètres!$A$1:$I$89,5,0)</f>
        <v>36.71840405884867</v>
      </c>
      <c r="CV28" s="13">
        <f t="shared" si="41"/>
        <v>11.124573956161623</v>
      </c>
      <c r="CW28" s="20">
        <f t="shared" si="13"/>
        <v>83.326520042809591</v>
      </c>
      <c r="CX28" s="59">
        <f t="shared" si="14"/>
        <v>370.54874226503182</v>
      </c>
      <c r="CY28" s="59">
        <f ca="1">AVERAGE(OFFSET($CX$3,0,0,'Données projet'!$E$13+1,1))-AVERAGE(OFFSET($H$3,0,0,'Données projet'!$E$13+1,1))</f>
        <v>294.94331863127815</v>
      </c>
      <c r="CZ28" s="59">
        <f t="shared" si="42"/>
        <v>218.36990036643977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115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114.99999999999997</v>
      </c>
      <c r="DP28" s="17">
        <f>DO28*VLOOKUP('Données projet'!$B$14,Paramètres!$A$1:$I$89,3,0)*VLOOKUP('Données projet'!$B$14,Paramètres!$A$1:$I$89,5,0)</f>
        <v>84.317999999999969</v>
      </c>
      <c r="DQ28" s="13">
        <f t="shared" si="43"/>
        <v>23.189705803157239</v>
      </c>
      <c r="DR28" s="20">
        <f t="shared" si="16"/>
        <v>187.24258760716546</v>
      </c>
      <c r="DS28" s="59">
        <f t="shared" si="17"/>
        <v>474.46480982938772</v>
      </c>
      <c r="DT28" s="59">
        <f ca="1">AVERAGE(OFFSET($DS$3,0,0,'Données projet'!$E$14+1,1))-AVERAGE(OFFSET($H$3,0,0,'Données projet'!$E$14+1,1))</f>
        <v>278.45534008146865</v>
      </c>
      <c r="DU28" s="59">
        <f t="shared" si="44"/>
        <v>272.97841038165217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3.0100000000000002E-2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0.68042574185438831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0.68042574185438831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4.0628205128205126</v>
      </c>
      <c r="EJ28" s="12">
        <f>IF('Données projet'!$A$192&gt;35,EJ27+EI28-ER27,IF(A28&lt;'Données projet'!$A$192,$EG$205^A28,IF(A28='Données projet'!$A$192,'Données projet'!$B$192,EJ27+EI28-ER27)))</f>
        <v>54.738229068051083</v>
      </c>
      <c r="EK28" s="17">
        <f>EJ28*VLOOKUP('Données projet'!$B$15,Paramètres!$A$1:$I$89,3,0)*VLOOKUP('Données projet'!$B$15,Paramètres!$A$1:$I$89,5,0)</f>
        <v>58.920229768850184</v>
      </c>
      <c r="EL28" s="13">
        <f t="shared" si="45"/>
        <v>16.894981353213087</v>
      </c>
      <c r="EM28" s="20">
        <f t="shared" si="19"/>
        <v>132.04482603759354</v>
      </c>
      <c r="EN28" s="59">
        <f t="shared" si="20"/>
        <v>419.26704825981574</v>
      </c>
      <c r="EO28" s="59">
        <f ca="1">AVERAGE(OFFSET($EN$3,0,0,'Données projet'!$E$15+1,1))-AVERAGE(OFFSET($H$3,0,0,'Données projet'!$E$15+1,1))</f>
        <v>449.09332781196957</v>
      </c>
      <c r="EP28" s="59">
        <f t="shared" si="46"/>
        <v>324.85904971519432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4.6333333333333337</v>
      </c>
      <c r="FE28" s="12">
        <f>IF('Données projet'!$A$218&gt;35,FE27+FD28-FM27,IF(A28&lt;'Données projet'!$A$218,$FB$205^A28,IF(A28='Données projet'!$A$218,'Données projet'!$B$218,FE27+FD28-FM27)))</f>
        <v>37.891691499189726</v>
      </c>
      <c r="FF28" s="17">
        <f>FE28*VLOOKUP('Données projet'!$B$16,Paramètres!$A$1:$I$89,3,0)*VLOOKUP('Données projet'!$B$16,Paramètres!$A$1:$I$89,5,0)</f>
        <v>38.422175180178385</v>
      </c>
      <c r="FG28" s="13">
        <f t="shared" si="47"/>
        <v>11.579469787240283</v>
      </c>
      <c r="FH28" s="20">
        <f t="shared" si="22"/>
        <v>87.086198318254176</v>
      </c>
      <c r="FI28" s="59">
        <f t="shared" si="23"/>
        <v>374.30842054047639</v>
      </c>
      <c r="FJ28" s="59">
        <f ca="1">AVERAGE(OFFSET($FI$3,0,0,'Données projet'!$E$16+1,1))-AVERAGE(OFFSET($H$3,0,0,'Données projet'!$E$16+1,1))</f>
        <v>419.51168383014721</v>
      </c>
      <c r="FK28" s="59">
        <f t="shared" si="48"/>
        <v>213.44145308833384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115</v>
      </c>
      <c r="FX28" s="12">
        <f>VLOOKUP(A28,'Données projet'!$A$243:$I$263,9,0)</f>
        <v>12.6</v>
      </c>
      <c r="FY28" s="12">
        <f t="array" ref="FY28">INDEX(FX:FX,MIN(IF(ISNUMBER(FX28:FX224),ROW(FX28:FX224),"")))</f>
        <v>12.6</v>
      </c>
      <c r="FZ28" s="12">
        <f>IF('Données projet'!$A$244&gt;35,FZ27+FY28-GH27,IF(A28&lt;'Données projet'!$A$244,$FW$205^A28,IF(A28='Données projet'!$A$244,'Données projet'!$B$244,FZ27+FY28-GH27)))</f>
        <v>114.99999999999997</v>
      </c>
      <c r="GA28" s="17">
        <f>FZ28*VLOOKUP('Données projet'!$B$17,Paramètres!$A$1:$I$89,3,0)*VLOOKUP('Données projet'!$B$17,Paramètres!$A$1:$I$89,5,0)</f>
        <v>100.46399999999998</v>
      </c>
      <c r="GB28" s="13">
        <f t="shared" si="49"/>
        <v>27.072509349827456</v>
      </c>
      <c r="GC28" s="20">
        <f t="shared" si="25"/>
        <v>222.12608711761615</v>
      </c>
      <c r="GD28" s="59">
        <f t="shared" si="26"/>
        <v>509.34830933983835</v>
      </c>
      <c r="GE28" s="59">
        <f ca="1">AVERAGE(OFFSET($GD$3,0,0,'Données projet'!$E$17+1,1))-AVERAGE(OFFSET($H$3,0,0,'Données projet'!$E$17+1,1))</f>
        <v>324.86930206492627</v>
      </c>
      <c r="GF28" s="59">
        <f t="shared" si="50"/>
        <v>317.03005098025352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28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3.7100000000000008E-2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0.99925957537052224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0.99925957537052224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4.0628205128205126</v>
      </c>
      <c r="GU28" s="12">
        <f>IF('Données projet'!$A$270&gt;35,GU27+GT28-HC27,IF(A28&lt;'Données projet'!$A$270,$GR$205^A28,IF(A28='Données projet'!$A$270,'Données projet'!$B$270,GU27+GT28-HC27)))</f>
        <v>54.738229068051083</v>
      </c>
      <c r="GV28" s="17">
        <f>GU28*VLOOKUP('Données projet'!$B$18,Paramètres!$A$1:$I$89,3,0)*VLOOKUP('Données projet'!$B$18,Paramètres!$A$1:$I$89,5,0)</f>
        <v>52.088898781157418</v>
      </c>
      <c r="GW28" s="13">
        <f t="shared" si="51"/>
        <v>15.151935133769465</v>
      </c>
      <c r="GX28" s="20">
        <f t="shared" si="28"/>
        <v>117.11111906849764</v>
      </c>
      <c r="GY28" s="59">
        <f t="shared" si="29"/>
        <v>404.33334129071989</v>
      </c>
      <c r="GZ28" s="59">
        <f ca="1">AVERAGE(OFFSET($GY$3,0,0,'Données projet'!$E$18+1,1))-AVERAGE(OFFSET($H$3,0,0,'Données projet'!$E$18+1,1))</f>
        <v>401.81944956556271</v>
      </c>
      <c r="HA28" s="59">
        <f t="shared" si="52"/>
        <v>292.20785523952651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418.75655606832322</v>
      </c>
      <c r="S29" s="59">
        <f ca="1">AVERAGE(OFFSET($R$3,0,0,'Données projet'!$E$9+1,1))-AVERAGE(OFFSET($H$3,0,0,'Données projet'!$E$9+1,1))</f>
        <v>384.05928630855732</v>
      </c>
      <c r="T29" s="59">
        <f t="shared" si="34"/>
        <v>279.93992813630513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22.828205128205127</v>
      </c>
      <c r="AI29" s="13">
        <f>IF('Données projet'!$A$62&gt;35,AI28+AH29-AQ28,IF(A29&lt;'Données projet'!$A$62,$AF$205^A29,IF(A29='Données projet'!$A$62,'Données projet'!$B$62,AI28+AH29-AQ28)))</f>
        <v>240.55641025641015</v>
      </c>
      <c r="AJ29" s="13">
        <f>AI29*VLOOKUP('Données projet'!$B$10,Paramètres!$A$1:$I$89,3,0)*VLOOKUP('Données projet'!$B$10,Paramètres!$A$1:$I$89,5,0)</f>
        <v>134.47103333333328</v>
      </c>
      <c r="AK29" s="13">
        <f t="shared" si="35"/>
        <v>35.027441907439481</v>
      </c>
      <c r="AL29" s="20">
        <f t="shared" si="4"/>
        <v>295.20984437767919</v>
      </c>
      <c r="AM29" s="59">
        <f t="shared" si="5"/>
        <v>583.65428882212359</v>
      </c>
      <c r="AN29" s="59">
        <f ca="1">AVERAGE(OFFSET($AM$3,0,0,'Données projet'!$E$10+1,1))-AVERAGE(OFFSET($H$3,0,0,'Données projet'!$E$10+1,1))</f>
        <v>335.04906256888819</v>
      </c>
      <c r="AO29" s="59">
        <f t="shared" si="36"/>
        <v>440.84111898279554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11.706732444315998</v>
      </c>
      <c r="AV29" s="21">
        <f>EXP(-LN(2)/25)*AV28+(1-EXP(-LN(2)/25))/(LN(2)/25)*Calculateur!AQ29*Calculateur!AS29*VLOOKUP('Données projet'!$B$10,Paramètres!$A$1:$I$89,3,0)*0.475*44/12</f>
        <v>15.38111506892985</v>
      </c>
      <c r="AW29" s="21">
        <f>EXP(-LN(2)/2)*AW28+(1-EXP(-LN(2)/2))/(LN(2)/2)*AQ29*AT29*VLOOKUP('Données projet'!$B$10,Paramètres!$A$1:$I$89,3,0)*0.475*44/12</f>
        <v>2.9879978873336284</v>
      </c>
      <c r="AX29" s="21">
        <f t="shared" si="6"/>
        <v>30.075845400579475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12.589743589743586</v>
      </c>
      <c r="BD29" s="12">
        <f>IF('Données projet'!$A$88&gt;35,BD28+BC29-BL28,IF(A29&lt;'Données projet'!$A$88,$BA$205^A29,IF(A29='Données projet'!$A$88,'Données projet'!$B$88,BD28+BC29-BL28)))</f>
        <v>151.03333333333336</v>
      </c>
      <c r="BE29" s="13">
        <f>BD29*VLOOKUP('Données projet'!$B$11,Paramètres!$A$1:$I$89,3,0)*VLOOKUP('Données projet'!$B$11,Paramètres!$A$1:$I$89,5,0)</f>
        <v>86.391066666666688</v>
      </c>
      <c r="BF29" s="13">
        <f t="shared" si="37"/>
        <v>23.692774914760051</v>
      </c>
      <c r="BG29" s="20">
        <f t="shared" si="7"/>
        <v>191.72935742098488</v>
      </c>
      <c r="BH29" s="59">
        <f t="shared" si="8"/>
        <v>480.17380186542937</v>
      </c>
      <c r="BI29" s="59">
        <f ca="1">AVERAGE(OFFSET($BH$3,0,0,'Données projet'!$E$11+1,1))-AVERAGE(OFFSET($H$3,0,0,'Données projet'!$E$11+1,1))</f>
        <v>320.76883487964511</v>
      </c>
      <c r="BJ29" s="59">
        <f t="shared" si="38"/>
        <v>290.51177680335746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14.664826422587108</v>
      </c>
      <c r="BR29" s="21">
        <f>EXP(-LN(2)/2)*BR28+(1-EXP(-LN(2)/2))/(LN(2)/2)*BL29*BO29*VLOOKUP('Données projet'!$B$11,Paramètres!$A$1:$I$89,3,0)*0.475*44/12</f>
        <v>6.1717178653236413</v>
      </c>
      <c r="BS29" s="22">
        <f t="shared" si="9"/>
        <v>20.836544287910748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8.6</v>
      </c>
      <c r="BY29" s="12">
        <f>IF('Données projet'!$A$114&gt;35,BY28+BX29-CG28,IF(A29&lt;'Données projet'!$A$114,$BV$205^A29,IF(A29='Données projet'!$A$114,'Données projet'!$B$114,BY28+BX29-CG28)))</f>
        <v>208.59999999999994</v>
      </c>
      <c r="BZ29" s="13">
        <f>BY29*VLOOKUP('Données projet'!$B$12,Paramètres!$A$1:$I$89,3,0)*VLOOKUP('Données projet'!$B$12,Paramètres!$A$1:$I$89,5,0)</f>
        <v>188.74127999999993</v>
      </c>
      <c r="CA29" s="13">
        <f t="shared" si="39"/>
        <v>47.261560168122358</v>
      </c>
      <c r="CB29" s="20">
        <f t="shared" si="10"/>
        <v>411.03827995947967</v>
      </c>
      <c r="CC29" s="59">
        <f t="shared" si="11"/>
        <v>699.48272440392407</v>
      </c>
      <c r="CD29" s="59">
        <f ca="1">AVERAGE(OFFSET($CC$3,0,0,'Données projet'!$E$12+1,1))-AVERAGE(OFFSET($H$3,0,0,'Données projet'!$E$12+1,1))</f>
        <v>366.69125512029831</v>
      </c>
      <c r="CE29" s="59">
        <f t="shared" si="40"/>
        <v>513.80016421153414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2.035000119531952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2.035000119531952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4.0628205128205126</v>
      </c>
      <c r="CT29" s="12">
        <f>IF('Données projet'!$A$140&gt;35,CT28+CS29-DB28,IF(A29&lt;'Données projet'!$A$140,$CQ$205^A29,IF(A29='Données projet'!$A$140,'Données projet'!$B$140,CT28+CS29-DB28)))</f>
        <v>64.242491006222849</v>
      </c>
      <c r="CU29" s="17">
        <f>CT29*VLOOKUP('Données projet'!$B$13,Paramètres!$A$1:$I$89,3,0)*VLOOKUP('Données projet'!$B$13,Paramètres!$A$1:$I$89,5,0)</f>
        <v>43.093862966974292</v>
      </c>
      <c r="CV29" s="13">
        <f t="shared" si="41"/>
        <v>12.815086311560426</v>
      </c>
      <c r="CW29" s="20">
        <f t="shared" si="13"/>
        <v>97.374753326781288</v>
      </c>
      <c r="CX29" s="59">
        <f t="shared" si="14"/>
        <v>385.81919777122573</v>
      </c>
      <c r="CY29" s="59">
        <f ca="1">AVERAGE(OFFSET($CX$3,0,0,'Données projet'!$E$13+1,1))-AVERAGE(OFFSET($H$3,0,0,'Données projet'!$E$13+1,1))</f>
        <v>294.94331863127815</v>
      </c>
      <c r="CZ29" s="59">
        <f t="shared" si="42"/>
        <v>218.36990036643977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11.8</v>
      </c>
      <c r="DO29" s="12">
        <f>IF('Données projet'!$A$166&gt;35,DO28+DN29-DW28,IF(A29&lt;'Données projet'!$A$166,$DL$205^A29,IF(A29='Données projet'!$A$166,'Données projet'!$B$166,DO28+DN29-DW28)))</f>
        <v>98.799999999999969</v>
      </c>
      <c r="DP29" s="17">
        <f>DO29*VLOOKUP('Données projet'!$B$14,Paramètres!$A$1:$I$89,3,0)*VLOOKUP('Données projet'!$B$14,Paramètres!$A$1:$I$89,5,0)</f>
        <v>72.440159999999977</v>
      </c>
      <c r="DQ29" s="13">
        <f t="shared" si="43"/>
        <v>20.27822154299642</v>
      </c>
      <c r="DR29" s="20">
        <f t="shared" si="16"/>
        <v>161.4845145207187</v>
      </c>
      <c r="DS29" s="59">
        <f t="shared" si="17"/>
        <v>449.92895896516313</v>
      </c>
      <c r="DT29" s="59">
        <f ca="1">AVERAGE(OFFSET($DS$3,0,0,'Données projet'!$E$14+1,1))-AVERAGE(OFFSET($H$3,0,0,'Données projet'!$E$14+1,1))</f>
        <v>278.45534008146865</v>
      </c>
      <c r="DU29" s="59">
        <f t="shared" si="44"/>
        <v>272.97841038165217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0.66181946416134541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0.66181946416134541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4.0628205128205126</v>
      </c>
      <c r="EJ29" s="12">
        <f>IF('Données projet'!$A$192&gt;35,EJ28+EI29-ER28,IF(A29&lt;'Données projet'!$A$192,$EG$205^A29,IF(A29='Données projet'!$A$192,'Données projet'!$B$192,EJ28+EI29-ER28)))</f>
        <v>64.242491006222849</v>
      </c>
      <c r="EK29" s="17">
        <f>EJ29*VLOOKUP('Données projet'!$B$15,Paramètres!$A$1:$I$89,3,0)*VLOOKUP('Données projet'!$B$15,Paramètres!$A$1:$I$89,5,0)</f>
        <v>69.150617319098274</v>
      </c>
      <c r="EL29" s="13">
        <f t="shared" si="45"/>
        <v>19.462376278572883</v>
      </c>
      <c r="EM29" s="20">
        <f t="shared" si="19"/>
        <v>154.33429718261061</v>
      </c>
      <c r="EN29" s="59">
        <f t="shared" si="20"/>
        <v>442.77874162705507</v>
      </c>
      <c r="EO29" s="59">
        <f ca="1">AVERAGE(OFFSET($EN$3,0,0,'Données projet'!$E$15+1,1))-AVERAGE(OFFSET($H$3,0,0,'Données projet'!$E$15+1,1))</f>
        <v>449.09332781196957</v>
      </c>
      <c r="EP29" s="59">
        <f t="shared" si="46"/>
        <v>324.85904971519432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4.6333333333333337</v>
      </c>
      <c r="FE29" s="12">
        <f>IF('Données projet'!$A$218&gt;35,FE28+FD29-FM28,IF(A29&lt;'Données projet'!$A$218,$FB$205^A29,IF(A29='Données projet'!$A$218,'Données projet'!$B$218,FE28+FD29-FM28)))</f>
        <v>43.821349978589502</v>
      </c>
      <c r="FF29" s="17">
        <f>FE29*VLOOKUP('Données projet'!$B$16,Paramètres!$A$1:$I$89,3,0)*VLOOKUP('Données projet'!$B$16,Paramètres!$A$1:$I$89,5,0)</f>
        <v>44.434848878289756</v>
      </c>
      <c r="FG29" s="13">
        <f t="shared" si="47"/>
        <v>13.166814976889162</v>
      </c>
      <c r="FH29" s="20">
        <f t="shared" si="22"/>
        <v>100.32289788110329</v>
      </c>
      <c r="FI29" s="59">
        <f t="shared" si="23"/>
        <v>388.76734232554776</v>
      </c>
      <c r="FJ29" s="59">
        <f ca="1">AVERAGE(OFFSET($FI$3,0,0,'Données projet'!$E$16+1,1))-AVERAGE(OFFSET($H$3,0,0,'Données projet'!$E$16+1,1))</f>
        <v>419.51168383014721</v>
      </c>
      <c r="FK29" s="59">
        <f t="shared" si="48"/>
        <v>213.44145308833384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11.8</v>
      </c>
      <c r="FZ29" s="12">
        <f>IF('Données projet'!$A$244&gt;35,FZ28+FY29-GH28,IF(A29&lt;'Données projet'!$A$244,$FW$205^A29,IF(A29='Données projet'!$A$244,'Données projet'!$B$244,FZ28+FY29-GH28)))</f>
        <v>98.799999999999969</v>
      </c>
      <c r="GA29" s="17">
        <f>FZ29*VLOOKUP('Données projet'!$B$17,Paramètres!$A$1:$I$89,3,0)*VLOOKUP('Données projet'!$B$17,Paramètres!$A$1:$I$89,5,0)</f>
        <v>86.311679999999981</v>
      </c>
      <c r="GB29" s="13">
        <f t="shared" si="49"/>
        <v>23.673536308765939</v>
      </c>
      <c r="GC29" s="20">
        <f t="shared" si="25"/>
        <v>191.55758507110065</v>
      </c>
      <c r="GD29" s="59">
        <f t="shared" si="26"/>
        <v>480.00202951554513</v>
      </c>
      <c r="GE29" s="59">
        <f ca="1">AVERAGE(OFFSET($GD$3,0,0,'Données projet'!$E$17+1,1))-AVERAGE(OFFSET($H$3,0,0,'Données projet'!$E$17+1,1))</f>
        <v>324.86930206492627</v>
      </c>
      <c r="GF29" s="59">
        <f t="shared" si="50"/>
        <v>317.03005098025352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0.97193476973323811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0.97193476973323811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4.0628205128205126</v>
      </c>
      <c r="GU29" s="12">
        <f>IF('Données projet'!$A$270&gt;35,GU28+GT29-HC28,IF(A29&lt;'Données projet'!$A$270,$GR$205^A29,IF(A29='Données projet'!$A$270,'Données projet'!$B$270,GU28+GT29-HC28)))</f>
        <v>64.242491006222849</v>
      </c>
      <c r="GV29" s="17">
        <f>GU29*VLOOKUP('Données projet'!$B$18,Paramètres!$A$1:$I$89,3,0)*VLOOKUP('Données projet'!$B$18,Paramètres!$A$1:$I$89,5,0)</f>
        <v>61.133154441521668</v>
      </c>
      <c r="GW29" s="13">
        <f t="shared" si="51"/>
        <v>17.454453293366154</v>
      </c>
      <c r="GX29" s="20">
        <f t="shared" si="28"/>
        <v>136.87341680492963</v>
      </c>
      <c r="GY29" s="59">
        <f t="shared" si="29"/>
        <v>425.31786124937412</v>
      </c>
      <c r="GZ29" s="59">
        <f ca="1">AVERAGE(OFFSET($GY$3,0,0,'Données projet'!$E$18+1,1))-AVERAGE(OFFSET($H$3,0,0,'Données projet'!$E$18+1,1))</f>
        <v>401.81944956556271</v>
      </c>
      <c r="HA29" s="59">
        <f t="shared" si="52"/>
        <v>292.20785523952651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441.97499097319923</v>
      </c>
      <c r="S30" s="59">
        <f ca="1">AVERAGE(OFFSET($R$3,0,0,'Données projet'!$E$9+1,1))-AVERAGE(OFFSET($H$3,0,0,'Données projet'!$E$9+1,1))</f>
        <v>384.05928630855732</v>
      </c>
      <c r="T30" s="59">
        <f t="shared" si="34"/>
        <v>279.93992813630513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22.828205128205127</v>
      </c>
      <c r="AI30" s="13">
        <f>IF('Données projet'!$A$62&gt;35,AI29+AH30-AQ29,IF(A30&lt;'Données projet'!$A$62,$AF$205^A30,IF(A30='Données projet'!$A$62,'Données projet'!$B$62,AI29+AH30-AQ29)))</f>
        <v>263.38461538461524</v>
      </c>
      <c r="AJ30" s="13">
        <f>AI30*VLOOKUP('Données projet'!$B$10,Paramètres!$A$1:$I$89,3,0)*VLOOKUP('Données projet'!$B$10,Paramètres!$A$1:$I$89,5,0)</f>
        <v>147.23199999999994</v>
      </c>
      <c r="AK30" s="13">
        <f t="shared" si="35"/>
        <v>37.948867426510738</v>
      </c>
      <c r="AL30" s="20">
        <f t="shared" si="4"/>
        <v>322.52334410117277</v>
      </c>
      <c r="AM30" s="59">
        <f t="shared" si="5"/>
        <v>612.19001076783945</v>
      </c>
      <c r="AN30" s="59">
        <f ca="1">AVERAGE(OFFSET($AM$3,0,0,'Données projet'!$E$10+1,1))-AVERAGE(OFFSET($H$3,0,0,'Données projet'!$E$10+1,1))</f>
        <v>335.04906256888819</v>
      </c>
      <c r="AO30" s="59">
        <f t="shared" si="36"/>
        <v>440.84111898279554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11.477170561484696</v>
      </c>
      <c r="AV30" s="21">
        <f>EXP(-LN(2)/25)*AV29+(1-EXP(-LN(2)/25))/(LN(2)/25)*Calculateur!AQ30*Calculateur!AS30*VLOOKUP('Données projet'!$B$10,Paramètres!$A$1:$I$89,3,0)*0.475*44/12</f>
        <v>14.960517668512276</v>
      </c>
      <c r="AW30" s="21">
        <f>EXP(-LN(2)/2)*AW29+(1-EXP(-LN(2)/2))/(LN(2)/2)*AQ30*AT30*VLOOKUP('Données projet'!$B$10,Paramètres!$A$1:$I$89,3,0)*0.475*44/12</f>
        <v>2.1128335683046862</v>
      </c>
      <c r="AX30" s="21">
        <f t="shared" si="6"/>
        <v>28.550521798301659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12.589743589743586</v>
      </c>
      <c r="BD30" s="12">
        <f>IF('Données projet'!$A$88&gt;35,BD29+BC30-BL29,IF(A30&lt;'Données projet'!$A$88,$BA$205^A30,IF(A30='Données projet'!$A$88,'Données projet'!$B$88,BD29+BC30-BL29)))</f>
        <v>163.62307692307695</v>
      </c>
      <c r="BE30" s="13">
        <f>BD30*VLOOKUP('Données projet'!$B$11,Paramètres!$A$1:$I$89,3,0)*VLOOKUP('Données projet'!$B$11,Paramètres!$A$1:$I$89,5,0)</f>
        <v>93.592400000000026</v>
      </c>
      <c r="BF30" s="13">
        <f t="shared" si="37"/>
        <v>25.429641927776828</v>
      </c>
      <c r="BG30" s="20">
        <f t="shared" si="7"/>
        <v>207.29672302421133</v>
      </c>
      <c r="BH30" s="59">
        <f t="shared" si="8"/>
        <v>496.96338969087799</v>
      </c>
      <c r="BI30" s="59">
        <f ca="1">AVERAGE(OFFSET($BH$3,0,0,'Données projet'!$E$11+1,1))-AVERAGE(OFFSET($H$3,0,0,'Données projet'!$E$11+1,1))</f>
        <v>320.76883487964511</v>
      </c>
      <c r="BJ30" s="59">
        <f t="shared" si="38"/>
        <v>290.51177680335746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14.263815972871759</v>
      </c>
      <c r="BR30" s="21">
        <f>EXP(-LN(2)/2)*BR29+(1-EXP(-LN(2)/2))/(LN(2)/2)*BL30*BO30*VLOOKUP('Données projet'!$B$11,Paramètres!$A$1:$I$89,3,0)*0.475*44/12</f>
        <v>4.3640635541405102</v>
      </c>
      <c r="BS30" s="22">
        <f t="shared" si="9"/>
        <v>18.627879527012269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8.6</v>
      </c>
      <c r="BY30" s="12">
        <f>IF('Données projet'!$A$114&gt;35,BY29+BX30-CG29,IF(A30&lt;'Données projet'!$A$114,$BV$205^A30,IF(A30='Données projet'!$A$114,'Données projet'!$B$114,BY29+BX30-CG29)))</f>
        <v>217.19999999999993</v>
      </c>
      <c r="BZ30" s="13">
        <f>BY30*VLOOKUP('Données projet'!$B$12,Paramètres!$A$1:$I$89,3,0)*VLOOKUP('Données projet'!$B$12,Paramètres!$A$1:$I$89,5,0)</f>
        <v>196.52255999999994</v>
      </c>
      <c r="CA30" s="13">
        <f t="shared" si="39"/>
        <v>48.979153257338155</v>
      </c>
      <c r="CB30" s="20">
        <f t="shared" si="10"/>
        <v>427.58215058986383</v>
      </c>
      <c r="CC30" s="59">
        <f t="shared" si="11"/>
        <v>717.24881725653051</v>
      </c>
      <c r="CD30" s="59">
        <f ca="1">AVERAGE(OFFSET($CC$3,0,0,'Données projet'!$E$12+1,1))-AVERAGE(OFFSET($H$3,0,0,'Données projet'!$E$12+1,1))</f>
        <v>366.69125512029831</v>
      </c>
      <c r="CE30" s="59">
        <f t="shared" si="40"/>
        <v>513.80016421153414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1.9793529342473455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1.9793529342473455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4.0628205128205126</v>
      </c>
      <c r="CT30" s="12">
        <f>IF('Données projet'!$A$140&gt;35,CT29+CS30-DB29,IF(A30&lt;'Données projet'!$A$140,$CQ$205^A30,IF(A30='Données projet'!$A$140,'Données projet'!$B$140,CT29+CS30-DB29)))</f>
        <v>75.396988922564091</v>
      </c>
      <c r="CU30" s="17">
        <f>CT30*VLOOKUP('Données projet'!$B$13,Paramètres!$A$1:$I$89,3,0)*VLOOKUP('Données projet'!$B$13,Paramètres!$A$1:$I$89,5,0)</f>
        <v>50.576300169255994</v>
      </c>
      <c r="CV30" s="13">
        <f t="shared" si="41"/>
        <v>14.762492282392751</v>
      </c>
      <c r="CW30" s="20">
        <f t="shared" si="13"/>
        <v>113.79839685328822</v>
      </c>
      <c r="CX30" s="59">
        <f t="shared" si="14"/>
        <v>403.46506351995492</v>
      </c>
      <c r="CY30" s="59">
        <f ca="1">AVERAGE(OFFSET($CX$3,0,0,'Données projet'!$E$13+1,1))-AVERAGE(OFFSET($H$3,0,0,'Données projet'!$E$13+1,1))</f>
        <v>294.94331863127815</v>
      </c>
      <c r="CZ30" s="59">
        <f t="shared" si="42"/>
        <v>218.36990036643977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11.8</v>
      </c>
      <c r="DO30" s="12">
        <f>IF('Données projet'!$A$166&gt;35,DO29+DN30-DW29,IF(A30&lt;'Données projet'!$A$166,$DL$205^A30,IF(A30='Données projet'!$A$166,'Données projet'!$B$166,DO29+DN30-DW29)))</f>
        <v>110.59999999999997</v>
      </c>
      <c r="DP30" s="17">
        <f>DO30*VLOOKUP('Données projet'!$B$14,Paramètres!$A$1:$I$89,3,0)*VLOOKUP('Données projet'!$B$14,Paramètres!$A$1:$I$89,5,0)</f>
        <v>81.091919999999973</v>
      </c>
      <c r="DQ30" s="13">
        <f t="shared" si="43"/>
        <v>22.40395323325189</v>
      </c>
      <c r="DR30" s="20">
        <f t="shared" si="16"/>
        <v>180.25531254791363</v>
      </c>
      <c r="DS30" s="59">
        <f t="shared" si="17"/>
        <v>469.92197921458035</v>
      </c>
      <c r="DT30" s="59">
        <f ca="1">AVERAGE(OFFSET($DS$3,0,0,'Données projet'!$E$14+1,1))-AVERAGE(OFFSET($H$3,0,0,'Données projet'!$E$14+1,1))</f>
        <v>278.45534008146865</v>
      </c>
      <c r="DU30" s="59">
        <f t="shared" si="44"/>
        <v>272.97841038165217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0.64372197611028037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0.64372197611028037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4.0628205128205126</v>
      </c>
      <c r="EJ30" s="12">
        <f>IF('Données projet'!$A$192&gt;35,EJ29+EI30-ER29,IF(A30&lt;'Données projet'!$A$192,$EG$205^A30,IF(A30='Données projet'!$A$192,'Données projet'!$B$192,EJ29+EI30-ER29)))</f>
        <v>75.396988922564091</v>
      </c>
      <c r="EK30" s="17">
        <f>EJ30*VLOOKUP('Données projet'!$B$15,Paramètres!$A$1:$I$89,3,0)*VLOOKUP('Données projet'!$B$15,Paramètres!$A$1:$I$89,5,0)</f>
        <v>81.157318876247984</v>
      </c>
      <c r="EL30" s="13">
        <f t="shared" si="45"/>
        <v>22.41991763647134</v>
      </c>
      <c r="EM30" s="20">
        <f t="shared" si="19"/>
        <v>180.39702025965281</v>
      </c>
      <c r="EN30" s="59">
        <f t="shared" si="20"/>
        <v>470.06368692631952</v>
      </c>
      <c r="EO30" s="59">
        <f ca="1">AVERAGE(OFFSET($EN$3,0,0,'Données projet'!$E$15+1,1))-AVERAGE(OFFSET($H$3,0,0,'Données projet'!$E$15+1,1))</f>
        <v>449.09332781196957</v>
      </c>
      <c r="EP30" s="59">
        <f t="shared" si="46"/>
        <v>324.85904971519432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4.6333333333333337</v>
      </c>
      <c r="FE30" s="12">
        <f>IF('Données projet'!$A$218&gt;35,FE29+FD30-FM29,IF(A30&lt;'Données projet'!$A$218,$FB$205^A30,IF(A30='Données projet'!$A$218,'Données projet'!$B$218,FE29+FD30-FM29)))</f>
        <v>50.678938784960032</v>
      </c>
      <c r="FF30" s="17">
        <f>FE30*VLOOKUP('Données projet'!$B$16,Paramètres!$A$1:$I$89,3,0)*VLOOKUP('Données projet'!$B$16,Paramètres!$A$1:$I$89,5,0)</f>
        <v>51.388443927949481</v>
      </c>
      <c r="FG30" s="13">
        <f t="shared" si="47"/>
        <v>14.971757759294663</v>
      </c>
      <c r="FH30" s="20">
        <f t="shared" si="22"/>
        <v>115.57735127195021</v>
      </c>
      <c r="FI30" s="59">
        <f t="shared" si="23"/>
        <v>405.24401793861688</v>
      </c>
      <c r="FJ30" s="59">
        <f ca="1">AVERAGE(OFFSET($FI$3,0,0,'Données projet'!$E$16+1,1))-AVERAGE(OFFSET($H$3,0,0,'Données projet'!$E$16+1,1))</f>
        <v>419.51168383014721</v>
      </c>
      <c r="FK30" s="59">
        <f t="shared" si="48"/>
        <v>213.44145308833384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11.8</v>
      </c>
      <c r="FZ30" s="12">
        <f>IF('Données projet'!$A$244&gt;35,FZ29+FY30-GH29,IF(A30&lt;'Données projet'!$A$244,$FW$205^A30,IF(A30='Données projet'!$A$244,'Données projet'!$B$244,FZ29+FY30-GH29)))</f>
        <v>110.59999999999997</v>
      </c>
      <c r="GA30" s="17">
        <f>FZ30*VLOOKUP('Données projet'!$B$17,Paramètres!$A$1:$I$89,3,0)*VLOOKUP('Données projet'!$B$17,Paramètres!$A$1:$I$89,5,0)</f>
        <v>96.620159999999984</v>
      </c>
      <c r="GB30" s="13">
        <f t="shared" si="49"/>
        <v>26.155193107181663</v>
      </c>
      <c r="GC30" s="20">
        <f t="shared" si="25"/>
        <v>213.83373999500802</v>
      </c>
      <c r="GD30" s="59">
        <f t="shared" si="26"/>
        <v>503.50040666167467</v>
      </c>
      <c r="GE30" s="59">
        <f ca="1">AVERAGE(OFFSET($GD$3,0,0,'Données projet'!$E$17+1,1))-AVERAGE(OFFSET($H$3,0,0,'Données projet'!$E$17+1,1))</f>
        <v>324.86930206492627</v>
      </c>
      <c r="GF30" s="59">
        <f t="shared" si="50"/>
        <v>317.03005098025352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0.94535716234305456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0.94535716234305456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4.0628205128205126</v>
      </c>
      <c r="GU30" s="12">
        <f>IF('Données projet'!$A$270&gt;35,GU29+GT30-HC29,IF(A30&lt;'Données projet'!$A$270,$GR$205^A30,IF(A30='Données projet'!$A$270,'Données projet'!$B$270,GU29+GT30-HC29)))</f>
        <v>75.396988922564091</v>
      </c>
      <c r="GV30" s="17">
        <f>GU30*VLOOKUP('Données projet'!$B$18,Paramètres!$A$1:$I$89,3,0)*VLOOKUP('Données projet'!$B$18,Paramètres!$A$1:$I$89,5,0)</f>
        <v>71.74777465871199</v>
      </c>
      <c r="GW30" s="13">
        <f t="shared" si="51"/>
        <v>20.106866686044771</v>
      </c>
      <c r="GX30" s="20">
        <f t="shared" si="28"/>
        <v>159.98016700878466</v>
      </c>
      <c r="GY30" s="59">
        <f t="shared" si="29"/>
        <v>449.64683367545138</v>
      </c>
      <c r="GZ30" s="59">
        <f ca="1">AVERAGE(OFFSET($GY$3,0,0,'Données projet'!$E$18+1,1))-AVERAGE(OFFSET($H$3,0,0,'Données projet'!$E$18+1,1))</f>
        <v>401.81944956556271</v>
      </c>
      <c r="HA30" s="59">
        <f t="shared" si="52"/>
        <v>292.20785523952651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468.91691311673264</v>
      </c>
      <c r="S31" s="59">
        <f ca="1">AVERAGE(OFFSET($R$3,0,0,'Données projet'!$E$9+1,1))-AVERAGE(OFFSET($H$3,0,0,'Données projet'!$E$9+1,1))</f>
        <v>384.05928630855732</v>
      </c>
      <c r="T31" s="59">
        <f t="shared" si="34"/>
        <v>279.93992813630513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22.828205128205127</v>
      </c>
      <c r="AI31" s="13">
        <f>IF('Données projet'!$A$62&gt;35,AI30+AH31-AQ30,IF(A31&lt;'Données projet'!$A$62,$AF$205^A31,IF(A31='Données projet'!$A$62,'Données projet'!$B$62,AI30+AH31-AQ30)))</f>
        <v>286.21282051282037</v>
      </c>
      <c r="AJ31" s="13">
        <f>AI31*VLOOKUP('Données projet'!$B$10,Paramètres!$A$1:$I$89,3,0)*VLOOKUP('Données projet'!$B$10,Paramètres!$A$1:$I$89,5,0)</f>
        <v>159.99296666666658</v>
      </c>
      <c r="AK31" s="13">
        <f t="shared" si="35"/>
        <v>40.840929014671453</v>
      </c>
      <c r="AL31" s="20">
        <f t="shared" si="4"/>
        <v>349.785701644997</v>
      </c>
      <c r="AM31" s="59">
        <f t="shared" si="5"/>
        <v>640.67459053388586</v>
      </c>
      <c r="AN31" s="59">
        <f ca="1">AVERAGE(OFFSET($AM$3,0,0,'Données projet'!$E$10+1,1))-AVERAGE(OFFSET($H$3,0,0,'Données projet'!$E$10+1,1))</f>
        <v>335.04906256888819</v>
      </c>
      <c r="AO31" s="59">
        <f t="shared" si="36"/>
        <v>440.84111898279554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11.252110247156793</v>
      </c>
      <c r="AV31" s="21">
        <f>EXP(-LN(2)/25)*AV30+(1-EXP(-LN(2)/25))/(LN(2)/25)*Calculateur!AQ31*Calculateur!AS31*VLOOKUP('Données projet'!$B$10,Paramètres!$A$1:$I$89,3,0)*0.475*44/12</f>
        <v>14.551421526127376</v>
      </c>
      <c r="AW31" s="21">
        <f>EXP(-LN(2)/2)*AW30+(1-EXP(-LN(2)/2))/(LN(2)/2)*AQ31*AT31*VLOOKUP('Données projet'!$B$10,Paramètres!$A$1:$I$89,3,0)*0.475*44/12</f>
        <v>1.4939989436668142</v>
      </c>
      <c r="AX31" s="21">
        <f t="shared" si="6"/>
        <v>27.297530716950984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12.589743589743586</v>
      </c>
      <c r="BD31" s="12">
        <f>IF('Données projet'!$A$88&gt;35,BD30+BC31-BL30,IF(A31&lt;'Données projet'!$A$88,$BA$205^A31,IF(A31='Données projet'!$A$88,'Données projet'!$B$88,BD30+BC31-BL30)))</f>
        <v>176.21282051282054</v>
      </c>
      <c r="BE31" s="13">
        <f>BD31*VLOOKUP('Données projet'!$B$11,Paramètres!$A$1:$I$89,3,0)*VLOOKUP('Données projet'!$B$11,Paramètres!$A$1:$I$89,5,0)</f>
        <v>100.79373333333336</v>
      </c>
      <c r="BF31" s="13">
        <f t="shared" si="37"/>
        <v>27.151006473207783</v>
      </c>
      <c r="BG31" s="20">
        <f t="shared" si="7"/>
        <v>222.83708849639251</v>
      </c>
      <c r="BH31" s="59">
        <f t="shared" si="8"/>
        <v>513.72597738528134</v>
      </c>
      <c r="BI31" s="59">
        <f ca="1">AVERAGE(OFFSET($BH$3,0,0,'Données projet'!$E$11+1,1))-AVERAGE(OFFSET($H$3,0,0,'Données projet'!$E$11+1,1))</f>
        <v>320.76883487964511</v>
      </c>
      <c r="BJ31" s="59">
        <f t="shared" si="38"/>
        <v>290.51177680335746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13.873771174992099</v>
      </c>
      <c r="BR31" s="21">
        <f>EXP(-LN(2)/2)*BR30+(1-EXP(-LN(2)/2))/(LN(2)/2)*BL31*BO31*VLOOKUP('Données projet'!$B$11,Paramètres!$A$1:$I$89,3,0)*0.475*44/12</f>
        <v>3.0858589326618207</v>
      </c>
      <c r="BS31" s="22">
        <f t="shared" si="9"/>
        <v>16.959630107653918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8.6</v>
      </c>
      <c r="BY31" s="12">
        <f>IF('Données projet'!$A$114&gt;35,BY30+BX31-CG30,IF(A31&lt;'Données projet'!$A$114,$BV$205^A31,IF(A31='Données projet'!$A$114,'Données projet'!$B$114,BY30+BX31-CG30)))</f>
        <v>225.79999999999993</v>
      </c>
      <c r="BZ31" s="13">
        <f>BY31*VLOOKUP('Données projet'!$B$12,Paramètres!$A$1:$I$89,3,0)*VLOOKUP('Données projet'!$B$12,Paramètres!$A$1:$I$89,5,0)</f>
        <v>204.30383999999992</v>
      </c>
      <c r="CA31" s="13">
        <f t="shared" si="39"/>
        <v>50.688846269088558</v>
      </c>
      <c r="CB31" s="20">
        <f t="shared" si="10"/>
        <v>444.11226191866245</v>
      </c>
      <c r="CC31" s="59">
        <f t="shared" si="11"/>
        <v>735.00115080755131</v>
      </c>
      <c r="CD31" s="59">
        <f ca="1">AVERAGE(OFFSET($CC$3,0,0,'Données projet'!$E$12+1,1))-AVERAGE(OFFSET($H$3,0,0,'Données projet'!$E$12+1,1))</f>
        <v>366.69125512029831</v>
      </c>
      <c r="CE31" s="59">
        <f t="shared" si="40"/>
        <v>513.80016421153414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1.9252274241707048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1.9252274241707048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4.0628205128205126</v>
      </c>
      <c r="CT31" s="12">
        <f>IF('Données projet'!$A$140&gt;35,CT30+CS31-DB30,IF(A31&lt;'Données projet'!$A$140,$CQ$205^A31,IF(A31='Données projet'!$A$140,'Données projet'!$B$140,CT30+CS31-DB30)))</f>
        <v>88.488255196060223</v>
      </c>
      <c r="CU31" s="17">
        <f>CT31*VLOOKUP('Données projet'!$B$13,Paramètres!$A$1:$I$89,3,0)*VLOOKUP('Données projet'!$B$13,Paramètres!$A$1:$I$89,5,0)</f>
        <v>59.357921585517204</v>
      </c>
      <c r="CV31" s="13">
        <f t="shared" si="41"/>
        <v>17.005829932734116</v>
      </c>
      <c r="CW31" s="20">
        <f t="shared" si="13"/>
        <v>133.00020056095437</v>
      </c>
      <c r="CX31" s="59">
        <f t="shared" si="14"/>
        <v>423.88908944984325</v>
      </c>
      <c r="CY31" s="59">
        <f ca="1">AVERAGE(OFFSET($CX$3,0,0,'Données projet'!$E$13+1,1))-AVERAGE(OFFSET($H$3,0,0,'Données projet'!$E$13+1,1))</f>
        <v>294.94331863127815</v>
      </c>
      <c r="CZ31" s="59">
        <f t="shared" si="42"/>
        <v>218.36990036643977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11.8</v>
      </c>
      <c r="DO31" s="12">
        <f>IF('Données projet'!$A$166&gt;35,DO30+DN31-DW30,IF(A31&lt;'Données projet'!$A$166,$DL$205^A31,IF(A31='Données projet'!$A$166,'Données projet'!$B$166,DO30+DN31-DW30)))</f>
        <v>122.39999999999996</v>
      </c>
      <c r="DP31" s="17">
        <f>DO31*VLOOKUP('Données projet'!$B$14,Paramètres!$A$1:$I$89,3,0)*VLOOKUP('Données projet'!$B$14,Paramètres!$A$1:$I$89,5,0)</f>
        <v>89.743679999999969</v>
      </c>
      <c r="DQ31" s="13">
        <f t="shared" si="43"/>
        <v>24.503396524614622</v>
      </c>
      <c r="DR31" s="20">
        <f t="shared" si="16"/>
        <v>198.98032494703705</v>
      </c>
      <c r="DS31" s="59">
        <f t="shared" si="17"/>
        <v>489.8692138359259</v>
      </c>
      <c r="DT31" s="59">
        <f ca="1">AVERAGE(OFFSET($DS$3,0,0,'Données projet'!$E$14+1,1))-AVERAGE(OFFSET($H$3,0,0,'Données projet'!$E$14+1,1))</f>
        <v>278.45534008146865</v>
      </c>
      <c r="DU31" s="59">
        <f t="shared" si="44"/>
        <v>272.97841038165217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0.62611936482167729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0.62611936482167729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4.0628205128205126</v>
      </c>
      <c r="EJ31" s="12">
        <f>IF('Données projet'!$A$192&gt;35,EJ30+EI31-ER30,IF(A31&lt;'Données projet'!$A$192,$EG$205^A31,IF(A31='Données projet'!$A$192,'Données projet'!$B$192,EJ30+EI31-ER30)))</f>
        <v>88.488255196060223</v>
      </c>
      <c r="EK31" s="17">
        <f>EJ31*VLOOKUP('Données projet'!$B$15,Paramètres!$A$1:$I$89,3,0)*VLOOKUP('Données projet'!$B$15,Paramètres!$A$1:$I$89,5,0)</f>
        <v>95.248757893039226</v>
      </c>
      <c r="EL31" s="13">
        <f t="shared" si="45"/>
        <v>25.826892853754671</v>
      </c>
      <c r="EM31" s="20">
        <f t="shared" si="19"/>
        <v>210.87342505066601</v>
      </c>
      <c r="EN31" s="59">
        <f t="shared" si="20"/>
        <v>501.76231393955487</v>
      </c>
      <c r="EO31" s="59">
        <f ca="1">AVERAGE(OFFSET($EN$3,0,0,'Données projet'!$E$15+1,1))-AVERAGE(OFFSET($H$3,0,0,'Données projet'!$E$15+1,1))</f>
        <v>449.09332781196957</v>
      </c>
      <c r="EP31" s="59">
        <f t="shared" si="46"/>
        <v>324.85904971519432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4.6333333333333337</v>
      </c>
      <c r="FE31" s="12">
        <f>IF('Données projet'!$A$218&gt;35,FE30+FD31-FM30,IF(A31&lt;'Données projet'!$A$218,$FB$205^A31,IF(A31='Données projet'!$A$218,'Données projet'!$B$218,FE30+FD31-FM30)))</f>
        <v>58.609669433383225</v>
      </c>
      <c r="FF31" s="17">
        <f>FE31*VLOOKUP('Données projet'!$B$16,Paramètres!$A$1:$I$89,3,0)*VLOOKUP('Données projet'!$B$16,Paramètres!$A$1:$I$89,5,0)</f>
        <v>59.430204805450593</v>
      </c>
      <c r="FG31" s="13">
        <f t="shared" si="47"/>
        <v>17.02412700386855</v>
      </c>
      <c r="FH31" s="20">
        <f t="shared" si="22"/>
        <v>133.15796123456417</v>
      </c>
      <c r="FI31" s="59">
        <f t="shared" si="23"/>
        <v>424.04685012345305</v>
      </c>
      <c r="FJ31" s="59">
        <f ca="1">AVERAGE(OFFSET($FI$3,0,0,'Données projet'!$E$16+1,1))-AVERAGE(OFFSET($H$3,0,0,'Données projet'!$E$16+1,1))</f>
        <v>419.51168383014721</v>
      </c>
      <c r="FK31" s="59">
        <f t="shared" si="48"/>
        <v>213.44145308833384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11.8</v>
      </c>
      <c r="FZ31" s="12">
        <f>IF('Données projet'!$A$244&gt;35,FZ30+FY31-GH30,IF(A31&lt;'Données projet'!$A$244,$FW$205^A31,IF(A31='Données projet'!$A$244,'Données projet'!$B$244,FZ30+FY31-GH30)))</f>
        <v>122.39999999999996</v>
      </c>
      <c r="GA31" s="17">
        <f>FZ31*VLOOKUP('Données projet'!$B$17,Paramètres!$A$1:$I$89,3,0)*VLOOKUP('Données projet'!$B$17,Paramètres!$A$1:$I$89,5,0)</f>
        <v>106.92863999999997</v>
      </c>
      <c r="GB31" s="13">
        <f t="shared" si="49"/>
        <v>28.606159868782917</v>
      </c>
      <c r="GC31" s="20">
        <f t="shared" si="25"/>
        <v>236.05644310479684</v>
      </c>
      <c r="GD31" s="59">
        <f t="shared" si="26"/>
        <v>526.94533199368573</v>
      </c>
      <c r="GE31" s="59">
        <f ca="1">AVERAGE(OFFSET($GD$3,0,0,'Données projet'!$E$17+1,1))-AVERAGE(OFFSET($H$3,0,0,'Données projet'!$E$17+1,1))</f>
        <v>324.86930206492627</v>
      </c>
      <c r="GF31" s="59">
        <f t="shared" si="50"/>
        <v>317.03005098025352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0.91950632102461116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0.91950632102461116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4.0628205128205126</v>
      </c>
      <c r="GU31" s="12">
        <f>IF('Données projet'!$A$270&gt;35,GU30+GT31-HC30,IF(A31&lt;'Données projet'!$A$270,$GR$205^A31,IF(A31='Données projet'!$A$270,'Données projet'!$B$270,GU30+GT31-HC30)))</f>
        <v>88.488255196060223</v>
      </c>
      <c r="GV31" s="17">
        <f>GU31*VLOOKUP('Données projet'!$B$18,Paramètres!$A$1:$I$89,3,0)*VLOOKUP('Données projet'!$B$18,Paramètres!$A$1:$I$89,5,0)</f>
        <v>84.205423644570914</v>
      </c>
      <c r="GW31" s="13">
        <f t="shared" si="51"/>
        <v>23.162346086430109</v>
      </c>
      <c r="GX31" s="20">
        <f t="shared" si="28"/>
        <v>186.99886561482674</v>
      </c>
      <c r="GY31" s="59">
        <f t="shared" si="29"/>
        <v>477.8877545037156</v>
      </c>
      <c r="GZ31" s="59">
        <f ca="1">AVERAGE(OFFSET($GY$3,0,0,'Données projet'!$E$18+1,1))-AVERAGE(OFFSET($H$3,0,0,'Données projet'!$E$18+1,1))</f>
        <v>401.81944956556271</v>
      </c>
      <c r="HA31" s="59">
        <f t="shared" si="52"/>
        <v>292.20785523952651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500.21428696085883</v>
      </c>
      <c r="S32" s="59">
        <f ca="1">AVERAGE(OFFSET($R$3,0,0,'Données projet'!$E$9+1,1))-AVERAGE(OFFSET($H$3,0,0,'Données projet'!$E$9+1,1))</f>
        <v>384.05928630855732</v>
      </c>
      <c r="T32" s="59">
        <f t="shared" si="34"/>
        <v>279.93992813630513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22.828205128205127</v>
      </c>
      <c r="AI32" s="13">
        <f>IF('Données projet'!$A$62&gt;35,AI31+AH32-AQ31,IF(A32&lt;'Données projet'!$A$62,$AF$205^A32,IF(A32='Données projet'!$A$62,'Données projet'!$B$62,AI31+AH32-AQ31)))</f>
        <v>309.0410256410255</v>
      </c>
      <c r="AJ32" s="13">
        <f>AI32*VLOOKUP('Données projet'!$B$10,Paramètres!$A$1:$I$89,3,0)*VLOOKUP('Données projet'!$B$10,Paramètres!$A$1:$I$89,5,0)</f>
        <v>172.75393333333326</v>
      </c>
      <c r="AK32" s="13">
        <f t="shared" si="35"/>
        <v>43.706234996805463</v>
      </c>
      <c r="AL32" s="20">
        <f t="shared" si="4"/>
        <v>377.00145984165829</v>
      </c>
      <c r="AM32" s="59">
        <f t="shared" si="5"/>
        <v>669.11257095276937</v>
      </c>
      <c r="AN32" s="59">
        <f ca="1">AVERAGE(OFFSET($AM$3,0,0,'Données projet'!$E$10+1,1))-AVERAGE(OFFSET($H$3,0,0,'Données projet'!$E$10+1,1))</f>
        <v>335.04906256888819</v>
      </c>
      <c r="AO32" s="59">
        <f t="shared" si="36"/>
        <v>440.84111898279554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11.031463228319623</v>
      </c>
      <c r="AV32" s="21">
        <f>EXP(-LN(2)/25)*AV31+(1-EXP(-LN(2)/25))/(LN(2)/25)*Calculateur!AQ32*Calculateur!AS32*VLOOKUP('Données projet'!$B$10,Paramètres!$A$1:$I$89,3,0)*0.475*44/12</f>
        <v>14.153512139269422</v>
      </c>
      <c r="AW32" s="21">
        <f>EXP(-LN(2)/2)*AW31+(1-EXP(-LN(2)/2))/(LN(2)/2)*AQ32*AT32*VLOOKUP('Données projet'!$B$10,Paramètres!$A$1:$I$89,3,0)*0.475*44/12</f>
        <v>1.0564167841523431</v>
      </c>
      <c r="AX32" s="21">
        <f t="shared" si="6"/>
        <v>26.24139215174139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12.589743589743586</v>
      </c>
      <c r="BD32" s="12">
        <f>IF('Données projet'!$A$88&gt;35,BD31+BC32-BL31,IF(A32&lt;'Données projet'!$A$88,$BA$205^A32,IF(A32='Données projet'!$A$88,'Données projet'!$B$88,BD31+BC32-BL31)))</f>
        <v>188.80256410256413</v>
      </c>
      <c r="BE32" s="13">
        <f>BD32*VLOOKUP('Données projet'!$B$11,Paramètres!$A$1:$I$89,3,0)*VLOOKUP('Données projet'!$B$11,Paramètres!$A$1:$I$89,5,0)</f>
        <v>107.99506666666669</v>
      </c>
      <c r="BF32" s="13">
        <f t="shared" si="37"/>
        <v>28.858102114638232</v>
      </c>
      <c r="BG32" s="20">
        <f t="shared" si="7"/>
        <v>238.35260229410608</v>
      </c>
      <c r="BH32" s="59">
        <f t="shared" si="8"/>
        <v>530.46371340521728</v>
      </c>
      <c r="BI32" s="59">
        <f ca="1">AVERAGE(OFFSET($BH$3,0,0,'Données projet'!$E$11+1,1))-AVERAGE(OFFSET($H$3,0,0,'Données projet'!$E$11+1,1))</f>
        <v>320.76883487964511</v>
      </c>
      <c r="BJ32" s="59">
        <f t="shared" si="38"/>
        <v>290.51177680335746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13.494392172622023</v>
      </c>
      <c r="BR32" s="21">
        <f>EXP(-LN(2)/2)*BR31+(1-EXP(-LN(2)/2))/(LN(2)/2)*BL32*BO32*VLOOKUP('Données projet'!$B$11,Paramètres!$A$1:$I$89,3,0)*0.475*44/12</f>
        <v>2.1820317770702551</v>
      </c>
      <c r="BS32" s="22">
        <f t="shared" si="9"/>
        <v>15.676423949692278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8.6</v>
      </c>
      <c r="BY32" s="12">
        <f>IF('Données projet'!$A$114&gt;35,BY31+BX32-CG31,IF(A32&lt;'Données projet'!$A$114,$BV$205^A32,IF(A32='Données projet'!$A$114,'Données projet'!$B$114,BY31+BX32-CG31)))</f>
        <v>234.39999999999992</v>
      </c>
      <c r="BZ32" s="13">
        <f>BY32*VLOOKUP('Données projet'!$B$12,Paramètres!$A$1:$I$89,3,0)*VLOOKUP('Données projet'!$B$12,Paramètres!$A$1:$I$89,5,0)</f>
        <v>212.0851199999999</v>
      </c>
      <c r="CA32" s="13">
        <f t="shared" si="39"/>
        <v>52.390974537063038</v>
      </c>
      <c r="CB32" s="20">
        <f t="shared" si="10"/>
        <v>460.62919798538456</v>
      </c>
      <c r="CC32" s="59">
        <f t="shared" si="11"/>
        <v>752.74030909649571</v>
      </c>
      <c r="CD32" s="59">
        <f ca="1">AVERAGE(OFFSET($CC$3,0,0,'Données projet'!$E$12+1,1))-AVERAGE(OFFSET($H$3,0,0,'Données projet'!$E$12+1,1))</f>
        <v>366.69125512029831</v>
      </c>
      <c r="CE32" s="59">
        <f t="shared" si="40"/>
        <v>513.80016421153414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1.8725819790134468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1.8725819790134468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4.0628205128205126</v>
      </c>
      <c r="CT32" s="12">
        <f>IF('Données projet'!$A$140&gt;35,CT31+CS32-DB31,IF(A32&lt;'Données projet'!$A$140,$CQ$205^A32,IF(A32='Données projet'!$A$140,'Données projet'!$B$140,CT31+CS32-DB31)))</f>
        <v>103.85257315361756</v>
      </c>
      <c r="CU32" s="17">
        <f>CT32*VLOOKUP('Données projet'!$B$13,Paramètres!$A$1:$I$89,3,0)*VLOOKUP('Données projet'!$B$13,Paramètres!$A$1:$I$89,5,0)</f>
        <v>69.66430607144666</v>
      </c>
      <c r="CV32" s="13">
        <f t="shared" si="41"/>
        <v>19.590069628419247</v>
      </c>
      <c r="CW32" s="20">
        <f t="shared" si="13"/>
        <v>155.45137101059979</v>
      </c>
      <c r="CX32" s="59">
        <f t="shared" si="14"/>
        <v>447.5624821217109</v>
      </c>
      <c r="CY32" s="59">
        <f ca="1">AVERAGE(OFFSET($CX$3,0,0,'Données projet'!$E$13+1,1))-AVERAGE(OFFSET($H$3,0,0,'Données projet'!$E$13+1,1))</f>
        <v>294.94331863127815</v>
      </c>
      <c r="CZ32" s="59">
        <f t="shared" si="42"/>
        <v>218.36990036643977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11.8</v>
      </c>
      <c r="DO32" s="12">
        <f>IF('Données projet'!$A$166&gt;35,DO31+DN32-DW31,IF(A32&lt;'Données projet'!$A$166,$DL$205^A32,IF(A32='Données projet'!$A$166,'Données projet'!$B$166,DO31+DN32-DW31)))</f>
        <v>134.19999999999996</v>
      </c>
      <c r="DP32" s="17">
        <f>DO32*VLOOKUP('Données projet'!$B$14,Paramètres!$A$1:$I$89,3,0)*VLOOKUP('Données projet'!$B$14,Paramètres!$A$1:$I$89,5,0)</f>
        <v>98.395439999999965</v>
      </c>
      <c r="DQ32" s="13">
        <f t="shared" si="43"/>
        <v>26.57937412584554</v>
      </c>
      <c r="DR32" s="20">
        <f t="shared" si="16"/>
        <v>217.6644679358476</v>
      </c>
      <c r="DS32" s="59">
        <f t="shared" si="17"/>
        <v>509.77557904695874</v>
      </c>
      <c r="DT32" s="59">
        <f ca="1">AVERAGE(OFFSET($DS$3,0,0,'Données projet'!$E$14+1,1))-AVERAGE(OFFSET($H$3,0,0,'Données projet'!$E$14+1,1))</f>
        <v>278.45534008146865</v>
      </c>
      <c r="DU32" s="59">
        <f t="shared" si="44"/>
        <v>272.97841038165217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0.60899809786444214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0.60899809786444214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4.0628205128205126</v>
      </c>
      <c r="EJ32" s="12">
        <f>IF('Données projet'!$A$192&gt;35,EJ31+EI32-ER31,IF(A32&lt;'Données projet'!$A$192,$EG$205^A32,IF(A32='Données projet'!$A$192,'Données projet'!$B$192,EJ31+EI32-ER31)))</f>
        <v>103.85257315361756</v>
      </c>
      <c r="EK32" s="17">
        <f>EJ32*VLOOKUP('Données projet'!$B$15,Paramètres!$A$1:$I$89,3,0)*VLOOKUP('Données projet'!$B$15,Paramètres!$A$1:$I$89,5,0)</f>
        <v>111.78690974255393</v>
      </c>
      <c r="EL32" s="13">
        <f t="shared" si="45"/>
        <v>29.751598792416779</v>
      </c>
      <c r="EM32" s="20">
        <f t="shared" si="19"/>
        <v>246.51290236507396</v>
      </c>
      <c r="EN32" s="59">
        <f t="shared" si="20"/>
        <v>538.62401347618516</v>
      </c>
      <c r="EO32" s="59">
        <f ca="1">AVERAGE(OFFSET($EN$3,0,0,'Données projet'!$E$15+1,1))-AVERAGE(OFFSET($H$3,0,0,'Données projet'!$E$15+1,1))</f>
        <v>449.09332781196957</v>
      </c>
      <c r="EP32" s="59">
        <f t="shared" si="46"/>
        <v>324.85904971519432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4.6333333333333337</v>
      </c>
      <c r="FE32" s="12">
        <f>IF('Données projet'!$A$218&gt;35,FE31+FD32-FM31,IF(A32&lt;'Données projet'!$A$218,$FB$205^A32,IF(A32='Données projet'!$A$218,'Données projet'!$B$218,FE31+FD32-FM31)))</f>
        <v>67.781477541709833</v>
      </c>
      <c r="FF32" s="17">
        <f>FE32*VLOOKUP('Données projet'!$B$16,Paramètres!$A$1:$I$89,3,0)*VLOOKUP('Données projet'!$B$16,Paramètres!$A$1:$I$89,5,0)</f>
        <v>68.730418227293768</v>
      </c>
      <c r="FG32" s="13">
        <f t="shared" si="47"/>
        <v>19.357840602511889</v>
      </c>
      <c r="FH32" s="20">
        <f t="shared" si="22"/>
        <v>153.42038412857815</v>
      </c>
      <c r="FI32" s="59">
        <f t="shared" si="23"/>
        <v>445.53149523968932</v>
      </c>
      <c r="FJ32" s="59">
        <f ca="1">AVERAGE(OFFSET($FI$3,0,0,'Données projet'!$E$16+1,1))-AVERAGE(OFFSET($H$3,0,0,'Données projet'!$E$16+1,1))</f>
        <v>419.51168383014721</v>
      </c>
      <c r="FK32" s="59">
        <f t="shared" si="48"/>
        <v>213.44145308833384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11.8</v>
      </c>
      <c r="FZ32" s="12">
        <f>IF('Données projet'!$A$244&gt;35,FZ31+FY32-GH31,IF(A32&lt;'Données projet'!$A$244,$FW$205^A32,IF(A32='Données projet'!$A$244,'Données projet'!$B$244,FZ31+FY32-GH31)))</f>
        <v>134.19999999999996</v>
      </c>
      <c r="GA32" s="17">
        <f>FZ32*VLOOKUP('Données projet'!$B$17,Paramètres!$A$1:$I$89,3,0)*VLOOKUP('Données projet'!$B$17,Paramètres!$A$1:$I$89,5,0)</f>
        <v>117.23711999999999</v>
      </c>
      <c r="GB32" s="13">
        <f t="shared" si="49"/>
        <v>31.029731926851227</v>
      </c>
      <c r="GC32" s="20">
        <f t="shared" si="25"/>
        <v>258.23143377259919</v>
      </c>
      <c r="GD32" s="59">
        <f t="shared" si="26"/>
        <v>550.34254488371039</v>
      </c>
      <c r="GE32" s="59">
        <f ca="1">AVERAGE(OFFSET($GD$3,0,0,'Données projet'!$E$17+1,1))-AVERAGE(OFFSET($H$3,0,0,'Données projet'!$E$17+1,1))</f>
        <v>324.86930206492627</v>
      </c>
      <c r="GF32" s="59">
        <f t="shared" si="50"/>
        <v>317.03005098025352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0.89436237232145732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0.89436237232145732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4.0628205128205126</v>
      </c>
      <c r="GU32" s="12">
        <f>IF('Données projet'!$A$270&gt;35,GU31+GT32-HC31,IF(A32&lt;'Données projet'!$A$270,$GR$205^A32,IF(A32='Données projet'!$A$270,'Données projet'!$B$270,GU31+GT32-HC31)))</f>
        <v>103.85257315361756</v>
      </c>
      <c r="GV32" s="17">
        <f>GU32*VLOOKUP('Données projet'!$B$18,Paramètres!$A$1:$I$89,3,0)*VLOOKUP('Données projet'!$B$18,Paramètres!$A$1:$I$89,5,0)</f>
        <v>98.826108612982466</v>
      </c>
      <c r="GW32" s="13">
        <f t="shared" si="51"/>
        <v>26.682142205673451</v>
      </c>
      <c r="GX32" s="20">
        <f t="shared" si="28"/>
        <v>218.59353684249234</v>
      </c>
      <c r="GY32" s="59">
        <f t="shared" si="29"/>
        <v>510.70464795360351</v>
      </c>
      <c r="GZ32" s="59">
        <f ca="1">AVERAGE(OFFSET($GY$3,0,0,'Données projet'!$E$18+1,1))-AVERAGE(OFFSET($H$3,0,0,'Données projet'!$E$18+1,1))</f>
        <v>401.81944956556271</v>
      </c>
      <c r="HA32" s="59">
        <f t="shared" si="52"/>
        <v>292.20785523952651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536.60659480297181</v>
      </c>
      <c r="S33" s="59">
        <f ca="1">AVERAGE(OFFSET($R$3,0,0,'Données projet'!$E$9+1,1))-AVERAGE(OFFSET($H$3,0,0,'Données projet'!$E$9+1,1))</f>
        <v>384.05928630855732</v>
      </c>
      <c r="T33" s="59">
        <f t="shared" si="34"/>
        <v>279.93992813630513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331.86923076923074</v>
      </c>
      <c r="AG33" s="12">
        <f>VLOOKUP(A33,'Données projet'!$A$61:$I$81,9,0)</f>
        <v>22.828205128205127</v>
      </c>
      <c r="AH33" s="12">
        <f t="array" ref="AH33">INDEX(AG:AG,MIN(IF(ISNUMBER(AG33:AG229),ROW(AG33:AG229),"")))</f>
        <v>22.828205128205127</v>
      </c>
      <c r="AI33" s="13">
        <f>IF('Données projet'!$A$62&gt;35,AI32+AH33-AQ32,IF(A33&lt;'Données projet'!$A$62,$AF$205^A33,IF(A33='Données projet'!$A$62,'Données projet'!$B$62,AI32+AH33-AQ32)))</f>
        <v>331.86923076923063</v>
      </c>
      <c r="AJ33" s="13">
        <f>AI33*VLOOKUP('Données projet'!$B$10,Paramètres!$A$1:$I$89,3,0)*VLOOKUP('Données projet'!$B$10,Paramètres!$A$1:$I$89,5,0)</f>
        <v>185.5148999999999</v>
      </c>
      <c r="AK33" s="13">
        <f t="shared" si="35"/>
        <v>46.546986497298995</v>
      </c>
      <c r="AL33" s="20">
        <f t="shared" si="4"/>
        <v>404.17445231612891</v>
      </c>
      <c r="AM33" s="59">
        <f t="shared" si="5"/>
        <v>697.50778564946222</v>
      </c>
      <c r="AN33" s="59">
        <f ca="1">AVERAGE(OFFSET($AM$3,0,0,'Données projet'!$E$10+1,1))-AVERAGE(OFFSET($H$3,0,0,'Données projet'!$E$10+1,1))</f>
        <v>335.04906256888819</v>
      </c>
      <c r="AO33" s="59">
        <f t="shared" si="36"/>
        <v>440.84111898279554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65.669230769230765</v>
      </c>
      <c r="AR33" s="16">
        <f>IF(ISNA(VLOOKUP(A33,'Données projet'!$A$61:$I$81,5,0)),0%,VLOOKUP(A33,'Données projet'!$A$61:$I$81,5,0)*VLOOKUP('Données projet'!$B$10,Paramètres!$A$1:$I$89,7,0))</f>
        <v>0.38500000000000001</v>
      </c>
      <c r="AS33" s="16">
        <f>IF(ISNA(VLOOKUP(A33,'Données projet'!$A$61:$I$81,6,0)),0%,VLOOKUP(A33,'Données projet'!$A$61:$I$81,6,0)*VLOOKUP('Données projet'!$B$10,Paramètres!$A$1:$I$89,7,0))</f>
        <v>9.240000000000001E-2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29.563483054643072</v>
      </c>
      <c r="AV33" s="21">
        <f>EXP(-LN(2)/25)*AV32+(1-EXP(-LN(2)/25))/(LN(2)/25)*Calculateur!AQ33*Calculateur!AS33*VLOOKUP('Données projet'!$B$10,Paramètres!$A$1:$I$89,3,0)*0.475*44/12</f>
        <v>18.248368581460394</v>
      </c>
      <c r="AW33" s="21">
        <f>EXP(-LN(2)/2)*AW32+(1-EXP(-LN(2)/2))/(LN(2)/2)*AQ33*AT33*VLOOKUP('Données projet'!$B$10,Paramètres!$A$1:$I$89,3,0)*0.475*44/12</f>
        <v>6.233345651406407</v>
      </c>
      <c r="AX33" s="21">
        <f t="shared" si="6"/>
        <v>54.045197287509879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201.3923076923077</v>
      </c>
      <c r="BB33" s="12">
        <f>VLOOKUP(A33,'Données projet'!$A$87:$I$107,9,0)</f>
        <v>12.589743589743586</v>
      </c>
      <c r="BC33" s="12">
        <f t="array" ref="BC33">INDEX(BB:BB,MIN(IF(ISNUMBER(BB33:BB229),ROW(BB33:BB229),"")))</f>
        <v>12.589743589743586</v>
      </c>
      <c r="BD33" s="12">
        <f>IF('Données projet'!$A$88&gt;35,BD32+BC33-BL32,IF(A33&lt;'Données projet'!$A$88,$BA$205^A33,IF(A33='Données projet'!$A$88,'Données projet'!$B$88,BD32+BC33-BL32)))</f>
        <v>201.39230769230772</v>
      </c>
      <c r="BE33" s="13">
        <f>BD33*VLOOKUP('Données projet'!$B$11,Paramètres!$A$1:$I$89,3,0)*VLOOKUP('Données projet'!$B$11,Paramètres!$A$1:$I$89,5,0)</f>
        <v>115.19640000000001</v>
      </c>
      <c r="BF33" s="13">
        <f t="shared" si="37"/>
        <v>30.551988595229211</v>
      </c>
      <c r="BG33" s="20">
        <f t="shared" si="7"/>
        <v>253.84511013669089</v>
      </c>
      <c r="BH33" s="59">
        <f t="shared" si="8"/>
        <v>547.17844347002415</v>
      </c>
      <c r="BI33" s="59">
        <f ca="1">AVERAGE(OFFSET($BH$3,0,0,'Données projet'!$E$11+1,1))-AVERAGE(OFFSET($H$3,0,0,'Données projet'!$E$11+1,1))</f>
        <v>320.76883487964511</v>
      </c>
      <c r="BJ33" s="59">
        <f t="shared" si="38"/>
        <v>290.51177680335746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35.430769230769229</v>
      </c>
      <c r="BM33" s="16">
        <f>IF(ISNA(VLOOKUP(A33,'Données projet'!$A$87:$I$107,5,0)),0%,VLOOKUP(A33,'Données projet'!$A$87:$I$107,5,0)*VLOOKUP('Données projet'!$B$11,Paramètres!$A$1:$I$89,7,0))</f>
        <v>0.315</v>
      </c>
      <c r="BN33" s="16">
        <f>IF(ISNA(VLOOKUP(A33,'Données projet'!$A$87:$I$107,6,0)),0%,VLOOKUP(A33,'Données projet'!$A$87:$I$107,6,0)*VLOOKUP('Données projet'!$B$11,Paramètres!$A$1:$I$89,7,0))</f>
        <v>7.6500000000000012E-2</v>
      </c>
      <c r="BO33" s="16">
        <f>IF(ISNA(VLOOKUP(A33,'Données projet'!$A$87:$I$107,7,0)),0%,VLOOKUP(A33,'Données projet'!$A$87:$I$107,7,0))</f>
        <v>0.13</v>
      </c>
      <c r="BP33" s="21">
        <f>EXP(-LN(2)/35)*BP32+(1-EXP(-LN(2)/35))/(LN(2)/35)*BL33*BM33*VLOOKUP('Données projet'!$B$11,Paramètres!$A$1:$I$89,3,0)*0.475*44/12</f>
        <v>8.4686760521117677</v>
      </c>
      <c r="BQ33" s="21">
        <f>EXP(-LN(2)/25)*BQ32+(1-EXP(-LN(2)/25))/(LN(2)/25)*Calculateur!BL33*Calculateur!BN33*VLOOKUP('Données projet'!$B$11,Paramètres!$A$1:$I$89,3,0)*0.475*44/12</f>
        <v>15.17396785202947</v>
      </c>
      <c r="BR33" s="21">
        <f>EXP(-LN(2)/2)*BR32+(1-EXP(-LN(2)/2))/(LN(2)/2)*BL33*BO33*VLOOKUP('Données projet'!$B$11,Paramètres!$A$1:$I$89,3,0)*0.475*44/12</f>
        <v>4.5259449088276584</v>
      </c>
      <c r="BS33" s="22">
        <f t="shared" si="9"/>
        <v>28.168588812968895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243</v>
      </c>
      <c r="BW33" s="12">
        <f>VLOOKUP(A33,'Données projet'!$A$113:$I$133,9,0)</f>
        <v>8.6</v>
      </c>
      <c r="BX33" s="12">
        <f t="array" ref="BX33">INDEX(BW:BW,MIN(IF(ISNUMBER(BW33:BW229),ROW(BW33:BW229),"")))</f>
        <v>8.6</v>
      </c>
      <c r="BY33" s="12">
        <f>IF('Données projet'!$A$114&gt;35,BY32+BX33-CG32,IF(A33&lt;'Données projet'!$A$114,$BV$205^A33,IF(A33='Données projet'!$A$114,'Données projet'!$B$114,BY32+BX33-CG32)))</f>
        <v>242.99999999999991</v>
      </c>
      <c r="BZ33" s="13">
        <f>BY33*VLOOKUP('Données projet'!$B$12,Paramètres!$A$1:$I$89,3,0)*VLOOKUP('Données projet'!$B$12,Paramètres!$A$1:$I$89,5,0)</f>
        <v>219.86639999999991</v>
      </c>
      <c r="CA33" s="13">
        <f t="shared" si="39"/>
        <v>54.085847394182416</v>
      </c>
      <c r="CB33" s="20">
        <f t="shared" si="10"/>
        <v>477.13349754486757</v>
      </c>
      <c r="CC33" s="59">
        <f t="shared" si="11"/>
        <v>770.46683087820088</v>
      </c>
      <c r="CD33" s="59">
        <f ca="1">AVERAGE(OFFSET($CC$3,0,0,'Données projet'!$E$12+1,1))-AVERAGE(OFFSET($H$3,0,0,'Données projet'!$E$12+1,1))</f>
        <v>366.69125512029831</v>
      </c>
      <c r="CE33" s="59">
        <f t="shared" si="40"/>
        <v>513.80016421153414</v>
      </c>
      <c r="CF33" s="15">
        <f>IF(ISNA(VLOOKUP(A33,'Données projet'!$A$113:$I$133,3,0)),0,VLOOKUP(A33,'Données projet'!$A$113:$I$133,3,0))</f>
        <v>6</v>
      </c>
      <c r="CG33" s="15">
        <f>IF(ISNA(VLOOKUP(A33,'Données projet'!$A$113:$I$133,4,0)),0,VLOOKUP(A33,'Données projet'!$A$113:$I$133,4,0))</f>
        <v>11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0.15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3.4652567950020199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3.4652567950020199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121.88461538461537</v>
      </c>
      <c r="CR33" s="12">
        <f>VLOOKUP(A33,'Données projet'!$A$139:$I$159,9,0)</f>
        <v>4.0628205128205126</v>
      </c>
      <c r="CS33" s="12">
        <f t="array" ref="CS33">INDEX(CR:CR,MIN(IF(ISNUMBER(CR33:CR229),ROW(CR33:CR229),"")))</f>
        <v>4.0628205128205126</v>
      </c>
      <c r="CT33" s="12">
        <f>IF('Données projet'!$A$140&gt;35,CT32+CS33-DB32,IF(A33&lt;'Données projet'!$A$140,$CQ$205^A33,IF(A33='Données projet'!$A$140,'Données projet'!$B$140,CT32+CS33-DB32)))</f>
        <v>121.88461538461537</v>
      </c>
      <c r="CU33" s="17">
        <f>CT33*VLOOKUP('Données projet'!$B$13,Paramètres!$A$1:$I$89,3,0)*VLOOKUP('Données projet'!$B$13,Paramètres!$A$1:$I$89,5,0)</f>
        <v>81.760199999999998</v>
      </c>
      <c r="CV33" s="13">
        <f t="shared" si="41"/>
        <v>22.567015521400862</v>
      </c>
      <c r="CW33" s="20">
        <f t="shared" si="13"/>
        <v>181.70323369977314</v>
      </c>
      <c r="CX33" s="59">
        <f t="shared" si="14"/>
        <v>475.03656703310645</v>
      </c>
      <c r="CY33" s="59">
        <f ca="1">AVERAGE(OFFSET($CX$3,0,0,'Données projet'!$E$13+1,1))-AVERAGE(OFFSET($H$3,0,0,'Données projet'!$E$13+1,1))</f>
        <v>294.94331863127815</v>
      </c>
      <c r="CZ33" s="59">
        <f t="shared" si="42"/>
        <v>218.36990036643977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11.8</v>
      </c>
      <c r="DN33" s="12">
        <f t="array" ref="DN33">INDEX(DM:DM,MIN(IF(ISNUMBER(DM33:DM229),ROW(DM33:DM229),"")))</f>
        <v>11.8</v>
      </c>
      <c r="DO33" s="12">
        <f>IF('Données projet'!$A$166&gt;35,DO32+DN33-DW32,IF(A33&lt;'Données projet'!$A$166,$DL$205^A33,IF(A33='Données projet'!$A$166,'Données projet'!$B$166,DO32+DN33-DW32)))</f>
        <v>145.99999999999997</v>
      </c>
      <c r="DP33" s="17">
        <f>DO33*VLOOKUP('Données projet'!$B$14,Paramètres!$A$1:$I$89,3,0)*VLOOKUP('Données projet'!$B$14,Paramètres!$A$1:$I$89,5,0)</f>
        <v>107.04719999999996</v>
      </c>
      <c r="DQ33" s="13">
        <f t="shared" si="43"/>
        <v>28.634183951187907</v>
      </c>
      <c r="DR33" s="20">
        <f t="shared" si="16"/>
        <v>236.31174371498548</v>
      </c>
      <c r="DS33" s="59">
        <f t="shared" si="17"/>
        <v>529.64507704831885</v>
      </c>
      <c r="DT33" s="59">
        <f ca="1">AVERAGE(OFFSET($DS$3,0,0,'Données projet'!$E$14+1,1))-AVERAGE(OFFSET($H$3,0,0,'Données projet'!$E$14+1,1))</f>
        <v>278.45534008146865</v>
      </c>
      <c r="DU33" s="59">
        <f t="shared" si="44"/>
        <v>272.97841038165217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1.72E-2</v>
      </c>
      <c r="DY33" s="16">
        <f>IF(ISNA(VLOOKUP(A33,'Données projet'!$A$165:$I$185,6,0)),0%,VLOOKUP(A33,'Données projet'!$A$165:$I$185,6,0)*VLOOKUP('Données projet'!$B$14,Paramètres!$A$1:$I$89,7,0))</f>
        <v>0.12469999999999999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0.39035167290294598</v>
      </c>
      <c r="EB33" s="21">
        <f>EXP(-LN(2)/25)*EB32+(1-EXP(-LN(2)/25))/(LN(2)/25)*Calculateur!DW33*Calculateur!DY33*VLOOKUP('Données projet'!$B$14,Paramètres!$A$1:$I$89,3,0)*0.475*44/12</f>
        <v>3.4112516576778438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3.8016033305807899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121.88461538461537</v>
      </c>
      <c r="EH33" s="12">
        <f>VLOOKUP(A33,'Données projet'!$A$191:$I$211,9,0)</f>
        <v>4.0628205128205126</v>
      </c>
      <c r="EI33" s="12">
        <f t="array" ref="EI33">INDEX(EH:EH,MIN(IF(ISNUMBER(EH33:EH229),ROW(EH33:EH229),"")))</f>
        <v>4.0628205128205126</v>
      </c>
      <c r="EJ33" s="12">
        <f>IF('Données projet'!$A$192&gt;35,EJ32+EI33-ER32,IF(A33&lt;'Données projet'!$A$192,$EG$205^A33,IF(A33='Données projet'!$A$192,'Données projet'!$B$192,EJ32+EI33-ER32)))</f>
        <v>121.88461538461537</v>
      </c>
      <c r="EK33" s="17">
        <f>EJ33*VLOOKUP('Données projet'!$B$15,Paramètres!$A$1:$I$89,3,0)*VLOOKUP('Données projet'!$B$15,Paramètres!$A$1:$I$89,5,0)</f>
        <v>131.19659999999999</v>
      </c>
      <c r="EL33" s="13">
        <f t="shared" si="45"/>
        <v>34.272710841259901</v>
      </c>
      <c r="EM33" s="20">
        <f t="shared" si="19"/>
        <v>288.19238304852763</v>
      </c>
      <c r="EN33" s="59">
        <f t="shared" si="20"/>
        <v>581.525716381861</v>
      </c>
      <c r="EO33" s="59">
        <f ca="1">AVERAGE(OFFSET($EN$3,0,0,'Données projet'!$E$15+1,1))-AVERAGE(OFFSET($H$3,0,0,'Données projet'!$E$15+1,1))</f>
        <v>449.09332781196957</v>
      </c>
      <c r="EP33" s="59">
        <f t="shared" si="46"/>
        <v>324.85904971519432</v>
      </c>
      <c r="EQ33" s="15" t="str">
        <f>IF(ISNA(VLOOKUP(A33,'Données projet'!$A$191:$I$211,3,0)),0,VLOOKUP(A33,'Données projet'!$A$191:$I$211,3,0))</f>
        <v>na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4.6333333333333337</v>
      </c>
      <c r="FE33" s="12">
        <f>IF('Données projet'!$A$218&gt;35,FE32+FD33-FM32,IF(A33&lt;'Données projet'!$A$218,$FB$205^A33,IF(A33='Données projet'!$A$218,'Données projet'!$B$218,FE32+FD33-FM32)))</f>
        <v>78.388578918011291</v>
      </c>
      <c r="FF33" s="17">
        <f>FE33*VLOOKUP('Données projet'!$B$16,Paramètres!$A$1:$I$89,3,0)*VLOOKUP('Données projet'!$B$16,Paramètres!$A$1:$I$89,5,0)</f>
        <v>79.486019022863459</v>
      </c>
      <c r="FG33" s="13">
        <f t="shared" si="47"/>
        <v>22.011466003931108</v>
      </c>
      <c r="FH33" s="20">
        <f t="shared" si="22"/>
        <v>176.77478642166719</v>
      </c>
      <c r="FI33" s="59">
        <f t="shared" si="23"/>
        <v>470.10811975500053</v>
      </c>
      <c r="FJ33" s="59">
        <f ca="1">AVERAGE(OFFSET($FI$3,0,0,'Données projet'!$E$16+1,1))-AVERAGE(OFFSET($H$3,0,0,'Données projet'!$E$16+1,1))</f>
        <v>419.51168383014721</v>
      </c>
      <c r="FK33" s="59">
        <f t="shared" si="48"/>
        <v>213.44145308833384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146</v>
      </c>
      <c r="FX33" s="12">
        <f>VLOOKUP(A33,'Données projet'!$A$243:$I$263,9,0)</f>
        <v>11.8</v>
      </c>
      <c r="FY33" s="12">
        <f t="array" ref="FY33">INDEX(FX:FX,MIN(IF(ISNUMBER(FX33:FX229),ROW(FX33:FX229),"")))</f>
        <v>11.8</v>
      </c>
      <c r="FZ33" s="12">
        <f>IF('Données projet'!$A$244&gt;35,FZ32+FY33-GH32,IF(A33&lt;'Données projet'!$A$244,$FW$205^A33,IF(A33='Données projet'!$A$244,'Données projet'!$B$244,FZ32+FY33-GH32)))</f>
        <v>145.99999999999997</v>
      </c>
      <c r="GA33" s="17">
        <f>FZ33*VLOOKUP('Données projet'!$B$17,Paramètres!$A$1:$I$89,3,0)*VLOOKUP('Données projet'!$B$17,Paramètres!$A$1:$I$89,5,0)</f>
        <v>127.54559999999999</v>
      </c>
      <c r="GB33" s="13">
        <f t="shared" si="49"/>
        <v>33.428591950384806</v>
      </c>
      <c r="GC33" s="20">
        <f t="shared" si="25"/>
        <v>280.36338431358689</v>
      </c>
      <c r="GD33" s="59">
        <f t="shared" si="26"/>
        <v>573.69671764692021</v>
      </c>
      <c r="GE33" s="59">
        <f ca="1">AVERAGE(OFFSET($GD$3,0,0,'Données projet'!$E$17+1,1))-AVERAGE(OFFSET($H$3,0,0,'Données projet'!$E$17+1,1))</f>
        <v>324.86930206492627</v>
      </c>
      <c r="GF33" s="59">
        <f t="shared" si="50"/>
        <v>317.03005098025352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28</v>
      </c>
      <c r="GI33" s="16">
        <f>IF(ISNA(VLOOKUP(A33,'Données projet'!$A$243:$I$263,5,0)),0%,VLOOKUP(A33,'Données projet'!$A$243:$I$263,5,0)*VLOOKUP('Données projet'!$B$17,Paramètres!$A$1:$I$89,7,0))</f>
        <v>2.12E-2</v>
      </c>
      <c r="GJ33" s="16">
        <f>IF(ISNA(VLOOKUP(A33,'Données projet'!$A$243:$I$263,6,0)),0%,VLOOKUP(A33,'Données projet'!$A$243:$I$263,6,0)*VLOOKUP('Données projet'!$B$17,Paramètres!$A$1:$I$89,7,0))</f>
        <v>0.1537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0.5732626250252072</v>
      </c>
      <c r="GM33" s="21">
        <f>EXP(-LN(2)/25)*GM32+(1-EXP(-LN(2)/25))/(LN(2)/25)*Calculateur!GH33*Calculateur!GJ33*VLOOKUP('Données projet'!$B$17,Paramètres!$A$1:$I$89,3,0)*0.475*44/12</f>
        <v>5.0096956556100167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5.582958280635224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121.88461538461537</v>
      </c>
      <c r="GS33" s="12">
        <f>VLOOKUP(A33,'Données projet'!$A$269:$I$289,9,0)</f>
        <v>4.0628205128205126</v>
      </c>
      <c r="GT33" s="12">
        <f t="array" ref="GT33">INDEX(GS:GS,MIN(IF(ISNUMBER(GS33:GS229),ROW(GS33:GS229),"")))</f>
        <v>4.0628205128205126</v>
      </c>
      <c r="GU33" s="12">
        <f>IF('Données projet'!$A$270&gt;35,GU32+GT33-HC32,IF(A33&lt;'Données projet'!$A$270,$GR$205^A33,IF(A33='Données projet'!$A$270,'Données projet'!$B$270,GU32+GT33-HC32)))</f>
        <v>121.88461538461537</v>
      </c>
      <c r="GV33" s="17">
        <f>GU33*VLOOKUP('Données projet'!$B$18,Paramètres!$A$1:$I$89,3,0)*VLOOKUP('Données projet'!$B$18,Paramètres!$A$1:$I$89,5,0)</f>
        <v>115.98539999999998</v>
      </c>
      <c r="GW33" s="13">
        <f t="shared" si="51"/>
        <v>30.736813534656417</v>
      </c>
      <c r="GX33" s="20">
        <f t="shared" si="28"/>
        <v>255.54118857285985</v>
      </c>
      <c r="GY33" s="59">
        <f t="shared" si="29"/>
        <v>548.87452190619319</v>
      </c>
      <c r="GZ33" s="59">
        <f ca="1">AVERAGE(OFFSET($GY$3,0,0,'Données projet'!$E$18+1,1))-AVERAGE(OFFSET($H$3,0,0,'Données projet'!$E$18+1,1))</f>
        <v>401.81944956556271</v>
      </c>
      <c r="HA33" s="59">
        <f t="shared" si="52"/>
        <v>292.20785523952651</v>
      </c>
      <c r="HB33" s="15" t="str">
        <f>IF(ISNA(VLOOKUP(A33,'Données projet'!$A$269:$I$289,3,0)),0,VLOOKUP(A33,'Données projet'!$A$269:$I$289,3,0))</f>
        <v>na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129.94102564102565</v>
      </c>
      <c r="O34" s="13">
        <f>N34*VLOOKUP('Données projet'!$B$9,Paramètres!$A$1:$I$89,3,0)*VLOOKUP('Données projet'!$B$9,Paramètres!$A$1:$I$89,5,0)</f>
        <v>117.57064000000001</v>
      </c>
      <c r="P34" s="13">
        <f t="shared" si="33"/>
        <v>31.107718284302781</v>
      </c>
      <c r="Q34" s="20">
        <f t="shared" si="2"/>
        <v>258.94814067849398</v>
      </c>
      <c r="R34" s="59">
        <f t="shared" si="0"/>
        <v>552.2814740118273</v>
      </c>
      <c r="S34" s="59">
        <f ca="1">AVERAGE(OFFSET($R$3,0,0,'Données projet'!$E$9+1,1))-AVERAGE(OFFSET($H$3,0,0,'Données projet'!$E$9+1,1))</f>
        <v>384.05928630855732</v>
      </c>
      <c r="T34" s="59">
        <f t="shared" si="34"/>
        <v>279.93992813630513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22.884615384615397</v>
      </c>
      <c r="AI34" s="13">
        <f>IF('Données projet'!$A$62&gt;35,AI33+AH34-AQ33,IF(A34&lt;'Données projet'!$A$62,$AF$205^A34,IF(A34='Données projet'!$A$62,'Données projet'!$B$62,AI33+AH34-AQ33)))</f>
        <v>289.08461538461529</v>
      </c>
      <c r="AJ34" s="13">
        <f>AI34*VLOOKUP('Données projet'!$B$10,Paramètres!$A$1:$I$89,3,0)*VLOOKUP('Données projet'!$B$10,Paramètres!$A$1:$I$89,5,0)</f>
        <v>161.59829999999994</v>
      </c>
      <c r="AK34" s="13">
        <f t="shared" si="35"/>
        <v>41.202807619439731</v>
      </c>
      <c r="AL34" s="20">
        <f t="shared" si="4"/>
        <v>353.21192910385736</v>
      </c>
      <c r="AM34" s="59">
        <f t="shared" si="5"/>
        <v>646.54526243719067</v>
      </c>
      <c r="AN34" s="59">
        <f ca="1">AVERAGE(OFFSET($AM$3,0,0,'Données projet'!$E$10+1,1))-AVERAGE(OFFSET($H$3,0,0,'Données projet'!$E$10+1,1))</f>
        <v>335.04906256888819</v>
      </c>
      <c r="AO34" s="59">
        <f t="shared" si="36"/>
        <v>440.84111898279554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28.983761183885679</v>
      </c>
      <c r="AV34" s="21">
        <f>EXP(-LN(2)/25)*AV33+(1-EXP(-LN(2)/25))/(LN(2)/25)*Calculateur!AQ34*Calculateur!AS34*VLOOKUP('Données projet'!$B$10,Paramètres!$A$1:$I$89,3,0)*0.475*44/12</f>
        <v>17.749365982960363</v>
      </c>
      <c r="AW34" s="21">
        <f>EXP(-LN(2)/2)*AW33+(1-EXP(-LN(2)/2))/(LN(2)/2)*AQ34*AT34*VLOOKUP('Données projet'!$B$10,Paramètres!$A$1:$I$89,3,0)*0.475*44/12</f>
        <v>4.4076409795891482</v>
      </c>
      <c r="AX34" s="21">
        <f t="shared" si="6"/>
        <v>51.140768146435192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12.134615384615387</v>
      </c>
      <c r="BD34" s="12">
        <f>IF('Données projet'!$A$88&gt;35,BD33+BC34-BL33,IF(A34&lt;'Données projet'!$A$88,$BA$205^A34,IF(A34='Données projet'!$A$88,'Données projet'!$B$88,BD33+BC34-BL33)))</f>
        <v>178.09615384615387</v>
      </c>
      <c r="BE34" s="13">
        <f>BD34*VLOOKUP('Données projet'!$B$11,Paramètres!$A$1:$I$89,3,0)*VLOOKUP('Données projet'!$B$11,Paramètres!$A$1:$I$89,5,0)</f>
        <v>101.87100000000002</v>
      </c>
      <c r="BF34" s="13">
        <f t="shared" si="37"/>
        <v>27.407255468271032</v>
      </c>
      <c r="BG34" s="20">
        <f t="shared" si="7"/>
        <v>225.15962827390544</v>
      </c>
      <c r="BH34" s="59">
        <f t="shared" si="8"/>
        <v>518.49296160723873</v>
      </c>
      <c r="BI34" s="59">
        <f ca="1">AVERAGE(OFFSET($BH$3,0,0,'Données projet'!$E$11+1,1))-AVERAGE(OFFSET($H$3,0,0,'Données projet'!$E$11+1,1))</f>
        <v>320.76883487964511</v>
      </c>
      <c r="BJ34" s="59">
        <f t="shared" si="38"/>
        <v>290.51177680335746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8.3026104801122091</v>
      </c>
      <c r="BQ34" s="21">
        <f>EXP(-LN(2)/25)*BQ33+(1-EXP(-LN(2)/25))/(LN(2)/25)*Calculateur!BL34*Calculateur!BN34*VLOOKUP('Données projet'!$B$11,Paramètres!$A$1:$I$89,3,0)*0.475*44/12</f>
        <v>14.759034903151436</v>
      </c>
      <c r="BR34" s="21">
        <f>EXP(-LN(2)/2)*BR33+(1-EXP(-LN(2)/2))/(LN(2)/2)*BL34*BO34*VLOOKUP('Données projet'!$B$11,Paramètres!$A$1:$I$89,3,0)*0.475*44/12</f>
        <v>3.2003263363087679</v>
      </c>
      <c r="BS34" s="22">
        <f t="shared" si="9"/>
        <v>26.261971719572415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</v>
      </c>
      <c r="BY34" s="12">
        <f>IF('Données projet'!$A$114&gt;35,BY33+BX34-CG33,IF(A34&lt;'Données projet'!$A$114,$BV$205^A34,IF(A34='Données projet'!$A$114,'Données projet'!$B$114,BY33+BX34-CG33)))</f>
        <v>238.99999999999991</v>
      </c>
      <c r="BZ34" s="13">
        <f>BY34*VLOOKUP('Données projet'!$B$12,Paramètres!$A$1:$I$89,3,0)*VLOOKUP('Données projet'!$B$12,Paramètres!$A$1:$I$89,5,0)</f>
        <v>216.24719999999994</v>
      </c>
      <c r="CA34" s="13">
        <f t="shared" si="39"/>
        <v>53.298418226645289</v>
      </c>
      <c r="CB34" s="20">
        <f t="shared" si="10"/>
        <v>469.45861841140703</v>
      </c>
      <c r="CC34" s="59">
        <f t="shared" si="11"/>
        <v>762.79195174474035</v>
      </c>
      <c r="CD34" s="59">
        <f ca="1">AVERAGE(OFFSET($CC$3,0,0,'Données projet'!$E$12+1,1))-AVERAGE(OFFSET($H$3,0,0,'Données projet'!$E$12+1,1))</f>
        <v>366.69125512029831</v>
      </c>
      <c r="CE34" s="59">
        <f t="shared" si="40"/>
        <v>513.80016421153414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3.3704991657127548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3.3704991657127548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8.0564102564102633</v>
      </c>
      <c r="CT34" s="12">
        <f>IF('Données projet'!$A$140&gt;35,CT33+CS34-DB33,IF(A34&lt;'Données projet'!$A$140,$CQ$205^A34,IF(A34='Données projet'!$A$140,'Données projet'!$B$140,CT33+CS34-DB33)))</f>
        <v>129.94102564102565</v>
      </c>
      <c r="CU34" s="17">
        <f>CT34*VLOOKUP('Données projet'!$B$13,Paramètres!$A$1:$I$89,3,0)*VLOOKUP('Données projet'!$B$13,Paramètres!$A$1:$I$89,5,0)</f>
        <v>87.164439999999999</v>
      </c>
      <c r="CV34" s="13">
        <f t="shared" si="41"/>
        <v>23.880087265375693</v>
      </c>
      <c r="CW34" s="20">
        <f t="shared" si="13"/>
        <v>193.40255165386267</v>
      </c>
      <c r="CX34" s="59">
        <f t="shared" si="14"/>
        <v>486.73588498719596</v>
      </c>
      <c r="CY34" s="59">
        <f ca="1">AVERAGE(OFFSET($CX$3,0,0,'Données projet'!$E$13+1,1))-AVERAGE(OFFSET($H$3,0,0,'Données projet'!$E$13+1,1))</f>
        <v>294.94331863127815</v>
      </c>
      <c r="CZ34" s="59">
        <f t="shared" si="42"/>
        <v>218.36990036643977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128.79999999999998</v>
      </c>
      <c r="DP34" s="17">
        <f>DO34*VLOOKUP('Données projet'!$B$14,Paramètres!$A$1:$I$89,3,0)*VLOOKUP('Données projet'!$B$14,Paramètres!$A$1:$I$89,5,0)</f>
        <v>94.436159999999987</v>
      </c>
      <c r="DQ34" s="13">
        <f t="shared" si="43"/>
        <v>25.632105611020013</v>
      </c>
      <c r="DR34" s="20">
        <f t="shared" si="16"/>
        <v>209.11889593919315</v>
      </c>
      <c r="DS34" s="59">
        <f t="shared" si="17"/>
        <v>502.45222927252644</v>
      </c>
      <c r="DT34" s="59">
        <f ca="1">AVERAGE(OFFSET($DS$3,0,0,'Données projet'!$E$14+1,1))-AVERAGE(OFFSET($H$3,0,0,'Données projet'!$E$14+1,1))</f>
        <v>278.45534008146865</v>
      </c>
      <c r="DU34" s="59">
        <f t="shared" si="44"/>
        <v>272.97841038165217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0.38269711468833012</v>
      </c>
      <c r="EB34" s="21">
        <f>EXP(-LN(2)/25)*EB33+(1-EXP(-LN(2)/25))/(LN(2)/25)*Calculateur!DW34*Calculateur!DY34*VLOOKUP('Données projet'!$B$14,Paramètres!$A$1:$I$89,3,0)*0.475*44/12</f>
        <v>3.3179708017087148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3.7006679163970451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8.0564102564102633</v>
      </c>
      <c r="EJ34" s="12">
        <f>IF('Données projet'!$A$192&gt;35,EJ33+EI34-ER33,IF(A34&lt;'Données projet'!$A$192,$EG$205^A34,IF(A34='Données projet'!$A$192,'Données projet'!$B$192,EJ33+EI34-ER33)))</f>
        <v>129.94102564102565</v>
      </c>
      <c r="EK34" s="17">
        <f>EJ34*VLOOKUP('Données projet'!$B$15,Paramètres!$A$1:$I$89,3,0)*VLOOKUP('Données projet'!$B$15,Paramètres!$A$1:$I$89,5,0)</f>
        <v>139.86852000000002</v>
      </c>
      <c r="EL34" s="13">
        <f t="shared" si="45"/>
        <v>36.266883626420665</v>
      </c>
      <c r="EM34" s="20">
        <f t="shared" si="19"/>
        <v>306.76916131601598</v>
      </c>
      <c r="EN34" s="59">
        <f t="shared" si="20"/>
        <v>600.1024946493493</v>
      </c>
      <c r="EO34" s="59">
        <f ca="1">AVERAGE(OFFSET($EN$3,0,0,'Données projet'!$E$15+1,1))-AVERAGE(OFFSET($H$3,0,0,'Données projet'!$E$15+1,1))</f>
        <v>449.09332781196957</v>
      </c>
      <c r="EP34" s="59">
        <f t="shared" si="46"/>
        <v>324.85904971519432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4.6333333333333337</v>
      </c>
      <c r="FE34" s="12">
        <f>IF('Données projet'!$A$218&gt;35,FE33+FD34-FM33,IF(A34&lt;'Données projet'!$A$218,$FB$205^A34,IF(A34='Données projet'!$A$218,'Données projet'!$B$218,FE33+FD34-FM33)))</f>
        <v>90.655582139000344</v>
      </c>
      <c r="FF34" s="17">
        <f>FE34*VLOOKUP('Données projet'!$B$16,Paramètres!$A$1:$I$89,3,0)*VLOOKUP('Données projet'!$B$16,Paramètres!$A$1:$I$89,5,0)</f>
        <v>91.924760288946359</v>
      </c>
      <c r="FG34" s="13">
        <f t="shared" si="47"/>
        <v>25.028857587521646</v>
      </c>
      <c r="FH34" s="20">
        <f t="shared" si="22"/>
        <v>203.69421780151507</v>
      </c>
      <c r="FI34" s="59">
        <f t="shared" si="23"/>
        <v>497.02755113484841</v>
      </c>
      <c r="FJ34" s="59">
        <f ca="1">AVERAGE(OFFSET($FI$3,0,0,'Données projet'!$E$16+1,1))-AVERAGE(OFFSET($H$3,0,0,'Données projet'!$E$16+1,1))</f>
        <v>419.51168383014721</v>
      </c>
      <c r="FK34" s="59">
        <f t="shared" si="48"/>
        <v>213.44145308833384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10.8</v>
      </c>
      <c r="FZ34" s="12">
        <f>IF('Données projet'!$A$244&gt;35,FZ33+FY34-GH33,IF(A34&lt;'Données projet'!$A$244,$FW$205^A34,IF(A34='Données projet'!$A$244,'Données projet'!$B$244,FZ33+FY34-GH33)))</f>
        <v>128.79999999999998</v>
      </c>
      <c r="GA34" s="17">
        <f>FZ34*VLOOKUP('Données projet'!$B$17,Paramètres!$A$1:$I$89,3,0)*VLOOKUP('Données projet'!$B$17,Paramètres!$A$1:$I$89,5,0)</f>
        <v>112.51968000000001</v>
      </c>
      <c r="GB34" s="13">
        <f t="shared" si="49"/>
        <v>29.923856072189899</v>
      </c>
      <c r="GC34" s="20">
        <f t="shared" si="25"/>
        <v>248.08915865906408</v>
      </c>
      <c r="GD34" s="59">
        <f t="shared" si="26"/>
        <v>541.42249199239745</v>
      </c>
      <c r="GE34" s="59">
        <f ca="1">AVERAGE(OFFSET($GD$3,0,0,'Données projet'!$E$17+1,1))-AVERAGE(OFFSET($H$3,0,0,'Données projet'!$E$17+1,1))</f>
        <v>324.86930206492627</v>
      </c>
      <c r="GF34" s="59">
        <f t="shared" si="50"/>
        <v>317.03005098025352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0.56202129460413852</v>
      </c>
      <c r="GM34" s="21">
        <f>EXP(-LN(2)/25)*GM33+(1-EXP(-LN(2)/25))/(LN(2)/25)*Calculateur!GH34*Calculateur!GJ34*VLOOKUP('Données projet'!$B$17,Paramètres!$A$1:$I$89,3,0)*0.475*44/12</f>
        <v>4.8727052644589159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5.4347265590630549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8.0564102564102633</v>
      </c>
      <c r="GU34" s="12">
        <f>IF('Données projet'!$A$270&gt;35,GU33+GT34-HC33,IF(A34&lt;'Données projet'!$A$270,$GR$205^A34,IF(A34='Données projet'!$A$270,'Données projet'!$B$270,GU33+GT34-HC33)))</f>
        <v>129.94102564102565</v>
      </c>
      <c r="GV34" s="17">
        <f>GU34*VLOOKUP('Données projet'!$B$18,Paramètres!$A$1:$I$89,3,0)*VLOOKUP('Données projet'!$B$18,Paramètres!$A$1:$I$89,5,0)</f>
        <v>123.65188000000001</v>
      </c>
      <c r="GW34" s="13">
        <f t="shared" si="51"/>
        <v>32.525248576671892</v>
      </c>
      <c r="GX34" s="20">
        <f t="shared" si="28"/>
        <v>272.00849893770356</v>
      </c>
      <c r="GY34" s="59">
        <f t="shared" si="29"/>
        <v>565.34183227103688</v>
      </c>
      <c r="GZ34" s="59">
        <f ca="1">AVERAGE(OFFSET($GY$3,0,0,'Données projet'!$E$18+1,1))-AVERAGE(OFFSET($H$3,0,0,'Données projet'!$E$18+1,1))</f>
        <v>401.81944956556271</v>
      </c>
      <c r="HA34" s="59">
        <f t="shared" si="52"/>
        <v>292.20785523952651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137.99743589743591</v>
      </c>
      <c r="O35" s="13">
        <f>N35*VLOOKUP('Données projet'!$B$9,Paramètres!$A$1:$I$89,3,0)*VLOOKUP('Données projet'!$B$9,Paramètres!$A$1:$I$89,5,0)</f>
        <v>124.86008000000001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567.93491634068107</v>
      </c>
      <c r="S35" s="59">
        <f ca="1">AVERAGE(OFFSET($R$3,0,0,'Données projet'!$E$9+1,1))-AVERAGE(OFFSET($H$3,0,0,'Données projet'!$E$9+1,1))</f>
        <v>384.05928630855732</v>
      </c>
      <c r="T35" s="59">
        <f t="shared" si="34"/>
        <v>279.93992813630513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22.884615384615397</v>
      </c>
      <c r="AI35" s="13">
        <f>IF('Données projet'!$A$62&gt;35,AI34+AH35-AQ34,IF(A35&lt;'Données projet'!$A$62,$AF$205^A35,IF(A35='Données projet'!$A$62,'Données projet'!$B$62,AI34+AH35-AQ34)))</f>
        <v>311.96923076923071</v>
      </c>
      <c r="AJ35" s="13">
        <f>AI35*VLOOKUP('Données projet'!$B$10,Paramètres!$A$1:$I$89,3,0)*VLOOKUP('Données projet'!$B$10,Paramètres!$A$1:$I$89,5,0)</f>
        <v>174.39079999999996</v>
      </c>
      <c r="AK35" s="13">
        <f t="shared" si="35"/>
        <v>44.071952499783528</v>
      </c>
      <c r="AL35" s="20">
        <f t="shared" si="4"/>
        <v>380.48929393712291</v>
      </c>
      <c r="AM35" s="59">
        <f t="shared" si="5"/>
        <v>673.82262727045622</v>
      </c>
      <c r="AN35" s="59">
        <f ca="1">AVERAGE(OFFSET($AM$3,0,0,'Données projet'!$E$10+1,1))-AVERAGE(OFFSET($H$3,0,0,'Données projet'!$E$10+1,1))</f>
        <v>335.04906256888819</v>
      </c>
      <c r="AO35" s="59">
        <f t="shared" si="36"/>
        <v>440.84111898279554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28.415407305418412</v>
      </c>
      <c r="AV35" s="21">
        <f>EXP(-LN(2)/25)*AV34+(1-EXP(-LN(2)/25))/(LN(2)/25)*Calculateur!AQ35*Calculateur!AS35*VLOOKUP('Données projet'!$B$10,Paramètres!$A$1:$I$89,3,0)*0.475*44/12</f>
        <v>17.264008636757723</v>
      </c>
      <c r="AW35" s="21">
        <f>EXP(-LN(2)/2)*AW34+(1-EXP(-LN(2)/2))/(LN(2)/2)*AQ35*AT35*VLOOKUP('Données projet'!$B$10,Paramètres!$A$1:$I$89,3,0)*0.475*44/12</f>
        <v>3.1166728257032039</v>
      </c>
      <c r="AX35" s="21">
        <f t="shared" si="6"/>
        <v>48.79608876787934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12.134615384615387</v>
      </c>
      <c r="BD35" s="12">
        <f>IF('Données projet'!$A$88&gt;35,BD34+BC35-BL34,IF(A35&lt;'Données projet'!$A$88,$BA$205^A35,IF(A35='Données projet'!$A$88,'Données projet'!$B$88,BD34+BC35-BL34)))</f>
        <v>190.23076923076925</v>
      </c>
      <c r="BE35" s="13">
        <f>BD35*VLOOKUP('Données projet'!$B$11,Paramètres!$A$1:$I$89,3,0)*VLOOKUP('Données projet'!$B$11,Paramètres!$A$1:$I$89,5,0)</f>
        <v>108.81200000000003</v>
      </c>
      <c r="BF35" s="13">
        <f t="shared" si="37"/>
        <v>29.050905860099927</v>
      </c>
      <c r="BG35" s="20">
        <f t="shared" si="7"/>
        <v>240.11122770634071</v>
      </c>
      <c r="BH35" s="59">
        <f t="shared" si="8"/>
        <v>533.444561039674</v>
      </c>
      <c r="BI35" s="59">
        <f ca="1">AVERAGE(OFFSET($BH$3,0,0,'Données projet'!$E$11+1,1))-AVERAGE(OFFSET($H$3,0,0,'Données projet'!$E$11+1,1))</f>
        <v>320.76883487964511</v>
      </c>
      <c r="BJ35" s="59">
        <f t="shared" si="38"/>
        <v>290.51177680335746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8.1398013526895632</v>
      </c>
      <c r="BQ35" s="21">
        <f>EXP(-LN(2)/25)*BQ34+(1-EXP(-LN(2)/25))/(LN(2)/25)*Calculateur!BL35*Calculateur!BN35*VLOOKUP('Données projet'!$B$11,Paramètres!$A$1:$I$89,3,0)*0.475*44/12</f>
        <v>14.355448317580846</v>
      </c>
      <c r="BR35" s="21">
        <f>EXP(-LN(2)/2)*BR34+(1-EXP(-LN(2)/2))/(LN(2)/2)*BL35*BO35*VLOOKUP('Données projet'!$B$11,Paramètres!$A$1:$I$89,3,0)*0.475*44/12</f>
        <v>2.2629724544138292</v>
      </c>
      <c r="BS35" s="22">
        <f t="shared" si="9"/>
        <v>24.758222124684242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</v>
      </c>
      <c r="BY35" s="12">
        <f>IF('Données projet'!$A$114&gt;35,BY34+BX35-CG34,IF(A35&lt;'Données projet'!$A$114,$BV$205^A35,IF(A35='Données projet'!$A$114,'Données projet'!$B$114,BY34+BX35-CG34)))</f>
        <v>245.99999999999991</v>
      </c>
      <c r="BZ35" s="13">
        <f>BY35*VLOOKUP('Données projet'!$B$12,Paramètres!$A$1:$I$89,3,0)*VLOOKUP('Données projet'!$B$12,Paramètres!$A$1:$I$89,5,0)</f>
        <v>222.58079999999993</v>
      </c>
      <c r="CA35" s="13">
        <f t="shared" si="39"/>
        <v>54.675428546153199</v>
      </c>
      <c r="CB35" s="20">
        <f t="shared" si="10"/>
        <v>482.88793138454997</v>
      </c>
      <c r="CC35" s="59">
        <f t="shared" si="11"/>
        <v>776.22126471788329</v>
      </c>
      <c r="CD35" s="59">
        <f ca="1">AVERAGE(OFFSET($CC$3,0,0,'Données projet'!$E$12+1,1))-AVERAGE(OFFSET($H$3,0,0,'Données projet'!$E$12+1,1))</f>
        <v>366.69125512029831</v>
      </c>
      <c r="CE35" s="59">
        <f t="shared" si="40"/>
        <v>513.80016421153414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3.2783326887794919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3.2783326887794919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8.0564102564102633</v>
      </c>
      <c r="CT35" s="12">
        <f>IF('Données projet'!$A$140&gt;35,CT34+CS35-DB34,IF(A35&lt;'Données projet'!$A$140,$CQ$205^A35,IF(A35='Données projet'!$A$140,'Données projet'!$B$140,CT34+CS35-DB34)))</f>
        <v>137.99743589743591</v>
      </c>
      <c r="CU35" s="17">
        <f>CT35*VLOOKUP('Données projet'!$B$13,Paramètres!$A$1:$I$89,3,0)*VLOOKUP('Données projet'!$B$13,Paramètres!$A$1:$I$89,5,0)</f>
        <v>92.568680000000001</v>
      </c>
      <c r="CV35" s="13">
        <f t="shared" si="41"/>
        <v>25.183710478421006</v>
      </c>
      <c r="CW35" s="20">
        <f t="shared" si="13"/>
        <v>205.08541341658324</v>
      </c>
      <c r="CX35" s="59">
        <f t="shared" si="14"/>
        <v>498.41874674991652</v>
      </c>
      <c r="CY35" s="59">
        <f ca="1">AVERAGE(OFFSET($CX$3,0,0,'Données projet'!$E$13+1,1))-AVERAGE(OFFSET($H$3,0,0,'Données projet'!$E$13+1,1))</f>
        <v>294.94331863127815</v>
      </c>
      <c r="CZ35" s="59">
        <f t="shared" si="42"/>
        <v>218.36990036643977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139.6</v>
      </c>
      <c r="DP35" s="17">
        <f>DO35*VLOOKUP('Données projet'!$B$14,Paramètres!$A$1:$I$89,3,0)*VLOOKUP('Données projet'!$B$14,Paramètres!$A$1:$I$89,5,0)</f>
        <v>102.35472</v>
      </c>
      <c r="DQ35" s="13">
        <f t="shared" si="43"/>
        <v>27.522214978746117</v>
      </c>
      <c r="DR35" s="20">
        <f t="shared" si="16"/>
        <v>226.20232842131611</v>
      </c>
      <c r="DS35" s="59">
        <f t="shared" si="17"/>
        <v>519.53566175464948</v>
      </c>
      <c r="DT35" s="59">
        <f ca="1">AVERAGE(OFFSET($DS$3,0,0,'Données projet'!$E$14+1,1))-AVERAGE(OFFSET($H$3,0,0,'Données projet'!$E$14+1,1))</f>
        <v>278.45534008146865</v>
      </c>
      <c r="DU35" s="59">
        <f t="shared" si="44"/>
        <v>272.97841038165217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0.37519265769148341</v>
      </c>
      <c r="EB35" s="21">
        <f>EXP(-LN(2)/25)*EB34+(1-EXP(-LN(2)/25))/(LN(2)/25)*Calculateur!DW35*Calculateur!DY35*VLOOKUP('Données projet'!$B$14,Paramètres!$A$1:$I$89,3,0)*0.475*44/12</f>
        <v>3.2272407156514888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3.6024333733429721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8.0564102564102633</v>
      </c>
      <c r="EJ35" s="12">
        <f>IF('Données projet'!$A$192&gt;35,EJ34+EI35-ER34,IF(A35&lt;'Données projet'!$A$192,$EG$205^A35,IF(A35='Données projet'!$A$192,'Données projet'!$B$192,EJ34+EI35-ER34)))</f>
        <v>137.99743589743591</v>
      </c>
      <c r="EK35" s="17">
        <f>EJ35*VLOOKUP('Données projet'!$B$15,Paramètres!$A$1:$I$89,3,0)*VLOOKUP('Données projet'!$B$15,Paramètres!$A$1:$I$89,5,0)</f>
        <v>148.54044000000002</v>
      </c>
      <c r="EL35" s="13">
        <f t="shared" si="45"/>
        <v>38.246706850465792</v>
      </c>
      <c r="EM35" s="20">
        <f t="shared" si="19"/>
        <v>325.32094743122792</v>
      </c>
      <c r="EN35" s="59">
        <f t="shared" si="20"/>
        <v>618.65428076456124</v>
      </c>
      <c r="EO35" s="59">
        <f ca="1">AVERAGE(OFFSET($EN$3,0,0,'Données projet'!$E$15+1,1))-AVERAGE(OFFSET($H$3,0,0,'Données projet'!$E$15+1,1))</f>
        <v>449.09332781196957</v>
      </c>
      <c r="EP35" s="59">
        <f t="shared" si="46"/>
        <v>324.85904971519432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4.6333333333333337</v>
      </c>
      <c r="FE35" s="12">
        <f>IF('Données projet'!$A$218&gt;35,FE34+FD35-FM34,IF(A35&lt;'Données projet'!$A$218,$FB$205^A35,IF(A35='Données projet'!$A$218,'Données projet'!$B$218,FE34+FD35-FM34)))</f>
        <v>104.84224470451137</v>
      </c>
      <c r="FF35" s="17">
        <f>FE35*VLOOKUP('Données projet'!$B$16,Paramètres!$A$1:$I$89,3,0)*VLOOKUP('Données projet'!$B$16,Paramètres!$A$1:$I$89,5,0)</f>
        <v>106.31003613037454</v>
      </c>
      <c r="FG35" s="13">
        <f t="shared" si="47"/>
        <v>28.459881410195987</v>
      </c>
      <c r="FH35" s="20">
        <f t="shared" si="22"/>
        <v>234.72427304982702</v>
      </c>
      <c r="FI35" s="59">
        <f t="shared" si="23"/>
        <v>528.05760638316031</v>
      </c>
      <c r="FJ35" s="59">
        <f ca="1">AVERAGE(OFFSET($FI$3,0,0,'Données projet'!$E$16+1,1))-AVERAGE(OFFSET($H$3,0,0,'Données projet'!$E$16+1,1))</f>
        <v>419.51168383014721</v>
      </c>
      <c r="FK35" s="59">
        <f t="shared" si="48"/>
        <v>213.44145308833384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10.8</v>
      </c>
      <c r="FZ35" s="12">
        <f>IF('Données projet'!$A$244&gt;35,FZ34+FY35-GH34,IF(A35&lt;'Données projet'!$A$244,$FW$205^A35,IF(A35='Données projet'!$A$244,'Données projet'!$B$244,FZ34+FY35-GH34)))</f>
        <v>139.6</v>
      </c>
      <c r="GA35" s="17">
        <f>FZ35*VLOOKUP('Données projet'!$B$17,Paramètres!$A$1:$I$89,3,0)*VLOOKUP('Données projet'!$B$17,Paramètres!$A$1:$I$89,5,0)</f>
        <v>121.95456</v>
      </c>
      <c r="GB35" s="13">
        <f t="shared" si="49"/>
        <v>32.130438767300902</v>
      </c>
      <c r="GC35" s="20">
        <f t="shared" si="25"/>
        <v>268.36470618638242</v>
      </c>
      <c r="GD35" s="59">
        <f t="shared" si="26"/>
        <v>561.69803951971573</v>
      </c>
      <c r="GE35" s="59">
        <f ca="1">AVERAGE(OFFSET($GD$3,0,0,'Données projet'!$E$17+1,1))-AVERAGE(OFFSET($H$3,0,0,'Données projet'!$E$17+1,1))</f>
        <v>324.86930206492627</v>
      </c>
      <c r="GF35" s="59">
        <f t="shared" si="50"/>
        <v>317.03005098025352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0.5510003998160925</v>
      </c>
      <c r="GM35" s="21">
        <f>EXP(-LN(2)/25)*GM34+(1-EXP(-LN(2)/25))/(LN(2)/25)*Calculateur!GH35*Calculateur!GJ35*VLOOKUP('Données projet'!$B$17,Paramètres!$A$1:$I$89,3,0)*0.475*44/12</f>
        <v>4.7394608827578537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5.2904612825739461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8.0564102564102633</v>
      </c>
      <c r="GU35" s="12">
        <f>IF('Données projet'!$A$270&gt;35,GU34+GT35-HC34,IF(A35&lt;'Données projet'!$A$270,$GR$205^A35,IF(A35='Données projet'!$A$270,'Données projet'!$B$270,GU34+GT35-HC34)))</f>
        <v>137.99743589743591</v>
      </c>
      <c r="GV35" s="17">
        <f>GU35*VLOOKUP('Données projet'!$B$18,Paramètres!$A$1:$I$89,3,0)*VLOOKUP('Données projet'!$B$18,Paramètres!$A$1:$I$89,5,0)</f>
        <v>131.31836000000001</v>
      </c>
      <c r="GW35" s="13">
        <f t="shared" si="51"/>
        <v>34.300814494142202</v>
      </c>
      <c r="GX35" s="20">
        <f t="shared" si="28"/>
        <v>288.45339557729767</v>
      </c>
      <c r="GY35" s="59">
        <f t="shared" si="29"/>
        <v>581.78672891063093</v>
      </c>
      <c r="GZ35" s="59">
        <f ca="1">AVERAGE(OFFSET($GY$3,0,0,'Données projet'!$E$18+1,1))-AVERAGE(OFFSET($H$3,0,0,'Données projet'!$E$18+1,1))</f>
        <v>401.81944956556271</v>
      </c>
      <c r="HA35" s="59">
        <f t="shared" si="52"/>
        <v>292.20785523952651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146.05384615384617</v>
      </c>
      <c r="O36" s="13">
        <f>N36*VLOOKUP('Données projet'!$B$9,Paramètres!$A$1:$I$89,3,0)*VLOOKUP('Données projet'!$B$9,Paramètres!$A$1:$I$89,5,0)</f>
        <v>132.14952</v>
      </c>
      <c r="P36" s="13">
        <f t="shared" si="33"/>
        <v>34.49257523106499</v>
      </c>
      <c r="Q36" s="20">
        <f t="shared" si="53"/>
        <v>290.23498252743815</v>
      </c>
      <c r="R36" s="59">
        <f t="shared" si="0"/>
        <v>583.56831586077146</v>
      </c>
      <c r="S36" s="59">
        <f ca="1">AVERAGE(OFFSET($R$3,0,0,'Données projet'!$E$9+1,1))-AVERAGE(OFFSET($H$3,0,0,'Données projet'!$E$9+1,1))</f>
        <v>384.05928630855732</v>
      </c>
      <c r="T36" s="59">
        <f t="shared" si="34"/>
        <v>279.93992813630513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22.884615384615397</v>
      </c>
      <c r="AI36" s="13">
        <f>IF('Données projet'!$A$62&gt;35,AI35+AH36-AQ35,IF(A36&lt;'Données projet'!$A$62,$AF$205^A36,IF(A36='Données projet'!$A$62,'Données projet'!$B$62,AI35+AH36-AQ35)))</f>
        <v>334.85384615384612</v>
      </c>
      <c r="AJ36" s="13">
        <f>AI36*VLOOKUP('Données projet'!$B$10,Paramètres!$A$1:$I$89,3,0)*VLOOKUP('Données projet'!$B$10,Paramètres!$A$1:$I$89,5,0)</f>
        <v>187.18329999999997</v>
      </c>
      <c r="AK36" s="13">
        <f t="shared" si="35"/>
        <v>46.91668019244311</v>
      </c>
      <c r="AL36" s="20">
        <f t="shared" si="4"/>
        <v>407.72413216850504</v>
      </c>
      <c r="AM36" s="59">
        <f t="shared" si="5"/>
        <v>701.05746550183835</v>
      </c>
      <c r="AN36" s="59">
        <f ca="1">AVERAGE(OFFSET($AM$3,0,0,'Données projet'!$E$10+1,1))-AVERAGE(OFFSET($H$3,0,0,'Données projet'!$E$10+1,1))</f>
        <v>335.04906256888819</v>
      </c>
      <c r="AO36" s="59">
        <f t="shared" si="36"/>
        <v>440.84111898279554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27.858198499846253</v>
      </c>
      <c r="AV36" s="21">
        <f>EXP(-LN(2)/25)*AV35+(1-EXP(-LN(2)/25))/(LN(2)/25)*Calculateur!AQ36*Calculateur!AS36*VLOOKUP('Données projet'!$B$10,Paramètres!$A$1:$I$89,3,0)*0.475*44/12</f>
        <v>16.791923412710826</v>
      </c>
      <c r="AW36" s="21">
        <f>EXP(-LN(2)/2)*AW35+(1-EXP(-LN(2)/2))/(LN(2)/2)*AQ36*AT36*VLOOKUP('Données projet'!$B$10,Paramètres!$A$1:$I$89,3,0)*0.475*44/12</f>
        <v>2.2038204897945741</v>
      </c>
      <c r="AX36" s="21">
        <f t="shared" si="6"/>
        <v>46.853942402351656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12.134615384615387</v>
      </c>
      <c r="BD36" s="12">
        <f>IF('Données projet'!$A$88&gt;35,BD35+BC36-BL35,IF(A36&lt;'Données projet'!$A$88,$BA$205^A36,IF(A36='Données projet'!$A$88,'Données projet'!$B$88,BD35+BC36-BL35)))</f>
        <v>202.36538461538464</v>
      </c>
      <c r="BE36" s="13">
        <f>BD36*VLOOKUP('Données projet'!$B$11,Paramètres!$A$1:$I$89,3,0)*VLOOKUP('Données projet'!$B$11,Paramètres!$A$1:$I$89,5,0)</f>
        <v>115.75300000000001</v>
      </c>
      <c r="BF36" s="13">
        <f t="shared" si="37"/>
        <v>30.682388585867784</v>
      </c>
      <c r="BG36" s="20">
        <f t="shared" si="7"/>
        <v>255.04163512038642</v>
      </c>
      <c r="BH36" s="59">
        <f t="shared" si="8"/>
        <v>548.3749684537197</v>
      </c>
      <c r="BI36" s="59">
        <f ca="1">AVERAGE(OFFSET($BH$3,0,0,'Données projet'!$E$11+1,1))-AVERAGE(OFFSET($H$3,0,0,'Données projet'!$E$11+1,1))</f>
        <v>320.76883487964511</v>
      </c>
      <c r="BJ36" s="59">
        <f t="shared" si="38"/>
        <v>290.51177680335746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7.9801848129519142</v>
      </c>
      <c r="BQ36" s="21">
        <f>EXP(-LN(2)/25)*BQ35+(1-EXP(-LN(2)/25))/(LN(2)/25)*Calculateur!BL36*Calculateur!BN36*VLOOKUP('Données projet'!$B$11,Paramètres!$A$1:$I$89,3,0)*0.475*44/12</f>
        <v>13.962897828416381</v>
      </c>
      <c r="BR36" s="21">
        <f>EXP(-LN(2)/2)*BR35+(1-EXP(-LN(2)/2))/(LN(2)/2)*BL36*BO36*VLOOKUP('Données projet'!$B$11,Paramètres!$A$1:$I$89,3,0)*0.475*44/12</f>
        <v>1.600163168154384</v>
      </c>
      <c r="BS36" s="22">
        <f t="shared" si="9"/>
        <v>23.543245809522681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</v>
      </c>
      <c r="BY36" s="12">
        <f>IF('Données projet'!$A$114&gt;35,BY35+BX36-CG35,IF(A36&lt;'Données projet'!$A$114,$BV$205^A36,IF(A36='Données projet'!$A$114,'Données projet'!$B$114,BY35+BX36-CG35)))</f>
        <v>252.99999999999991</v>
      </c>
      <c r="BZ36" s="13">
        <f>BY36*VLOOKUP('Données projet'!$B$12,Paramètres!$A$1:$I$89,3,0)*VLOOKUP('Données projet'!$B$12,Paramètres!$A$1:$I$89,5,0)</f>
        <v>228.91439999999994</v>
      </c>
      <c r="CA36" s="13">
        <f t="shared" si="39"/>
        <v>56.047884834417424</v>
      </c>
      <c r="CB36" s="20">
        <f t="shared" si="10"/>
        <v>496.30931275327686</v>
      </c>
      <c r="CC36" s="59">
        <f t="shared" si="11"/>
        <v>789.64264608661017</v>
      </c>
      <c r="CD36" s="59">
        <f ca="1">AVERAGE(OFFSET($CC$3,0,0,'Données projet'!$E$12+1,1))-AVERAGE(OFFSET($H$3,0,0,'Données projet'!$E$12+1,1))</f>
        <v>366.69125512029831</v>
      </c>
      <c r="CE36" s="59">
        <f t="shared" si="40"/>
        <v>513.80016421153414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3.1886865090047931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3.1886865090047931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8.0564102564102633</v>
      </c>
      <c r="CT36" s="12">
        <f>IF('Données projet'!$A$140&gt;35,CT35+CS36-DB35,IF(A36&lt;'Données projet'!$A$140,$CQ$205^A36,IF(A36='Données projet'!$A$140,'Données projet'!$B$140,CT35+CS36-DB35)))</f>
        <v>146.05384615384617</v>
      </c>
      <c r="CU36" s="17">
        <f>CT36*VLOOKUP('Données projet'!$B$13,Paramètres!$A$1:$I$89,3,0)*VLOOKUP('Données projet'!$B$13,Paramètres!$A$1:$I$89,5,0)</f>
        <v>97.972920000000002</v>
      </c>
      <c r="CV36" s="13">
        <f t="shared" si="41"/>
        <v>26.478499612136673</v>
      </c>
      <c r="CW36" s="20">
        <f t="shared" si="13"/>
        <v>216.7528891578047</v>
      </c>
      <c r="CX36" s="59">
        <f t="shared" si="14"/>
        <v>510.08622249113802</v>
      </c>
      <c r="CY36" s="59">
        <f ca="1">AVERAGE(OFFSET($CX$3,0,0,'Données projet'!$E$13+1,1))-AVERAGE(OFFSET($H$3,0,0,'Données projet'!$E$13+1,1))</f>
        <v>294.94331863127815</v>
      </c>
      <c r="CZ36" s="59">
        <f t="shared" si="42"/>
        <v>218.36990036643977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150.4</v>
      </c>
      <c r="DP36" s="17">
        <f>DO36*VLOOKUP('Données projet'!$B$14,Paramètres!$A$1:$I$89,3,0)*VLOOKUP('Données projet'!$B$14,Paramètres!$A$1:$I$89,5,0)</f>
        <v>110.27328000000001</v>
      </c>
      <c r="DQ36" s="13">
        <f t="shared" si="43"/>
        <v>29.3953621709605</v>
      </c>
      <c r="DR36" s="20">
        <f t="shared" si="16"/>
        <v>243.2562184477562</v>
      </c>
      <c r="DS36" s="59">
        <f t="shared" si="17"/>
        <v>536.58955178108954</v>
      </c>
      <c r="DT36" s="59">
        <f ca="1">AVERAGE(OFFSET($DS$3,0,0,'Données projet'!$E$14+1,1))-AVERAGE(OFFSET($H$3,0,0,'Données projet'!$E$14+1,1))</f>
        <v>278.45534008146865</v>
      </c>
      <c r="DU36" s="59">
        <f t="shared" si="44"/>
        <v>272.97841038165217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0.36783535851907806</v>
      </c>
      <c r="EB36" s="21">
        <f>EXP(-LN(2)/25)*EB35+(1-EXP(-LN(2)/25))/(LN(2)/25)*Calculateur!DW36*Calculateur!DY36*VLOOKUP('Données projet'!$B$14,Paramètres!$A$1:$I$89,3,0)*0.475*44/12</f>
        <v>3.1389916485687857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3.5068270070878635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8.0564102564102633</v>
      </c>
      <c r="EJ36" s="12">
        <f>IF('Données projet'!$A$192&gt;35,EJ35+EI36-ER35,IF(A36&lt;'Données projet'!$A$192,$EG$205^A36,IF(A36='Données projet'!$A$192,'Données projet'!$B$192,EJ35+EI36-ER35)))</f>
        <v>146.05384615384617</v>
      </c>
      <c r="EK36" s="17">
        <f>EJ36*VLOOKUP('Données projet'!$B$15,Paramètres!$A$1:$I$89,3,0)*VLOOKUP('Données projet'!$B$15,Paramètres!$A$1:$I$89,5,0)</f>
        <v>157.21236000000002</v>
      </c>
      <c r="EL36" s="13">
        <f t="shared" si="45"/>
        <v>40.213113686059998</v>
      </c>
      <c r="EM36" s="20">
        <f t="shared" si="19"/>
        <v>343.84936666988779</v>
      </c>
      <c r="EN36" s="59">
        <f t="shared" si="20"/>
        <v>637.18270000322104</v>
      </c>
      <c r="EO36" s="59">
        <f ca="1">AVERAGE(OFFSET($EN$3,0,0,'Données projet'!$E$15+1,1))-AVERAGE(OFFSET($H$3,0,0,'Données projet'!$E$15+1,1))</f>
        <v>449.09332781196957</v>
      </c>
      <c r="EP36" s="59">
        <f t="shared" si="46"/>
        <v>324.85904971519432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4.6333333333333337</v>
      </c>
      <c r="FE36" s="12">
        <f>IF('Données projet'!$A$218&gt;35,FE35+FD36-FM35,IF(A36&lt;'Données projet'!$A$218,$FB$205^A36,IF(A36='Données projet'!$A$218,'Données projet'!$B$218,FE35+FD36-FM35)))</f>
        <v>121.24897348104821</v>
      </c>
      <c r="FF36" s="17">
        <f>FE36*VLOOKUP('Données projet'!$B$16,Paramètres!$A$1:$I$89,3,0)*VLOOKUP('Données projet'!$B$16,Paramètres!$A$1:$I$89,5,0)</f>
        <v>122.94645910978288</v>
      </c>
      <c r="FG36" s="13">
        <f t="shared" si="47"/>
        <v>32.361239303476417</v>
      </c>
      <c r="FH36" s="20">
        <f t="shared" si="22"/>
        <v>270.49424140309327</v>
      </c>
      <c r="FI36" s="59">
        <f t="shared" si="23"/>
        <v>563.82757473642664</v>
      </c>
      <c r="FJ36" s="59">
        <f ca="1">AVERAGE(OFFSET($FI$3,0,0,'Données projet'!$E$16+1,1))-AVERAGE(OFFSET($H$3,0,0,'Données projet'!$E$16+1,1))</f>
        <v>419.51168383014721</v>
      </c>
      <c r="FK36" s="59">
        <f t="shared" si="48"/>
        <v>213.44145308833384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10.8</v>
      </c>
      <c r="FZ36" s="12">
        <f>IF('Données projet'!$A$244&gt;35,FZ35+FY36-GH35,IF(A36&lt;'Données projet'!$A$244,$FW$205^A36,IF(A36='Données projet'!$A$244,'Données projet'!$B$244,FZ35+FY36-GH35)))</f>
        <v>150.4</v>
      </c>
      <c r="GA36" s="17">
        <f>FZ36*VLOOKUP('Données projet'!$B$17,Paramètres!$A$1:$I$89,3,0)*VLOOKUP('Données projet'!$B$17,Paramètres!$A$1:$I$89,5,0)</f>
        <v>131.38944000000004</v>
      </c>
      <c r="GB36" s="13">
        <f t="shared" si="49"/>
        <v>34.317219199328761</v>
      </c>
      <c r="GC36" s="20">
        <f t="shared" si="25"/>
        <v>288.60576477216426</v>
      </c>
      <c r="GD36" s="59">
        <f t="shared" si="26"/>
        <v>581.93909810549758</v>
      </c>
      <c r="GE36" s="59">
        <f ca="1">AVERAGE(OFFSET($GD$3,0,0,'Données projet'!$E$17+1,1))-AVERAGE(OFFSET($H$3,0,0,'Données projet'!$E$17+1,1))</f>
        <v>324.86930206492627</v>
      </c>
      <c r="GF36" s="59">
        <f t="shared" si="50"/>
        <v>317.03005098025352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0.54019561805275795</v>
      </c>
      <c r="GM36" s="21">
        <f>EXP(-LN(2)/25)*GM35+(1-EXP(-LN(2)/25))/(LN(2)/25)*Calculateur!GH36*Calculateur!GJ36*VLOOKUP('Données projet'!$B$17,Paramètres!$A$1:$I$89,3,0)*0.475*44/12</f>
        <v>4.609860075681425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5.150055693734183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8.0564102564102633</v>
      </c>
      <c r="GU36" s="12">
        <f>IF('Données projet'!$A$270&gt;35,GU35+GT36-HC35,IF(A36&lt;'Données projet'!$A$270,$GR$205^A36,IF(A36='Données projet'!$A$270,'Données projet'!$B$270,GU35+GT36-HC35)))</f>
        <v>146.05384615384617</v>
      </c>
      <c r="GV36" s="17">
        <f>GU36*VLOOKUP('Données projet'!$B$18,Paramètres!$A$1:$I$89,3,0)*VLOOKUP('Données projet'!$B$18,Paramètres!$A$1:$I$89,5,0)</f>
        <v>138.98483999999999</v>
      </c>
      <c r="GW36" s="13">
        <f t="shared" si="51"/>
        <v>36.064348184805787</v>
      </c>
      <c r="GX36" s="20">
        <f t="shared" si="28"/>
        <v>304.87733608853677</v>
      </c>
      <c r="GY36" s="59">
        <f t="shared" si="29"/>
        <v>598.21066942187008</v>
      </c>
      <c r="GZ36" s="59">
        <f ca="1">AVERAGE(OFFSET($GY$3,0,0,'Données projet'!$E$18+1,1))-AVERAGE(OFFSET($H$3,0,0,'Données projet'!$E$18+1,1))</f>
        <v>401.81944956556271</v>
      </c>
      <c r="HA36" s="59">
        <f t="shared" si="52"/>
        <v>292.20785523952651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154.11025641025643</v>
      </c>
      <c r="O37" s="13">
        <f>N37*VLOOKUP('Données projet'!$B$9,Paramètres!$A$1:$I$89,3,0)*VLOOKUP('Données projet'!$B$9,Paramètres!$A$1:$I$89,5,0)</f>
        <v>139.43896000000001</v>
      </c>
      <c r="P37" s="13">
        <f t="shared" si="33"/>
        <v>36.168449088081644</v>
      </c>
      <c r="Q37" s="20">
        <f t="shared" si="53"/>
        <v>305.8495708284089</v>
      </c>
      <c r="R37" s="59">
        <f t="shared" si="0"/>
        <v>599.18290416174227</v>
      </c>
      <c r="S37" s="59">
        <f ca="1">AVERAGE(OFFSET($R$3,0,0,'Données projet'!$E$9+1,1))-AVERAGE(OFFSET($H$3,0,0,'Données projet'!$E$9+1,1))</f>
        <v>384.05928630855732</v>
      </c>
      <c r="T37" s="59">
        <f t="shared" si="34"/>
        <v>279.93992813630513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22.884615384615397</v>
      </c>
      <c r="AI37" s="13">
        <f>IF('Données projet'!$A$62&gt;35,AI36+AH37-AQ36,IF(A37&lt;'Données projet'!$A$62,$AF$205^A37,IF(A37='Données projet'!$A$62,'Données projet'!$B$62,AI36+AH37-AQ36)))</f>
        <v>357.73846153846154</v>
      </c>
      <c r="AJ37" s="13">
        <f>AI37*VLOOKUP('Données projet'!$B$10,Paramètres!$A$1:$I$89,3,0)*VLOOKUP('Données projet'!$B$10,Paramètres!$A$1:$I$89,5,0)</f>
        <v>199.97580000000002</v>
      </c>
      <c r="AK37" s="13">
        <f t="shared" si="35"/>
        <v>49.738849260389202</v>
      </c>
      <c r="AL37" s="20">
        <f t="shared" si="4"/>
        <v>434.91968079517784</v>
      </c>
      <c r="AM37" s="59">
        <f t="shared" si="5"/>
        <v>728.25301412851115</v>
      </c>
      <c r="AN37" s="59">
        <f ca="1">AVERAGE(OFFSET($AM$3,0,0,'Données projet'!$E$10+1,1))-AVERAGE(OFFSET($H$3,0,0,'Données projet'!$E$10+1,1))</f>
        <v>335.04906256888819</v>
      </c>
      <c r="AO37" s="59">
        <f t="shared" si="36"/>
        <v>440.84111898279554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27.31191621908755</v>
      </c>
      <c r="AV37" s="21">
        <f>EXP(-LN(2)/25)*AV36+(1-EXP(-LN(2)/25))/(LN(2)/25)*Calculateur!AQ37*Calculateur!AS37*VLOOKUP('Données projet'!$B$10,Paramètres!$A$1:$I$89,3,0)*0.475*44/12</f>
        <v>16.332747383941374</v>
      </c>
      <c r="AW37" s="21">
        <f>EXP(-LN(2)/2)*AW36+(1-EXP(-LN(2)/2))/(LN(2)/2)*AQ37*AT37*VLOOKUP('Données projet'!$B$10,Paramètres!$A$1:$I$89,3,0)*0.475*44/12</f>
        <v>1.558336412851602</v>
      </c>
      <c r="AX37" s="21">
        <f t="shared" si="6"/>
        <v>45.203000015880527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12.134615384615387</v>
      </c>
      <c r="BD37" s="12">
        <f>IF('Données projet'!$A$88&gt;35,BD36+BC37-BL36,IF(A37&lt;'Données projet'!$A$88,$BA$205^A37,IF(A37='Données projet'!$A$88,'Données projet'!$B$88,BD36+BC37-BL36)))</f>
        <v>214.50000000000003</v>
      </c>
      <c r="BE37" s="13">
        <f>BD37*VLOOKUP('Données projet'!$B$11,Paramètres!$A$1:$I$89,3,0)*VLOOKUP('Données projet'!$B$11,Paramètres!$A$1:$I$89,5,0)</f>
        <v>122.69400000000002</v>
      </c>
      <c r="BF37" s="13">
        <f t="shared" si="37"/>
        <v>32.302516360650685</v>
      </c>
      <c r="BG37" s="20">
        <f t="shared" si="7"/>
        <v>269.95226599479992</v>
      </c>
      <c r="BH37" s="59">
        <f t="shared" si="8"/>
        <v>563.28559932813323</v>
      </c>
      <c r="BI37" s="59">
        <f ca="1">AVERAGE(OFFSET($BH$3,0,0,'Données projet'!$E$11+1,1))-AVERAGE(OFFSET($H$3,0,0,'Données projet'!$E$11+1,1))</f>
        <v>320.76883487964511</v>
      </c>
      <c r="BJ37" s="59">
        <f t="shared" si="38"/>
        <v>290.51177680335746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7.8236982562020438</v>
      </c>
      <c r="BQ37" s="21">
        <f>EXP(-LN(2)/25)*BQ36+(1-EXP(-LN(2)/25))/(LN(2)/25)*Calculateur!BL37*Calculateur!BN37*VLOOKUP('Données projet'!$B$11,Paramètres!$A$1:$I$89,3,0)*0.475*44/12</f>
        <v>13.581081653021451</v>
      </c>
      <c r="BR37" s="21">
        <f>EXP(-LN(2)/2)*BR36+(1-EXP(-LN(2)/2))/(LN(2)/2)*BL37*BO37*VLOOKUP('Données projet'!$B$11,Paramètres!$A$1:$I$89,3,0)*0.475*44/12</f>
        <v>1.1314862272069146</v>
      </c>
      <c r="BS37" s="22">
        <f t="shared" si="9"/>
        <v>22.53626613643041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</v>
      </c>
      <c r="BY37" s="12">
        <f>IF('Données projet'!$A$114&gt;35,BY36+BX37-CG36,IF(A37&lt;'Données projet'!$A$114,$BV$205^A37,IF(A37='Données projet'!$A$114,'Données projet'!$B$114,BY36+BX37-CG36)))</f>
        <v>259.99999999999989</v>
      </c>
      <c r="BZ37" s="13">
        <f>BY37*VLOOKUP('Données projet'!$B$12,Paramètres!$A$1:$I$89,3,0)*VLOOKUP('Données projet'!$B$12,Paramètres!$A$1:$I$89,5,0)</f>
        <v>235.24799999999991</v>
      </c>
      <c r="CA37" s="13">
        <f t="shared" si="39"/>
        <v>57.41592756883739</v>
      </c>
      <c r="CB37" s="20">
        <f t="shared" si="10"/>
        <v>509.72300718239154</v>
      </c>
      <c r="CC37" s="59">
        <f t="shared" si="11"/>
        <v>803.05634051572486</v>
      </c>
      <c r="CD37" s="59">
        <f ca="1">AVERAGE(OFFSET($CC$3,0,0,'Données projet'!$E$12+1,1))-AVERAGE(OFFSET($H$3,0,0,'Données projet'!$E$12+1,1))</f>
        <v>366.69125512029831</v>
      </c>
      <c r="CE37" s="59">
        <f t="shared" si="40"/>
        <v>513.80016421153414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3.1014917087303213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3.1014917087303213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8.0564102564102633</v>
      </c>
      <c r="CT37" s="12">
        <f>IF('Données projet'!$A$140&gt;35,CT36+CS37-DB36,IF(A37&lt;'Données projet'!$A$140,$CQ$205^A37,IF(A37='Données projet'!$A$140,'Données projet'!$B$140,CT36+CS37-DB36)))</f>
        <v>154.11025641025643</v>
      </c>
      <c r="CU37" s="17">
        <f>CT37*VLOOKUP('Données projet'!$B$13,Paramètres!$A$1:$I$89,3,0)*VLOOKUP('Données projet'!$B$13,Paramètres!$A$1:$I$89,5,0)</f>
        <v>103.37716</v>
      </c>
      <c r="CV37" s="13">
        <f t="shared" si="41"/>
        <v>27.764997502646178</v>
      </c>
      <c r="CW37" s="20">
        <f t="shared" si="13"/>
        <v>228.40592431710874</v>
      </c>
      <c r="CX37" s="59">
        <f t="shared" si="14"/>
        <v>521.73925765044203</v>
      </c>
      <c r="CY37" s="59">
        <f ca="1">AVERAGE(OFFSET($CX$3,0,0,'Données projet'!$E$13+1,1))-AVERAGE(OFFSET($H$3,0,0,'Données projet'!$E$13+1,1))</f>
        <v>294.94331863127815</v>
      </c>
      <c r="CZ37" s="59">
        <f t="shared" si="42"/>
        <v>218.36990036643977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161.20000000000002</v>
      </c>
      <c r="DP37" s="17">
        <f>DO37*VLOOKUP('Données projet'!$B$14,Paramètres!$A$1:$I$89,3,0)*VLOOKUP('Données projet'!$B$14,Paramètres!$A$1:$I$89,5,0)</f>
        <v>118.19184000000001</v>
      </c>
      <c r="DQ37" s="13">
        <f t="shared" si="43"/>
        <v>31.252903743281095</v>
      </c>
      <c r="DR37" s="20">
        <f t="shared" si="16"/>
        <v>260.28292868621458</v>
      </c>
      <c r="DS37" s="59">
        <f t="shared" si="17"/>
        <v>553.61626201954789</v>
      </c>
      <c r="DT37" s="59">
        <f ca="1">AVERAGE(OFFSET($DS$3,0,0,'Données projet'!$E$14+1,1))-AVERAGE(OFFSET($H$3,0,0,'Données projet'!$E$14+1,1))</f>
        <v>278.45534008146865</v>
      </c>
      <c r="DU37" s="59">
        <f t="shared" si="44"/>
        <v>272.97841038165217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0.3606223314959342</v>
      </c>
      <c r="EB37" s="21">
        <f>EXP(-LN(2)/25)*EB36+(1-EXP(-LN(2)/25))/(LN(2)/25)*Calculateur!DW37*Calculateur!DY37*VLOOKUP('Données projet'!$B$14,Paramètres!$A$1:$I$89,3,0)*0.475*44/12</f>
        <v>3.0531557568662757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3.4137780883622098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8.0564102564102633</v>
      </c>
      <c r="EJ37" s="12">
        <f>IF('Données projet'!$A$192&gt;35,EJ36+EI37-ER36,IF(A37&lt;'Données projet'!$A$192,$EG$205^A37,IF(A37='Données projet'!$A$192,'Données projet'!$B$192,EJ36+EI37-ER36)))</f>
        <v>154.11025641025643</v>
      </c>
      <c r="EK37" s="17">
        <f>EJ37*VLOOKUP('Données projet'!$B$15,Paramètres!$A$1:$I$89,3,0)*VLOOKUP('Données projet'!$B$15,Paramètres!$A$1:$I$89,5,0)</f>
        <v>165.88428000000002</v>
      </c>
      <c r="EL37" s="13">
        <f t="shared" si="45"/>
        <v>42.166928542858805</v>
      </c>
      <c r="EM37" s="20">
        <f t="shared" si="19"/>
        <v>362.35585487881241</v>
      </c>
      <c r="EN37" s="59">
        <f t="shared" si="20"/>
        <v>655.68918821214572</v>
      </c>
      <c r="EO37" s="59">
        <f ca="1">AVERAGE(OFFSET($EN$3,0,0,'Données projet'!$E$15+1,1))-AVERAGE(OFFSET($H$3,0,0,'Données projet'!$E$15+1,1))</f>
        <v>449.09332781196957</v>
      </c>
      <c r="EP37" s="59">
        <f t="shared" si="46"/>
        <v>324.85904971519432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4.6333333333333337</v>
      </c>
      <c r="FE37" s="12">
        <f>IF('Données projet'!$A$218&gt;35,FE36+FD37-FM36,IF(A37&lt;'Données projet'!$A$218,$FB$205^A37,IF(A37='Données projet'!$A$218,'Données projet'!$B$218,FE36+FD37-FM36)))</f>
        <v>140.22318590795427</v>
      </c>
      <c r="FF37" s="17">
        <f>FE37*VLOOKUP('Données projet'!$B$16,Paramètres!$A$1:$I$89,3,0)*VLOOKUP('Données projet'!$B$16,Paramètres!$A$1:$I$89,5,0)</f>
        <v>142.18631051066563</v>
      </c>
      <c r="FG37" s="13">
        <f t="shared" si="47"/>
        <v>36.797405940057146</v>
      </c>
      <c r="FH37" s="20">
        <f t="shared" si="22"/>
        <v>311.72997281834222</v>
      </c>
      <c r="FI37" s="59">
        <f t="shared" si="23"/>
        <v>605.06330615167553</v>
      </c>
      <c r="FJ37" s="59">
        <f ca="1">AVERAGE(OFFSET($FI$3,0,0,'Données projet'!$E$16+1,1))-AVERAGE(OFFSET($H$3,0,0,'Données projet'!$E$16+1,1))</f>
        <v>419.51168383014721</v>
      </c>
      <c r="FK37" s="59">
        <f t="shared" si="48"/>
        <v>213.44145308833384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10.8</v>
      </c>
      <c r="FZ37" s="12">
        <f>IF('Données projet'!$A$244&gt;35,FZ36+FY37-GH36,IF(A37&lt;'Données projet'!$A$244,$FW$205^A37,IF(A37='Données projet'!$A$244,'Données projet'!$B$244,FZ36+FY37-GH36)))</f>
        <v>161.20000000000002</v>
      </c>
      <c r="GA37" s="17">
        <f>FZ37*VLOOKUP('Données projet'!$B$17,Paramètres!$A$1:$I$89,3,0)*VLOOKUP('Données projet'!$B$17,Paramètres!$A$1:$I$89,5,0)</f>
        <v>140.82432000000003</v>
      </c>
      <c r="GB37" s="13">
        <f t="shared" si="49"/>
        <v>36.485781060837802</v>
      </c>
      <c r="GC37" s="20">
        <f t="shared" si="25"/>
        <v>308.81509268095925</v>
      </c>
      <c r="GD37" s="59">
        <f t="shared" si="26"/>
        <v>602.14842601429257</v>
      </c>
      <c r="GE37" s="59">
        <f ca="1">AVERAGE(OFFSET($GD$3,0,0,'Données projet'!$E$17+1,1))-AVERAGE(OFFSET($H$3,0,0,'Données projet'!$E$17+1,1))</f>
        <v>324.86930206492627</v>
      </c>
      <c r="GF37" s="59">
        <f t="shared" si="50"/>
        <v>317.03005098025352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0.5296027114695363</v>
      </c>
      <c r="GM37" s="21">
        <f>EXP(-LN(2)/25)*GM36+(1-EXP(-LN(2)/25))/(LN(2)/25)*Calculateur!GH37*Calculateur!GJ37*VLOOKUP('Données projet'!$B$17,Paramètres!$A$1:$I$89,3,0)*0.475*44/12</f>
        <v>4.4838032094899107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5.013405920959447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8.0564102564102633</v>
      </c>
      <c r="GU37" s="12">
        <f>IF('Données projet'!$A$270&gt;35,GU36+GT37-HC36,IF(A37&lt;'Données projet'!$A$270,$GR$205^A37,IF(A37='Données projet'!$A$270,'Données projet'!$B$270,GU36+GT37-HC36)))</f>
        <v>154.11025641025643</v>
      </c>
      <c r="GV37" s="17">
        <f>GU37*VLOOKUP('Données projet'!$B$18,Paramètres!$A$1:$I$89,3,0)*VLOOKUP('Données projet'!$B$18,Paramètres!$A$1:$I$89,5,0)</f>
        <v>146.65132000000003</v>
      </c>
      <c r="GW37" s="13">
        <f t="shared" si="51"/>
        <v>37.816589004413501</v>
      </c>
      <c r="GX37" s="20">
        <f t="shared" si="28"/>
        <v>321.28160818268685</v>
      </c>
      <c r="GY37" s="59">
        <f t="shared" si="29"/>
        <v>614.61494151602017</v>
      </c>
      <c r="GZ37" s="59">
        <f ca="1">AVERAGE(OFFSET($GY$3,0,0,'Données projet'!$E$18+1,1))-AVERAGE(OFFSET($H$3,0,0,'Données projet'!$E$18+1,1))</f>
        <v>401.81944956556271</v>
      </c>
      <c r="HA37" s="59">
        <f t="shared" si="52"/>
        <v>292.20785523952651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162.16666666666669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162.16666666666669</v>
      </c>
      <c r="O38" s="13">
        <f>N38*VLOOKUP('Données projet'!$B$9,Paramètres!$A$1:$I$89,3,0)*VLOOKUP('Données projet'!$B$9,Paramètres!$A$1:$I$89,5,0)</f>
        <v>146.72840000000002</v>
      </c>
      <c r="P38" s="13">
        <f t="shared" si="33"/>
        <v>37.834151268675086</v>
      </c>
      <c r="Q38" s="20">
        <f t="shared" si="53"/>
        <v>321.44644345960916</v>
      </c>
      <c r="R38" s="59">
        <f t="shared" si="0"/>
        <v>614.77977679294247</v>
      </c>
      <c r="S38" s="59">
        <f ca="1">AVERAGE(OFFSET($R$3,0,0,'Données projet'!$E$9+1,1))-AVERAGE(OFFSET($H$3,0,0,'Données projet'!$E$9+1,1))</f>
        <v>384.05928630855732</v>
      </c>
      <c r="T38" s="59">
        <f t="shared" si="34"/>
        <v>279.93992813630513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22.884615384615397</v>
      </c>
      <c r="AI38" s="13">
        <f>IF('Données projet'!$A$62&gt;35,AI37+AH38-AQ37,IF(A38&lt;'Données projet'!$A$62,$AF$205^A38,IF(A38='Données projet'!$A$62,'Données projet'!$B$62,AI37+AH38-AQ37)))</f>
        <v>380.62307692307695</v>
      </c>
      <c r="AJ38" s="13">
        <f>AI38*VLOOKUP('Données projet'!$B$10,Paramètres!$A$1:$I$89,3,0)*VLOOKUP('Données projet'!$B$10,Paramètres!$A$1:$I$89,5,0)</f>
        <v>212.76830000000001</v>
      </c>
      <c r="AK38" s="13">
        <f t="shared" si="35"/>
        <v>52.540067037520508</v>
      </c>
      <c r="AL38" s="20">
        <f t="shared" si="4"/>
        <v>462.07873925701483</v>
      </c>
      <c r="AM38" s="59">
        <f t="shared" si="5"/>
        <v>755.41207259034809</v>
      </c>
      <c r="AN38" s="59">
        <f ca="1">AVERAGE(OFFSET($AM$3,0,0,'Données projet'!$E$10+1,1))-AVERAGE(OFFSET($H$3,0,0,'Données projet'!$E$10+1,1))</f>
        <v>335.04906256888819</v>
      </c>
      <c r="AO38" s="59">
        <f t="shared" si="36"/>
        <v>440.84111898279554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26.776346200655233</v>
      </c>
      <c r="AV38" s="21">
        <f>EXP(-LN(2)/25)*AV37+(1-EXP(-LN(2)/25))/(LN(2)/25)*Calculateur!AQ38*Calculateur!AS38*VLOOKUP('Données projet'!$B$10,Paramètres!$A$1:$I$89,3,0)*0.475*44/12</f>
        <v>15.886127547825641</v>
      </c>
      <c r="AW38" s="21">
        <f>EXP(-LN(2)/2)*AW37+(1-EXP(-LN(2)/2))/(LN(2)/2)*AQ38*AT38*VLOOKUP('Données projet'!$B$10,Paramètres!$A$1:$I$89,3,0)*0.475*44/12</f>
        <v>1.1019102448972871</v>
      </c>
      <c r="AX38" s="21">
        <f t="shared" si="6"/>
        <v>43.764383993378168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12.134615384615387</v>
      </c>
      <c r="BD38" s="12">
        <f>IF('Données projet'!$A$88&gt;35,BD37+BC38-BL37,IF(A38&lt;'Données projet'!$A$88,$BA$205^A38,IF(A38='Données projet'!$A$88,'Données projet'!$B$88,BD37+BC38-BL37)))</f>
        <v>226.63461538461542</v>
      </c>
      <c r="BE38" s="13">
        <f>BD38*VLOOKUP('Données projet'!$B$11,Paramètres!$A$1:$I$89,3,0)*VLOOKUP('Données projet'!$B$11,Paramètres!$A$1:$I$89,5,0)</f>
        <v>129.63500000000002</v>
      </c>
      <c r="BF38" s="13">
        <f t="shared" si="37"/>
        <v>33.912004752659435</v>
      </c>
      <c r="BG38" s="20">
        <f t="shared" si="7"/>
        <v>284.84436661088188</v>
      </c>
      <c r="BH38" s="59">
        <f t="shared" si="8"/>
        <v>578.17769994421519</v>
      </c>
      <c r="BI38" s="59">
        <f ca="1">AVERAGE(OFFSET($BH$3,0,0,'Données projet'!$E$11+1,1))-AVERAGE(OFFSET($H$3,0,0,'Données projet'!$E$11+1,1))</f>
        <v>320.76883487964511</v>
      </c>
      <c r="BJ38" s="59">
        <f t="shared" si="38"/>
        <v>290.51177680335746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7.670280305382664</v>
      </c>
      <c r="BQ38" s="21">
        <f>EXP(-LN(2)/25)*BQ37+(1-EXP(-LN(2)/25))/(LN(2)/25)*Calculateur!BL38*Calculateur!BN38*VLOOKUP('Données projet'!$B$11,Paramètres!$A$1:$I$89,3,0)*0.475*44/12</f>
        <v>13.209706261021536</v>
      </c>
      <c r="BR38" s="21">
        <f>EXP(-LN(2)/2)*BR37+(1-EXP(-LN(2)/2))/(LN(2)/2)*BL38*BO38*VLOOKUP('Données projet'!$B$11,Paramètres!$A$1:$I$89,3,0)*0.475*44/12</f>
        <v>0.80008158407719199</v>
      </c>
      <c r="BS38" s="22">
        <f t="shared" si="9"/>
        <v>21.680068150481389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267</v>
      </c>
      <c r="BW38" s="12">
        <f>VLOOKUP(A38,'Données projet'!$A$113:$I$133,9,0)</f>
        <v>7</v>
      </c>
      <c r="BX38" s="12">
        <f t="array" ref="BX38">INDEX(BW:BW,MIN(IF(ISNUMBER(BW38:BW234),ROW(BW38:BW234),"")))</f>
        <v>7</v>
      </c>
      <c r="BY38" s="12">
        <f>IF('Données projet'!$A$114&gt;35,BY37+BX38-CG37,IF(A38&lt;'Données projet'!$A$114,$BV$205^A38,IF(A38='Données projet'!$A$114,'Données projet'!$B$114,BY37+BX38-CG37)))</f>
        <v>266.99999999999989</v>
      </c>
      <c r="BZ38" s="13">
        <f>BY38*VLOOKUP('Données projet'!$B$12,Paramètres!$A$1:$I$89,3,0)*VLOOKUP('Données projet'!$B$12,Paramètres!$A$1:$I$89,5,0)</f>
        <v>241.5815999999999</v>
      </c>
      <c r="CA38" s="13">
        <f t="shared" si="39"/>
        <v>58.779689232021951</v>
      </c>
      <c r="CB38" s="20">
        <f t="shared" si="10"/>
        <v>523.12924541243797</v>
      </c>
      <c r="CC38" s="59">
        <f t="shared" si="11"/>
        <v>816.46257874577122</v>
      </c>
      <c r="CD38" s="59">
        <f ca="1">AVERAGE(OFFSET($CC$3,0,0,'Données projet'!$E$12+1,1))-AVERAGE(OFFSET($H$3,0,0,'Données projet'!$E$12+1,1))</f>
        <v>366.69125512029831</v>
      </c>
      <c r="CE38" s="59">
        <f t="shared" si="40"/>
        <v>513.80016421153414</v>
      </c>
      <c r="CF38" s="15">
        <f>IF(ISNA(VLOOKUP(A38,'Données projet'!$A$113:$I$133,3,0)),0,VLOOKUP(A38,'Données projet'!$A$113:$I$133,3,0))</f>
        <v>7</v>
      </c>
      <c r="CG38" s="15">
        <f>IF(ISNA(VLOOKUP(A38,'Données projet'!$A$113:$I$133,4,0)),0,VLOOKUP(A38,'Données projet'!$A$113:$I$133,4,0))</f>
        <v>9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0.15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4.3616745292288686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4.3616745292288686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162.16666666666669</v>
      </c>
      <c r="CR38" s="12">
        <f>VLOOKUP(A38,'Données projet'!$A$139:$I$159,9,0)</f>
        <v>8.0564102564102633</v>
      </c>
      <c r="CS38" s="12">
        <f t="array" ref="CS38">INDEX(CR:CR,MIN(IF(ISNUMBER(CR38:CR234),ROW(CR38:CR234),"")))</f>
        <v>8.0564102564102633</v>
      </c>
      <c r="CT38" s="12">
        <f>IF('Données projet'!$A$140&gt;35,CT37+CS38-DB37,IF(A38&lt;'Données projet'!$A$140,$CQ$205^A38,IF(A38='Données projet'!$A$140,'Données projet'!$B$140,CT37+CS38-DB37)))</f>
        <v>162.16666666666669</v>
      </c>
      <c r="CU38" s="17">
        <f>CT38*VLOOKUP('Données projet'!$B$13,Paramètres!$A$1:$I$89,3,0)*VLOOKUP('Données projet'!$B$13,Paramètres!$A$1:$I$89,5,0)</f>
        <v>108.7814</v>
      </c>
      <c r="CV38" s="13">
        <f t="shared" si="41"/>
        <v>29.043687024878693</v>
      </c>
      <c r="CW38" s="20">
        <f t="shared" si="13"/>
        <v>240.04535990166377</v>
      </c>
      <c r="CX38" s="59">
        <f t="shared" si="14"/>
        <v>533.37869323499706</v>
      </c>
      <c r="CY38" s="59">
        <f ca="1">AVERAGE(OFFSET($CX$3,0,0,'Données projet'!$E$13+1,1))-AVERAGE(OFFSET($H$3,0,0,'Données projet'!$E$13+1,1))</f>
        <v>294.94331863127815</v>
      </c>
      <c r="CZ38" s="59">
        <f t="shared" si="42"/>
        <v>218.36990036643977</v>
      </c>
      <c r="DA38" s="15">
        <f>IF(ISNA(VLOOKUP(A38,'Données projet'!$A$139:$I$159,3,0)),0,VLOOKUP(A38,'Données projet'!$A$139:$I$159,3,0))</f>
        <v>1</v>
      </c>
      <c r="DB38" s="15">
        <f>IF(ISNA(VLOOKUP(A38,'Données projet'!$A$139:$I$159,4,0)),0,VLOOKUP(A38,'Données projet'!$A$139:$I$159,4,0))</f>
        <v>60.602564102564102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172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172.00000000000003</v>
      </c>
      <c r="DP38" s="17">
        <f>DO38*VLOOKUP('Données projet'!$B$14,Paramètres!$A$1:$I$89,3,0)*VLOOKUP('Données projet'!$B$14,Paramètres!$A$1:$I$89,5,0)</f>
        <v>126.11040000000001</v>
      </c>
      <c r="DQ38" s="13">
        <f t="shared" si="43"/>
        <v>33.096004194977873</v>
      </c>
      <c r="DR38" s="20">
        <f t="shared" si="16"/>
        <v>277.28448730625314</v>
      </c>
      <c r="DS38" s="59">
        <f t="shared" si="17"/>
        <v>570.6178206395864</v>
      </c>
      <c r="DT38" s="59">
        <f ca="1">AVERAGE(OFFSET($DS$3,0,0,'Données projet'!$E$14+1,1))-AVERAGE(OFFSET($H$3,0,0,'Données projet'!$E$14+1,1))</f>
        <v>278.45534008146865</v>
      </c>
      <c r="DU38" s="59">
        <f t="shared" si="44"/>
        <v>272.97841038165217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7.7399999999999997E-2</v>
      </c>
      <c r="DY38" s="16">
        <f>IF(ISNA(VLOOKUP(A38,'Données projet'!$A$165:$I$185,6,0)),0%,VLOOKUP(A38,'Données projet'!$A$165:$I$185,6,0)*VLOOKUP('Données projet'!$B$14,Paramètres!$A$1:$I$89,7,0))</f>
        <v>0.18489999999999998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2.1101332755964592</v>
      </c>
      <c r="EB38" s="21">
        <f>EXP(-LN(2)/25)*EB37+(1-EXP(-LN(2)/25))/(LN(2)/25)*Calculateur!DW38*Calculateur!DY38*VLOOKUP('Données projet'!$B$14,Paramètres!$A$1:$I$89,3,0)*0.475*44/12</f>
        <v>7.1494251806703835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9.2595584562668432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162.16666666666669</v>
      </c>
      <c r="EH38" s="12">
        <f>VLOOKUP(A38,'Données projet'!$A$191:$I$211,9,0)</f>
        <v>8.0564102564102633</v>
      </c>
      <c r="EI38" s="12">
        <f t="array" ref="EI38">INDEX(EH:EH,MIN(IF(ISNUMBER(EH38:EH234),ROW(EH38:EH234),"")))</f>
        <v>8.0564102564102633</v>
      </c>
      <c r="EJ38" s="12">
        <f>IF('Données projet'!$A$192&gt;35,EJ37+EI38-ER37,IF(A38&lt;'Données projet'!$A$192,$EG$205^A38,IF(A38='Données projet'!$A$192,'Données projet'!$B$192,EJ37+EI38-ER37)))</f>
        <v>162.16666666666669</v>
      </c>
      <c r="EK38" s="17">
        <f>EJ38*VLOOKUP('Données projet'!$B$15,Paramètres!$A$1:$I$89,3,0)*VLOOKUP('Données projet'!$B$15,Paramètres!$A$1:$I$89,5,0)</f>
        <v>174.55620000000002</v>
      </c>
      <c r="EL38" s="13">
        <f t="shared" si="45"/>
        <v>44.108884766962227</v>
      </c>
      <c r="EM38" s="20">
        <f t="shared" si="19"/>
        <v>380.8416893024592</v>
      </c>
      <c r="EN38" s="59">
        <f t="shared" si="20"/>
        <v>674.17502263579252</v>
      </c>
      <c r="EO38" s="59">
        <f ca="1">AVERAGE(OFFSET($EN$3,0,0,'Données projet'!$E$15+1,1))-AVERAGE(OFFSET($H$3,0,0,'Données projet'!$E$15+1,1))</f>
        <v>449.09332781196957</v>
      </c>
      <c r="EP38" s="59">
        <f t="shared" si="46"/>
        <v>324.85904971519432</v>
      </c>
      <c r="EQ38" s="15">
        <f>IF(ISNA(VLOOKUP(A38,'Données projet'!$A$191:$I$211,3,0)),0,VLOOKUP(A38,'Données projet'!$A$191:$I$211,3,0))</f>
        <v>1</v>
      </c>
      <c r="ER38" s="15">
        <f>IF(ISNA(VLOOKUP(A38,'Données projet'!$A$191:$I$211,4,0)),0,VLOOKUP(A38,'Données projet'!$A$191:$I$211,4,0))</f>
        <v>60.602564102564102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162.16666666666669</v>
      </c>
      <c r="FC38" s="12">
        <f>VLOOKUP(A38,'Données projet'!$A$217:$I$237,9,0)</f>
        <v>4.6333333333333337</v>
      </c>
      <c r="FD38" s="12">
        <f t="array" ref="FD38">INDEX(FC:FC,MIN(IF(ISNUMBER(FC38:FC234),ROW(FC38:FC234),"")))</f>
        <v>4.6333333333333337</v>
      </c>
      <c r="FE38" s="12">
        <f>IF('Données projet'!$A$218&gt;35,FE37+FD38-FM37,IF(A38&lt;'Données projet'!$A$218,$FB$205^A38,IF(A38='Données projet'!$A$218,'Données projet'!$B$218,FE37+FD38-FM37)))</f>
        <v>162.16666666666669</v>
      </c>
      <c r="FF38" s="17">
        <f>FE38*VLOOKUP('Données projet'!$B$16,Paramètres!$A$1:$I$89,3,0)*VLOOKUP('Données projet'!$B$16,Paramètres!$A$1:$I$89,5,0)</f>
        <v>164.43700000000001</v>
      </c>
      <c r="FG38" s="13">
        <f t="shared" si="47"/>
        <v>41.841694355997333</v>
      </c>
      <c r="FH38" s="20">
        <f t="shared" si="22"/>
        <v>359.26872600336202</v>
      </c>
      <c r="FI38" s="59">
        <f t="shared" si="23"/>
        <v>652.60205933669533</v>
      </c>
      <c r="FJ38" s="59">
        <f ca="1">AVERAGE(OFFSET($FI$3,0,0,'Données projet'!$E$16+1,1))-AVERAGE(OFFSET($H$3,0,0,'Données projet'!$E$16+1,1))</f>
        <v>419.51168383014721</v>
      </c>
      <c r="FK38" s="59">
        <f t="shared" si="48"/>
        <v>213.44145308833384</v>
      </c>
      <c r="FL38" s="15">
        <f>IF(ISNA(VLOOKUP(A38,'Données projet'!$A$217:$I$237,3,0)),0,VLOOKUP(A38,'Données projet'!$A$217:$I$237,3,0))</f>
        <v>1</v>
      </c>
      <c r="FM38" s="15">
        <f>IF(ISNA(VLOOKUP(A38,'Données projet'!$A$217:$I$237,4,0)),0,VLOOKUP(A38,'Données projet'!$A$217:$I$237,4,0))</f>
        <v>60.602564102564102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172</v>
      </c>
      <c r="FX38" s="12">
        <f>VLOOKUP(A38,'Données projet'!$A$243:$I$263,9,0)</f>
        <v>10.8</v>
      </c>
      <c r="FY38" s="12">
        <f t="array" ref="FY38">INDEX(FX:FX,MIN(IF(ISNUMBER(FX38:FX234),ROW(FX38:FX234),"")))</f>
        <v>10.8</v>
      </c>
      <c r="FZ38" s="12">
        <f>IF('Données projet'!$A$244&gt;35,FZ37+FY38-GH37,IF(A38&lt;'Données projet'!$A$244,$FW$205^A38,IF(A38='Données projet'!$A$244,'Données projet'!$B$244,FZ37+FY38-GH37)))</f>
        <v>172.00000000000003</v>
      </c>
      <c r="GA38" s="17">
        <f>FZ38*VLOOKUP('Données projet'!$B$17,Paramètres!$A$1:$I$89,3,0)*VLOOKUP('Données projet'!$B$17,Paramètres!$A$1:$I$89,5,0)</f>
        <v>150.25920000000005</v>
      </c>
      <c r="GB38" s="13">
        <f t="shared" si="49"/>
        <v>38.637483830798729</v>
      </c>
      <c r="GC38" s="20">
        <f t="shared" si="25"/>
        <v>328.99505767197456</v>
      </c>
      <c r="GD38" s="59">
        <f t="shared" si="26"/>
        <v>622.32839100530782</v>
      </c>
      <c r="GE38" s="59">
        <f ca="1">AVERAGE(OFFSET($GD$3,0,0,'Données projet'!$E$17+1,1))-AVERAGE(OFFSET($H$3,0,0,'Données projet'!$E$17+1,1))</f>
        <v>324.86930206492627</v>
      </c>
      <c r="GF38" s="59">
        <f t="shared" si="50"/>
        <v>317.03005098025352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28</v>
      </c>
      <c r="GI38" s="16">
        <f>IF(ISNA(VLOOKUP(A38,'Données projet'!$A$243:$I$263,5,0)),0%,VLOOKUP(A38,'Données projet'!$A$243:$I$263,5,0)*VLOOKUP('Données projet'!$B$17,Paramètres!$A$1:$I$89,7,0))</f>
        <v>9.5399999999999999E-2</v>
      </c>
      <c r="GJ38" s="16">
        <f>IF(ISNA(VLOOKUP(A38,'Données projet'!$A$243:$I$263,6,0)),0%,VLOOKUP(A38,'Données projet'!$A$243:$I$263,6,0)*VLOOKUP('Données projet'!$B$17,Paramètres!$A$1:$I$89,7,0))</f>
        <v>0.22790000000000002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3.0988993379368091</v>
      </c>
      <c r="GM38" s="21">
        <f>EXP(-LN(2)/25)*GM37+(1-EXP(-LN(2)/25))/(LN(2)/25)*Calculateur!GH38*Calculateur!GJ38*VLOOKUP('Données projet'!$B$17,Paramètres!$A$1:$I$89,3,0)*0.475*44/12</f>
        <v>10.499502195066654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13.598401533003463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162.16666666666669</v>
      </c>
      <c r="GS38" s="12">
        <f>VLOOKUP(A38,'Données projet'!$A$269:$I$289,9,0)</f>
        <v>8.0564102564102633</v>
      </c>
      <c r="GT38" s="12">
        <f t="array" ref="GT38">INDEX(GS:GS,MIN(IF(ISNUMBER(GS38:GS234),ROW(GS38:GS234),"")))</f>
        <v>8.0564102564102633</v>
      </c>
      <c r="GU38" s="12">
        <f>IF('Données projet'!$A$270&gt;35,GU37+GT38-HC37,IF(A38&lt;'Données projet'!$A$270,$GR$205^A38,IF(A38='Données projet'!$A$270,'Données projet'!$B$270,GU37+GT38-HC37)))</f>
        <v>162.16666666666669</v>
      </c>
      <c r="GV38" s="17">
        <f>GU38*VLOOKUP('Données projet'!$B$18,Paramètres!$A$1:$I$89,3,0)*VLOOKUP('Données projet'!$B$18,Paramètres!$A$1:$I$89,5,0)</f>
        <v>154.31780000000003</v>
      </c>
      <c r="GW38" s="13">
        <f t="shared" si="51"/>
        <v>39.558194640139106</v>
      </c>
      <c r="GX38" s="20">
        <f t="shared" si="28"/>
        <v>337.66735733157566</v>
      </c>
      <c r="GY38" s="59">
        <f t="shared" si="29"/>
        <v>631.00069066490892</v>
      </c>
      <c r="GZ38" s="59">
        <f ca="1">AVERAGE(OFFSET($GY$3,0,0,'Données projet'!$E$18+1,1))-AVERAGE(OFFSET($H$3,0,0,'Données projet'!$E$18+1,1))</f>
        <v>401.81944956556271</v>
      </c>
      <c r="HA38" s="59">
        <f t="shared" si="52"/>
        <v>292.20785523952651</v>
      </c>
      <c r="HB38" s="15">
        <f>IF(ISNA(VLOOKUP(A38,'Données projet'!$A$269:$I$289,3,0)),0,VLOOKUP(A38,'Données projet'!$A$269:$I$289,3,0))</f>
        <v>1</v>
      </c>
      <c r="HC38" s="15">
        <f>IF(ISNA(VLOOKUP(A38,'Données projet'!$A$269:$I$289,4,0)),0,VLOOKUP(A38,'Données projet'!$A$269:$I$289,4,0))</f>
        <v>60.602564102564102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0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9.3141025641025621</v>
      </c>
      <c r="N39" s="13">
        <f>IF('Données projet'!$A$36&gt;35,N38+M39-V38,IF(A39&lt;'Données projet'!$A$36,$K$205^A39,IF(A39='Données projet'!$A$36,'Données projet'!$B$36,N38+M39-V38)))</f>
        <v>110.87820512820515</v>
      </c>
      <c r="O39" s="13">
        <f>N39*VLOOKUP('Données projet'!$B$9,Paramètres!$A$1:$I$89,3,0)*VLOOKUP('Données projet'!$B$9,Paramètres!$A$1:$I$89,5,0)</f>
        <v>100.32260000000002</v>
      </c>
      <c r="P39" s="13">
        <f t="shared" si="33"/>
        <v>27.038838137326771</v>
      </c>
      <c r="Q39" s="20">
        <f t="shared" si="53"/>
        <v>221.82117142251082</v>
      </c>
      <c r="R39" s="59">
        <f t="shared" si="0"/>
        <v>515.15450475584407</v>
      </c>
      <c r="S39" s="59">
        <f ca="1">AVERAGE(OFFSET($R$3,0,0,'Données projet'!$E$9+1,1))-AVERAGE(OFFSET($H$3,0,0,'Données projet'!$E$9+1,1))</f>
        <v>384.05928630855732</v>
      </c>
      <c r="T39" s="59">
        <f t="shared" si="34"/>
        <v>279.93992813630513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403.50769230769237</v>
      </c>
      <c r="AG39" s="12">
        <f>VLOOKUP(A39,'Données projet'!$A$61:$I$81,9,0)</f>
        <v>22.884615384615397</v>
      </c>
      <c r="AH39" s="12">
        <f t="array" ref="AH39">INDEX(AG:AG,MIN(IF(ISNUMBER(AG39:AG235),ROW(AG39:AG235),"")))</f>
        <v>22.884615384615397</v>
      </c>
      <c r="AI39" s="13">
        <f>IF('Données projet'!$A$62&gt;35,AI38+AH39-AQ38,IF(A39&lt;'Données projet'!$A$62,$AF$205^A39,IF(A39='Données projet'!$A$62,'Données projet'!$B$62,AI38+AH39-AQ38)))</f>
        <v>403.50769230769237</v>
      </c>
      <c r="AJ39" s="13">
        <f>AI39*VLOOKUP('Données projet'!$B$10,Paramètres!$A$1:$I$89,3,0)*VLOOKUP('Données projet'!$B$10,Paramètres!$A$1:$I$89,5,0)</f>
        <v>225.56080000000003</v>
      </c>
      <c r="AK39" s="13">
        <f t="shared" si="35"/>
        <v>55.321736658663667</v>
      </c>
      <c r="AL39" s="20">
        <f t="shared" si="4"/>
        <v>489.20375134717256</v>
      </c>
      <c r="AM39" s="59">
        <f t="shared" si="5"/>
        <v>782.53708468050581</v>
      </c>
      <c r="AN39" s="59">
        <f ca="1">AVERAGE(OFFSET($AM$3,0,0,'Données projet'!$E$10+1,1))-AVERAGE(OFFSET($H$3,0,0,'Données projet'!$E$10+1,1))</f>
        <v>335.04906256888819</v>
      </c>
      <c r="AO39" s="59">
        <f t="shared" si="36"/>
        <v>440.84111898279554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69.3</v>
      </c>
      <c r="AR39" s="16">
        <f>IF(ISNA(VLOOKUP(A39,'Données projet'!$A$61:$I$81,5,0)),0%,VLOOKUP(A39,'Données projet'!$A$61:$I$81,5,0)*VLOOKUP('Données projet'!$B$10,Paramètres!$A$1:$I$89,7,0))</f>
        <v>0.38500000000000001</v>
      </c>
      <c r="AS39" s="16">
        <f>IF(ISNA(VLOOKUP(A39,'Données projet'!$A$61:$I$81,6,0)),0%,VLOOKUP(A39,'Données projet'!$A$61:$I$81,6,0)*VLOOKUP('Données projet'!$B$10,Paramètres!$A$1:$I$89,7,0))</f>
        <v>9.240000000000001E-2</v>
      </c>
      <c r="AT39" s="16">
        <f>IF(ISNA(VLOOKUP(A39,'Données projet'!$A$61:$I$81,7,0)),0%,VLOOKUP(A39,'Données projet'!$A$61:$I$81,7,0))</f>
        <v>0.13200000000000001</v>
      </c>
      <c r="AU39" s="21">
        <f>EXP(-LN(2)/35)*AU38+(1-EXP(-LN(2)/35))/(LN(2)/35)*AQ39*AR39*VLOOKUP('Données projet'!$B$10,Paramètres!$A$1:$I$89,3,0)*0.475*44/12</f>
        <v>46.036190634544177</v>
      </c>
      <c r="AV39" s="21">
        <f>EXP(-LN(2)/25)*AV38+(1-EXP(-LN(2)/25))/(LN(2)/25)*Calculateur!AQ39*Calculateur!AS39*VLOOKUP('Données projet'!$B$10,Paramètres!$A$1:$I$89,3,0)*0.475*44/12</f>
        <v>20.181403317675393</v>
      </c>
      <c r="AW39" s="21">
        <f>EXP(-LN(2)/2)*AW38+(1-EXP(-LN(2)/2))/(LN(2)/2)*AQ39*AT39*VLOOKUP('Données projet'!$B$10,Paramètres!$A$1:$I$89,3,0)*0.475*44/12</f>
        <v>6.5688475705786837</v>
      </c>
      <c r="AX39" s="21">
        <f t="shared" si="6"/>
        <v>72.786441522798256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238.76923076923077</v>
      </c>
      <c r="BB39" s="12">
        <f>VLOOKUP(A39,'Données projet'!$A$87:$I$107,9,0)</f>
        <v>12.134615384615387</v>
      </c>
      <c r="BC39" s="12">
        <f t="array" ref="BC39">INDEX(BB:BB,MIN(IF(ISNUMBER(BB39:BB235),ROW(BB39:BB235),"")))</f>
        <v>12.134615384615387</v>
      </c>
      <c r="BD39" s="12">
        <f>IF('Données projet'!$A$88&gt;35,BD38+BC39-BL38,IF(A39&lt;'Données projet'!$A$88,$BA$205^A39,IF(A39='Données projet'!$A$88,'Données projet'!$B$88,BD38+BC39-BL38)))</f>
        <v>238.7692307692308</v>
      </c>
      <c r="BE39" s="13">
        <f>BD39*VLOOKUP('Données projet'!$B$11,Paramètres!$A$1:$I$89,3,0)*VLOOKUP('Données projet'!$B$11,Paramètres!$A$1:$I$89,5,0)</f>
        <v>136.57600000000002</v>
      </c>
      <c r="BF39" s="13">
        <f t="shared" si="37"/>
        <v>35.511488375527719</v>
      </c>
      <c r="BG39" s="20">
        <f t="shared" si="7"/>
        <v>299.71904225404415</v>
      </c>
      <c r="BH39" s="59">
        <f t="shared" si="8"/>
        <v>593.05237558737747</v>
      </c>
      <c r="BI39" s="59">
        <f ca="1">AVERAGE(OFFSET($BH$3,0,0,'Données projet'!$E$11+1,1))-AVERAGE(OFFSET($H$3,0,0,'Données projet'!$E$11+1,1))</f>
        <v>320.76883487964511</v>
      </c>
      <c r="BJ39" s="59">
        <f t="shared" si="38"/>
        <v>290.51177680335746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35.084615384615383</v>
      </c>
      <c r="BM39" s="16">
        <f>IF(ISNA(VLOOKUP(A39,'Données projet'!$A$87:$I$107,5,0)),0%,VLOOKUP(A39,'Données projet'!$A$87:$I$107,5,0)*VLOOKUP('Données projet'!$B$11,Paramètres!$A$1:$I$89,7,0))</f>
        <v>0.315</v>
      </c>
      <c r="BN39" s="16">
        <f>IF(ISNA(VLOOKUP(A39,'Données projet'!$A$87:$I$107,6,0)),0%,VLOOKUP(A39,'Données projet'!$A$87:$I$107,6,0)*VLOOKUP('Données projet'!$B$11,Paramètres!$A$1:$I$89,7,0))</f>
        <v>7.6500000000000012E-2</v>
      </c>
      <c r="BO39" s="16">
        <f>IF(ISNA(VLOOKUP(A39,'Données projet'!$A$87:$I$107,7,0)),0%,VLOOKUP(A39,'Données projet'!$A$87:$I$107,7,0))</f>
        <v>0.13</v>
      </c>
      <c r="BP39" s="21">
        <f>EXP(-LN(2)/35)*BP38+(1-EXP(-LN(2)/35))/(LN(2)/35)*BL39*BM39*VLOOKUP('Données projet'!$B$11,Paramètres!$A$1:$I$89,3,0)*0.475*44/12</f>
        <v>15.905809014029145</v>
      </c>
      <c r="BQ39" s="21">
        <f>EXP(-LN(2)/25)*BQ38+(1-EXP(-LN(2)/25))/(LN(2)/25)*Calculateur!BL39*Calculateur!BN39*VLOOKUP('Données projet'!$B$11,Paramètres!$A$1:$I$89,3,0)*0.475*44/12</f>
        <v>14.877052335500855</v>
      </c>
      <c r="BR39" s="21">
        <f>EXP(-LN(2)/2)*BR38+(1-EXP(-LN(2)/2))/(LN(2)/2)*BL39*BO39*VLOOKUP('Données projet'!$B$11,Paramètres!$A$1:$I$89,3,0)*0.475*44/12</f>
        <v>3.5196148967618734</v>
      </c>
      <c r="BS39" s="22">
        <f t="shared" si="9"/>
        <v>34.302476246291874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6.2</v>
      </c>
      <c r="BY39" s="12">
        <f>IF('Données projet'!$A$114&gt;35,BY38+BX39-CG38,IF(A39&lt;'Données projet'!$A$114,$BV$205^A39,IF(A39='Données projet'!$A$114,'Données projet'!$B$114,BY38+BX39-CG38)))</f>
        <v>264.19999999999987</v>
      </c>
      <c r="BZ39" s="13">
        <f>BY39*VLOOKUP('Données projet'!$B$12,Paramètres!$A$1:$I$89,3,0)*VLOOKUP('Données projet'!$B$12,Paramètres!$A$1:$I$89,5,0)</f>
        <v>239.04815999999985</v>
      </c>
      <c r="CA39" s="13">
        <f t="shared" si="39"/>
        <v>58.234690128947292</v>
      </c>
      <c r="CB39" s="20">
        <f t="shared" si="10"/>
        <v>517.76763064124964</v>
      </c>
      <c r="CC39" s="59">
        <f t="shared" si="11"/>
        <v>811.10096397458301</v>
      </c>
      <c r="CD39" s="59">
        <f ca="1">AVERAGE(OFFSET($CC$3,0,0,'Données projet'!$E$12+1,1))-AVERAGE(OFFSET($H$3,0,0,'Données projet'!$E$12+1,1))</f>
        <v>366.69125512029831</v>
      </c>
      <c r="CE39" s="59">
        <f t="shared" si="40"/>
        <v>513.80016421153414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4.2424043098566102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4.2424043098566102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9.3141025641025621</v>
      </c>
      <c r="CT39" s="12">
        <f>IF('Données projet'!$A$140&gt;35,CT38+CS39-DB38,IF(A39&lt;'Données projet'!$A$140,$CQ$205^A39,IF(A39='Données projet'!$A$140,'Données projet'!$B$140,CT38+CS39-DB38)))</f>
        <v>110.87820512820515</v>
      </c>
      <c r="CU39" s="17">
        <f>CT39*VLOOKUP('Données projet'!$B$13,Paramètres!$A$1:$I$89,3,0)*VLOOKUP('Données projet'!$B$13,Paramètres!$A$1:$I$89,5,0)</f>
        <v>74.377100000000013</v>
      </c>
      <c r="CV39" s="13">
        <f t="shared" si="41"/>
        <v>20.756579070588824</v>
      </c>
      <c r="CW39" s="20">
        <f t="shared" si="13"/>
        <v>165.69115771460889</v>
      </c>
      <c r="CX39" s="59">
        <f t="shared" si="14"/>
        <v>459.02449104794221</v>
      </c>
      <c r="CY39" s="59">
        <f ca="1">AVERAGE(OFFSET($CX$3,0,0,'Données projet'!$E$13+1,1))-AVERAGE(OFFSET($H$3,0,0,'Données projet'!$E$13+1,1))</f>
        <v>294.94331863127815</v>
      </c>
      <c r="CZ39" s="59">
        <f t="shared" si="42"/>
        <v>218.36990036643977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153.60000000000002</v>
      </c>
      <c r="DP39" s="17">
        <f>DO39*VLOOKUP('Données projet'!$B$14,Paramètres!$A$1:$I$89,3,0)*VLOOKUP('Données projet'!$B$14,Paramètres!$A$1:$I$89,5,0)</f>
        <v>112.61952000000001</v>
      </c>
      <c r="DQ39" s="13">
        <f t="shared" si="43"/>
        <v>29.947316013837597</v>
      </c>
      <c r="DR39" s="20">
        <f t="shared" si="16"/>
        <v>248.30390605743386</v>
      </c>
      <c r="DS39" s="59">
        <f t="shared" si="17"/>
        <v>541.63723939076715</v>
      </c>
      <c r="DT39" s="59">
        <f ca="1">AVERAGE(OFFSET($DS$3,0,0,'Données projet'!$E$14+1,1))-AVERAGE(OFFSET($H$3,0,0,'Données projet'!$E$14+1,1))</f>
        <v>278.45534008146865</v>
      </c>
      <c r="DU39" s="59">
        <f t="shared" si="44"/>
        <v>272.97841038165217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2.0687548491162246</v>
      </c>
      <c r="EB39" s="21">
        <f>EXP(-LN(2)/25)*EB38+(1-EXP(-LN(2)/25))/(LN(2)/25)*Calculateur!DW39*Calculateur!DY39*VLOOKUP('Données projet'!$B$14,Paramètres!$A$1:$I$89,3,0)*0.475*44/12</f>
        <v>6.9539237731330221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9.0226786222492468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9.3141025641025621</v>
      </c>
      <c r="EJ39" s="12">
        <f>IF('Données projet'!$A$192&gt;35,EJ38+EI39-ER38,IF(A39&lt;'Données projet'!$A$192,$EG$205^A39,IF(A39='Données projet'!$A$192,'Données projet'!$B$192,EJ38+EI39-ER38)))</f>
        <v>110.87820512820515</v>
      </c>
      <c r="EK39" s="17">
        <f>EJ39*VLOOKUP('Données projet'!$B$15,Paramètres!$A$1:$I$89,3,0)*VLOOKUP('Données projet'!$B$15,Paramètres!$A$1:$I$89,5,0)</f>
        <v>119.34930000000001</v>
      </c>
      <c r="EL39" s="13">
        <f t="shared" si="45"/>
        <v>31.523186212435331</v>
      </c>
      <c r="EM39" s="20">
        <f t="shared" si="19"/>
        <v>262.76958015332491</v>
      </c>
      <c r="EN39" s="59">
        <f t="shared" si="20"/>
        <v>556.10291348665828</v>
      </c>
      <c r="EO39" s="59">
        <f ca="1">AVERAGE(OFFSET($EN$3,0,0,'Données projet'!$E$15+1,1))-AVERAGE(OFFSET($H$3,0,0,'Données projet'!$E$15+1,1))</f>
        <v>449.09332781196957</v>
      </c>
      <c r="EP39" s="59">
        <f t="shared" si="46"/>
        <v>324.85904971519432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9.3141025641025621</v>
      </c>
      <c r="FE39" s="12">
        <f>IF('Données projet'!$A$218&gt;35,FE38+FD39-FM38,IF(A39&lt;'Données projet'!$A$218,$FB$205^A39,IF(A39='Données projet'!$A$218,'Données projet'!$B$218,FE38+FD39-FM38)))</f>
        <v>110.87820512820515</v>
      </c>
      <c r="FF39" s="17">
        <f>FE39*VLOOKUP('Données projet'!$B$16,Paramètres!$A$1:$I$89,3,0)*VLOOKUP('Données projet'!$B$16,Paramètres!$A$1:$I$89,5,0)</f>
        <v>112.43050000000004</v>
      </c>
      <c r="FG39" s="13">
        <f t="shared" si="47"/>
        <v>29.902898919263393</v>
      </c>
      <c r="FH39" s="20">
        <f t="shared" si="22"/>
        <v>247.89733645105048</v>
      </c>
      <c r="FI39" s="59">
        <f t="shared" si="23"/>
        <v>541.23066978438374</v>
      </c>
      <c r="FJ39" s="59">
        <f ca="1">AVERAGE(OFFSET($FI$3,0,0,'Données projet'!$E$16+1,1))-AVERAGE(OFFSET($H$3,0,0,'Données projet'!$E$16+1,1))</f>
        <v>419.51168383014721</v>
      </c>
      <c r="FK39" s="59">
        <f t="shared" si="48"/>
        <v>213.44145308833384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9.6</v>
      </c>
      <c r="FZ39" s="12">
        <f>IF('Données projet'!$A$244&gt;35,FZ38+FY39-GH38,IF(A39&lt;'Données projet'!$A$244,$FW$205^A39,IF(A39='Données projet'!$A$244,'Données projet'!$B$244,FZ38+FY39-GH38)))</f>
        <v>153.60000000000002</v>
      </c>
      <c r="GA39" s="17">
        <f>FZ39*VLOOKUP('Données projet'!$B$17,Paramètres!$A$1:$I$89,3,0)*VLOOKUP('Données projet'!$B$17,Paramètres!$A$1:$I$89,5,0)</f>
        <v>134.18496000000005</v>
      </c>
      <c r="GB39" s="13">
        <f t="shared" si="49"/>
        <v>34.961590270648216</v>
      </c>
      <c r="GC39" s="20">
        <f t="shared" si="25"/>
        <v>294.59690838804573</v>
      </c>
      <c r="GD39" s="59">
        <f t="shared" si="26"/>
        <v>587.93024172137905</v>
      </c>
      <c r="GE39" s="59">
        <f ca="1">AVERAGE(OFFSET($GD$3,0,0,'Données projet'!$E$17+1,1))-AVERAGE(OFFSET($H$3,0,0,'Données projet'!$E$17+1,1))</f>
        <v>324.86930206492627</v>
      </c>
      <c r="GF39" s="59">
        <f t="shared" si="50"/>
        <v>317.03005098025352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3.0381318120618284</v>
      </c>
      <c r="GM39" s="21">
        <f>EXP(-LN(2)/25)*GM38+(1-EXP(-LN(2)/25))/(LN(2)/25)*Calculateur!GH39*Calculateur!GJ39*VLOOKUP('Données projet'!$B$17,Paramètres!$A$1:$I$89,3,0)*0.475*44/12</f>
        <v>10.212392755397733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13.250524567459561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9.3141025641025621</v>
      </c>
      <c r="GU39" s="12">
        <f>IF('Données projet'!$A$270&gt;35,GU38+GT39-HC38,IF(A39&lt;'Données projet'!$A$270,$GR$205^A39,IF(A39='Données projet'!$A$270,'Données projet'!$B$270,GU38+GT39-HC38)))</f>
        <v>110.87820512820515</v>
      </c>
      <c r="GV39" s="17">
        <f>GU39*VLOOKUP('Données projet'!$B$18,Paramètres!$A$1:$I$89,3,0)*VLOOKUP('Données projet'!$B$18,Paramètres!$A$1:$I$89,5,0)</f>
        <v>105.51170000000003</v>
      </c>
      <c r="GW39" s="13">
        <f t="shared" si="51"/>
        <v>28.2709558960075</v>
      </c>
      <c r="GX39" s="20">
        <f t="shared" si="28"/>
        <v>233.00479235221312</v>
      </c>
      <c r="GY39" s="59">
        <f t="shared" si="29"/>
        <v>526.3381256855464</v>
      </c>
      <c r="GZ39" s="59">
        <f ca="1">AVERAGE(OFFSET($GY$3,0,0,'Données projet'!$E$18+1,1))-AVERAGE(OFFSET($H$3,0,0,'Données projet'!$E$18+1,1))</f>
        <v>401.81944956556271</v>
      </c>
      <c r="HA39" s="59">
        <f t="shared" si="52"/>
        <v>292.20785523952651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0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9.3141025641025621</v>
      </c>
      <c r="N40" s="13">
        <f>IF('Données projet'!$A$36&gt;35,N39+M40-V39,IF(A40&lt;'Données projet'!$A$36,$K$205^A40,IF(A40='Données projet'!$A$36,'Données projet'!$B$36,N39+M40-V39)))</f>
        <v>120.19230769230771</v>
      </c>
      <c r="O40" s="13">
        <f>N40*VLOOKUP('Données projet'!$B$9,Paramètres!$A$1:$I$89,3,0)*VLOOKUP('Données projet'!$B$9,Paramètres!$A$1:$I$89,5,0)</f>
        <v>108.75000000000001</v>
      </c>
      <c r="P40" s="13">
        <f t="shared" si="33"/>
        <v>29.036279216217448</v>
      </c>
      <c r="Q40" s="20">
        <f t="shared" si="53"/>
        <v>239.97776963491205</v>
      </c>
      <c r="R40" s="59">
        <f t="shared" si="0"/>
        <v>533.31110296824534</v>
      </c>
      <c r="S40" s="59">
        <f ca="1">AVERAGE(OFFSET($R$3,0,0,'Données projet'!$E$9+1,1))-AVERAGE(OFFSET($H$3,0,0,'Données projet'!$E$9+1,1))</f>
        <v>384.05928630855732</v>
      </c>
      <c r="T40" s="59">
        <f t="shared" si="34"/>
        <v>279.93992813630513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22.419230769230751</v>
      </c>
      <c r="AI40" s="13">
        <f>IF('Données projet'!$A$62&gt;35,AI39+AH40-AQ39,IF(A40&lt;'Données projet'!$A$62,$AF$205^A40,IF(A40='Données projet'!$A$62,'Données projet'!$B$62,AI39+AH40-AQ39)))</f>
        <v>356.62692307692311</v>
      </c>
      <c r="AJ40" s="13">
        <f>AI40*VLOOKUP('Données projet'!$B$10,Paramètres!$A$1:$I$89,3,0)*VLOOKUP('Données projet'!$B$10,Paramètres!$A$1:$I$89,5,0)</f>
        <v>199.35445000000001</v>
      </c>
      <c r="AK40" s="13">
        <f t="shared" si="35"/>
        <v>49.60226869073324</v>
      </c>
      <c r="AL40" s="20">
        <f t="shared" si="4"/>
        <v>433.59961838636042</v>
      </c>
      <c r="AM40" s="59">
        <f t="shared" si="5"/>
        <v>726.93295171969373</v>
      </c>
      <c r="AN40" s="59">
        <f ca="1">AVERAGE(OFFSET($AM$3,0,0,'Données projet'!$E$10+1,1))-AVERAGE(OFFSET($H$3,0,0,'Données projet'!$E$10+1,1))</f>
        <v>335.04906256888819</v>
      </c>
      <c r="AO40" s="59">
        <f t="shared" si="36"/>
        <v>440.84111898279554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45.133449015504453</v>
      </c>
      <c r="AV40" s="21">
        <f>EXP(-LN(2)/25)*AV39+(1-EXP(-LN(2)/25))/(LN(2)/25)*Calculateur!AQ40*Calculateur!AS40*VLOOKUP('Données projet'!$B$10,Paramètres!$A$1:$I$89,3,0)*0.475*44/12</f>
        <v>19.629541782659683</v>
      </c>
      <c r="AW40" s="21">
        <f>EXP(-LN(2)/2)*AW39+(1-EXP(-LN(2)/2))/(LN(2)/2)*AQ40*AT40*VLOOKUP('Données projet'!$B$10,Paramètres!$A$1:$I$89,3,0)*0.475*44/12</f>
        <v>4.6448766617369657</v>
      </c>
      <c r="AX40" s="21">
        <f t="shared" si="6"/>
        <v>69.407867459901098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11.380219780219781</v>
      </c>
      <c r="BD40" s="12">
        <f>IF('Données projet'!$A$88&gt;35,BD39+BC40-BL39,IF(A40&lt;'Données projet'!$A$88,$BA$205^A40,IF(A40='Données projet'!$A$88,'Données projet'!$B$88,BD39+BC40-BL39)))</f>
        <v>215.06483516483522</v>
      </c>
      <c r="BE40" s="13">
        <f>BD40*VLOOKUP('Données projet'!$B$11,Paramètres!$A$1:$I$89,3,0)*VLOOKUP('Données projet'!$B$11,Paramètres!$A$1:$I$89,5,0)</f>
        <v>123.01708571428574</v>
      </c>
      <c r="BF40" s="13">
        <f t="shared" si="37"/>
        <v>32.377664804933538</v>
      </c>
      <c r="BG40" s="20">
        <f t="shared" si="7"/>
        <v>270.6458571543069</v>
      </c>
      <c r="BH40" s="59">
        <f t="shared" si="8"/>
        <v>563.97919048764015</v>
      </c>
      <c r="BI40" s="59">
        <f ca="1">AVERAGE(OFFSET($BH$3,0,0,'Données projet'!$E$11+1,1))-AVERAGE(OFFSET($H$3,0,0,'Données projet'!$E$11+1,1))</f>
        <v>320.76883487964511</v>
      </c>
      <c r="BJ40" s="59">
        <f t="shared" si="38"/>
        <v>290.51177680335746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15.59390580084958</v>
      </c>
      <c r="BQ40" s="21">
        <f>EXP(-LN(2)/25)*BQ39+(1-EXP(-LN(2)/25))/(LN(2)/25)*Calculateur!BL40*Calculateur!BN40*VLOOKUP('Données projet'!$B$11,Paramètres!$A$1:$I$89,3,0)*0.475*44/12</f>
        <v>14.470238557036403</v>
      </c>
      <c r="BR40" s="21">
        <f>EXP(-LN(2)/2)*BR39+(1-EXP(-LN(2)/2))/(LN(2)/2)*BL40*BO40*VLOOKUP('Données projet'!$B$11,Paramètres!$A$1:$I$89,3,0)*0.475*44/12</f>
        <v>2.4887435606655113</v>
      </c>
      <c r="BS40" s="22">
        <f t="shared" si="9"/>
        <v>32.552887918551491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6.2</v>
      </c>
      <c r="BY40" s="12">
        <f>IF('Données projet'!$A$114&gt;35,BY39+BX40-CG39,IF(A40&lt;'Données projet'!$A$114,$BV$205^A40,IF(A40='Données projet'!$A$114,'Données projet'!$B$114,BY39+BX40-CG39)))</f>
        <v>270.39999999999986</v>
      </c>
      <c r="BZ40" s="13">
        <f>BY40*VLOOKUP('Données projet'!$B$12,Paramètres!$A$1:$I$89,3,0)*VLOOKUP('Données projet'!$B$12,Paramètres!$A$1:$I$89,5,0)</f>
        <v>244.65791999999988</v>
      </c>
      <c r="CA40" s="13">
        <f t="shared" si="39"/>
        <v>59.44058075210863</v>
      </c>
      <c r="CB40" s="20">
        <f t="shared" si="10"/>
        <v>529.63822214325558</v>
      </c>
      <c r="CC40" s="59">
        <f t="shared" si="11"/>
        <v>822.97155547658895</v>
      </c>
      <c r="CD40" s="59">
        <f ca="1">AVERAGE(OFFSET($CC$3,0,0,'Données projet'!$E$12+1,1))-AVERAGE(OFFSET($H$3,0,0,'Données projet'!$E$12+1,1))</f>
        <v>366.69125512029831</v>
      </c>
      <c r="CE40" s="59">
        <f t="shared" si="40"/>
        <v>513.80016421153414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4.1263955409052349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4.1263955409052349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9.3141025641025621</v>
      </c>
      <c r="CT40" s="12">
        <f>IF('Données projet'!$A$140&gt;35,CT39+CS40-DB39,IF(A40&lt;'Données projet'!$A$140,$CQ$205^A40,IF(A40='Données projet'!$A$140,'Données projet'!$B$140,CT39+CS40-DB39)))</f>
        <v>120.19230769230771</v>
      </c>
      <c r="CU40" s="17">
        <f>CT40*VLOOKUP('Données projet'!$B$13,Paramètres!$A$1:$I$89,3,0)*VLOOKUP('Données projet'!$B$13,Paramètres!$A$1:$I$89,5,0)</f>
        <v>80.625000000000014</v>
      </c>
      <c r="CV40" s="13">
        <f t="shared" si="41"/>
        <v>22.289930595616124</v>
      </c>
      <c r="CW40" s="20">
        <f t="shared" si="13"/>
        <v>179.24350412069813</v>
      </c>
      <c r="CX40" s="59">
        <f t="shared" si="14"/>
        <v>472.57683745403142</v>
      </c>
      <c r="CY40" s="59">
        <f ca="1">AVERAGE(OFFSET($CX$3,0,0,'Données projet'!$E$13+1,1))-AVERAGE(OFFSET($H$3,0,0,'Données projet'!$E$13+1,1))</f>
        <v>294.94331863127815</v>
      </c>
      <c r="CZ40" s="59">
        <f t="shared" si="42"/>
        <v>218.36990036643977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163.20000000000002</v>
      </c>
      <c r="DP40" s="17">
        <f>DO40*VLOOKUP('Données projet'!$B$14,Paramètres!$A$1:$I$89,3,0)*VLOOKUP('Données projet'!$B$14,Paramètres!$A$1:$I$89,5,0)</f>
        <v>119.65824000000002</v>
      </c>
      <c r="DQ40" s="13">
        <f t="shared" si="43"/>
        <v>31.595276160231336</v>
      </c>
      <c r="DR40" s="20">
        <f t="shared" si="16"/>
        <v>263.43320731240294</v>
      </c>
      <c r="DS40" s="59">
        <f t="shared" si="17"/>
        <v>556.76654064573631</v>
      </c>
      <c r="DT40" s="59">
        <f ca="1">AVERAGE(OFFSET($DS$3,0,0,'Données projet'!$E$14+1,1))-AVERAGE(OFFSET($H$3,0,0,'Données projet'!$E$14+1,1))</f>
        <v>278.45534008146865</v>
      </c>
      <c r="DU40" s="59">
        <f t="shared" si="44"/>
        <v>272.97841038165217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2.0281878283409194</v>
      </c>
      <c r="EB40" s="21">
        <f>EXP(-LN(2)/25)*EB39+(1-EXP(-LN(2)/25))/(LN(2)/25)*Calculateur!DW40*Calculateur!DY40*VLOOKUP('Données projet'!$B$14,Paramètres!$A$1:$I$89,3,0)*0.475*44/12</f>
        <v>6.7637683618657416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8.7919561902066619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9.3141025641025621</v>
      </c>
      <c r="EJ40" s="12">
        <f>IF('Données projet'!$A$192&gt;35,EJ39+EI40-ER39,IF(A40&lt;'Données projet'!$A$192,$EG$205^A40,IF(A40='Données projet'!$A$192,'Données projet'!$B$192,EJ39+EI40-ER39)))</f>
        <v>120.19230769230771</v>
      </c>
      <c r="EK40" s="17">
        <f>EJ40*VLOOKUP('Données projet'!$B$15,Paramètres!$A$1:$I$89,3,0)*VLOOKUP('Données projet'!$B$15,Paramètres!$A$1:$I$89,5,0)</f>
        <v>129.375</v>
      </c>
      <c r="EL40" s="13">
        <f t="shared" si="45"/>
        <v>33.851899700731053</v>
      </c>
      <c r="EM40" s="20">
        <f t="shared" si="19"/>
        <v>284.28685031210659</v>
      </c>
      <c r="EN40" s="59">
        <f t="shared" si="20"/>
        <v>577.62018364543997</v>
      </c>
      <c r="EO40" s="59">
        <f ca="1">AVERAGE(OFFSET($EN$3,0,0,'Données projet'!$E$15+1,1))-AVERAGE(OFFSET($H$3,0,0,'Données projet'!$E$15+1,1))</f>
        <v>449.09332781196957</v>
      </c>
      <c r="EP40" s="59">
        <f t="shared" si="46"/>
        <v>324.85904971519432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9.3141025641025621</v>
      </c>
      <c r="FE40" s="12">
        <f>IF('Données projet'!$A$218&gt;35,FE39+FD40-FM39,IF(A40&lt;'Données projet'!$A$218,$FB$205^A40,IF(A40='Données projet'!$A$218,'Données projet'!$B$218,FE39+FD40-FM39)))</f>
        <v>120.19230769230771</v>
      </c>
      <c r="FF40" s="17">
        <f>FE40*VLOOKUP('Données projet'!$B$16,Paramètres!$A$1:$I$89,3,0)*VLOOKUP('Données projet'!$B$16,Paramètres!$A$1:$I$89,5,0)</f>
        <v>121.87500000000003</v>
      </c>
      <c r="FG40" s="13">
        <f t="shared" si="47"/>
        <v>32.111916865075052</v>
      </c>
      <c r="FH40" s="20">
        <f t="shared" si="22"/>
        <v>268.19388020667242</v>
      </c>
      <c r="FI40" s="59">
        <f t="shared" si="23"/>
        <v>561.52721354000573</v>
      </c>
      <c r="FJ40" s="59">
        <f ca="1">AVERAGE(OFFSET($FI$3,0,0,'Données projet'!$E$16+1,1))-AVERAGE(OFFSET($H$3,0,0,'Données projet'!$E$16+1,1))</f>
        <v>419.51168383014721</v>
      </c>
      <c r="FK40" s="59">
        <f t="shared" si="48"/>
        <v>213.44145308833384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9.6</v>
      </c>
      <c r="FZ40" s="12">
        <f>IF('Données projet'!$A$244&gt;35,FZ39+FY40-GH39,IF(A40&lt;'Données projet'!$A$244,$FW$205^A40,IF(A40='Données projet'!$A$244,'Données projet'!$B$244,FZ39+FY40-GH39)))</f>
        <v>163.20000000000002</v>
      </c>
      <c r="GA40" s="17">
        <f>FZ40*VLOOKUP('Données projet'!$B$17,Paramètres!$A$1:$I$89,3,0)*VLOOKUP('Données projet'!$B$17,Paramètres!$A$1:$I$89,5,0)</f>
        <v>142.57152000000005</v>
      </c>
      <c r="GB40" s="13">
        <f t="shared" si="49"/>
        <v>36.885479122455578</v>
      </c>
      <c r="GC40" s="20">
        <f t="shared" si="25"/>
        <v>312.5542734716102</v>
      </c>
      <c r="GD40" s="59">
        <f t="shared" si="26"/>
        <v>605.88760680494352</v>
      </c>
      <c r="GE40" s="59">
        <f ca="1">AVERAGE(OFFSET($GD$3,0,0,'Données projet'!$E$17+1,1))-AVERAGE(OFFSET($H$3,0,0,'Données projet'!$E$17+1,1))</f>
        <v>324.86930206492627</v>
      </c>
      <c r="GF40" s="59">
        <f t="shared" si="50"/>
        <v>317.03005098025352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2.9785559003047251</v>
      </c>
      <c r="GM40" s="21">
        <f>EXP(-LN(2)/25)*GM39+(1-EXP(-LN(2)/25))/(LN(2)/25)*Calculateur!GH40*Calculateur!GJ40*VLOOKUP('Données projet'!$B$17,Paramètres!$A$1:$I$89,3,0)*0.475*44/12</f>
        <v>9.9331343384549875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12.911690238759713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9.3141025641025621</v>
      </c>
      <c r="GU40" s="12">
        <f>IF('Données projet'!$A$270&gt;35,GU39+GT40-HC39,IF(A40&lt;'Données projet'!$A$270,$GR$205^A40,IF(A40='Données projet'!$A$270,'Données projet'!$B$270,GU39+GT40-HC39)))</f>
        <v>120.19230769230771</v>
      </c>
      <c r="GV40" s="17">
        <f>GU40*VLOOKUP('Données projet'!$B$18,Paramètres!$A$1:$I$89,3,0)*VLOOKUP('Données projet'!$B$18,Paramètres!$A$1:$I$89,5,0)</f>
        <v>114.375</v>
      </c>
      <c r="GW40" s="13">
        <f t="shared" si="51"/>
        <v>30.359417255160196</v>
      </c>
      <c r="GX40" s="20">
        <f t="shared" si="28"/>
        <v>252.07911005273732</v>
      </c>
      <c r="GY40" s="59">
        <f t="shared" si="29"/>
        <v>545.41244338607066</v>
      </c>
      <c r="GZ40" s="59">
        <f ca="1">AVERAGE(OFFSET($GY$3,0,0,'Données projet'!$E$18+1,1))-AVERAGE(OFFSET($H$3,0,0,'Données projet'!$E$18+1,1))</f>
        <v>401.81944956556271</v>
      </c>
      <c r="HA40" s="59">
        <f t="shared" si="52"/>
        <v>292.20785523952651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0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9.3141025641025621</v>
      </c>
      <c r="N41" s="13">
        <f>IF('Données projet'!$A$36&gt;35,N40+M41-V40,IF(A41&lt;'Données projet'!$A$36,$K$205^A41,IF(A41='Données projet'!$A$36,'Données projet'!$B$36,N40+M41-V40)))</f>
        <v>129.50641025641028</v>
      </c>
      <c r="O41" s="13">
        <f>N41*VLOOKUP('Données projet'!$B$9,Paramètres!$A$1:$I$89,3,0)*VLOOKUP('Données projet'!$B$9,Paramètres!$A$1:$I$89,5,0)</f>
        <v>117.17740000000002</v>
      </c>
      <c r="P41" s="13">
        <f t="shared" si="33"/>
        <v>31.015764986886897</v>
      </c>
      <c r="Q41" s="20">
        <f t="shared" si="53"/>
        <v>258.10309568549474</v>
      </c>
      <c r="R41" s="59">
        <f t="shared" si="0"/>
        <v>551.43642901882799</v>
      </c>
      <c r="S41" s="59">
        <f ca="1">AVERAGE(OFFSET($R$3,0,0,'Données projet'!$E$9+1,1))-AVERAGE(OFFSET($H$3,0,0,'Données projet'!$E$9+1,1))</f>
        <v>384.05928630855732</v>
      </c>
      <c r="T41" s="59">
        <f t="shared" si="34"/>
        <v>279.93992813630513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22.419230769230751</v>
      </c>
      <c r="AI41" s="13">
        <f>IF('Données projet'!$A$62&gt;35,AI40+AH41-AQ40,IF(A41&lt;'Données projet'!$A$62,$AF$205^A41,IF(A41='Données projet'!$A$62,'Données projet'!$B$62,AI40+AH41-AQ40)))</f>
        <v>379.04615384615386</v>
      </c>
      <c r="AJ41" s="13">
        <f>AI41*VLOOKUP('Données projet'!$B$10,Paramètres!$A$1:$I$89,3,0)*VLOOKUP('Données projet'!$B$10,Paramètres!$A$1:$I$89,5,0)</f>
        <v>211.88679999999999</v>
      </c>
      <c r="AK41" s="13">
        <f t="shared" si="35"/>
        <v>52.347684082939317</v>
      </c>
      <c r="AL41" s="20">
        <f t="shared" si="4"/>
        <v>460.20839311111928</v>
      </c>
      <c r="AM41" s="59">
        <f t="shared" si="5"/>
        <v>753.54172644445259</v>
      </c>
      <c r="AN41" s="59">
        <f ca="1">AVERAGE(OFFSET($AM$3,0,0,'Données projet'!$E$10+1,1))-AVERAGE(OFFSET($H$3,0,0,'Données projet'!$E$10+1,1))</f>
        <v>335.04906256888819</v>
      </c>
      <c r="AO41" s="59">
        <f t="shared" si="36"/>
        <v>440.84111898279554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44.248409608996077</v>
      </c>
      <c r="AV41" s="21">
        <f>EXP(-LN(2)/25)*AV40+(1-EXP(-LN(2)/25))/(LN(2)/25)*Calculateur!AQ41*Calculateur!AS41*VLOOKUP('Données projet'!$B$10,Paramètres!$A$1:$I$89,3,0)*0.475*44/12</f>
        <v>19.092770930340116</v>
      </c>
      <c r="AW41" s="21">
        <f>EXP(-LN(2)/2)*AW40+(1-EXP(-LN(2)/2))/(LN(2)/2)*AQ41*AT41*VLOOKUP('Données projet'!$B$10,Paramètres!$A$1:$I$89,3,0)*0.475*44/12</f>
        <v>3.2844237852893423</v>
      </c>
      <c r="AX41" s="21">
        <f t="shared" si="6"/>
        <v>66.625604324625542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11.380219780219781</v>
      </c>
      <c r="BD41" s="12">
        <f>IF('Données projet'!$A$88&gt;35,BD40+BC41-BL40,IF(A41&lt;'Données projet'!$A$88,$BA$205^A41,IF(A41='Données projet'!$A$88,'Données projet'!$B$88,BD40+BC41-BL40)))</f>
        <v>226.44505494505501</v>
      </c>
      <c r="BE41" s="13">
        <f>BD41*VLOOKUP('Données projet'!$B$11,Paramètres!$A$1:$I$89,3,0)*VLOOKUP('Données projet'!$B$11,Paramètres!$A$1:$I$89,5,0)</f>
        <v>129.52657142857146</v>
      </c>
      <c r="BF41" s="13">
        <f t="shared" si="37"/>
        <v>33.886940671814116</v>
      </c>
      <c r="BG41" s="20">
        <f t="shared" si="7"/>
        <v>284.61186690817152</v>
      </c>
      <c r="BH41" s="59">
        <f t="shared" si="8"/>
        <v>577.94520024150484</v>
      </c>
      <c r="BI41" s="59">
        <f ca="1">AVERAGE(OFFSET($BH$3,0,0,'Données projet'!$E$11+1,1))-AVERAGE(OFFSET($H$3,0,0,'Données projet'!$E$11+1,1))</f>
        <v>320.76883487964511</v>
      </c>
      <c r="BJ41" s="59">
        <f t="shared" si="38"/>
        <v>290.51177680335746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15.28811881943829</v>
      </c>
      <c r="BQ41" s="21">
        <f>EXP(-LN(2)/25)*BQ40+(1-EXP(-LN(2)/25))/(LN(2)/25)*Calculateur!BL41*Calculateur!BN41*VLOOKUP('Données projet'!$B$11,Paramètres!$A$1:$I$89,3,0)*0.475*44/12</f>
        <v>14.074549122737469</v>
      </c>
      <c r="BR41" s="21">
        <f>EXP(-LN(2)/2)*BR40+(1-EXP(-LN(2)/2))/(LN(2)/2)*BL41*BO41*VLOOKUP('Données projet'!$B$11,Paramètres!$A$1:$I$89,3,0)*0.475*44/12</f>
        <v>1.7598074483809369</v>
      </c>
      <c r="BS41" s="22">
        <f t="shared" si="9"/>
        <v>31.122475390556698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6.2</v>
      </c>
      <c r="BY41" s="12">
        <f>IF('Données projet'!$A$114&gt;35,BY40+BX41-CG40,IF(A41&lt;'Données projet'!$A$114,$BV$205^A41,IF(A41='Données projet'!$A$114,'Données projet'!$B$114,BY40+BX41-CG40)))</f>
        <v>276.59999999999985</v>
      </c>
      <c r="BZ41" s="13">
        <f>BY41*VLOOKUP('Données projet'!$B$12,Paramètres!$A$1:$I$89,3,0)*VLOOKUP('Données projet'!$B$12,Paramètres!$A$1:$I$89,5,0)</f>
        <v>250.26767999999987</v>
      </c>
      <c r="CA41" s="13">
        <f t="shared" si="39"/>
        <v>60.643256925083385</v>
      </c>
      <c r="CB41" s="20">
        <f t="shared" si="10"/>
        <v>541.50321514451991</v>
      </c>
      <c r="CC41" s="59">
        <f t="shared" si="11"/>
        <v>834.83654847785328</v>
      </c>
      <c r="CD41" s="59">
        <f ca="1">AVERAGE(OFFSET($CC$3,0,0,'Données projet'!$E$12+1,1))-AVERAGE(OFFSET($H$3,0,0,'Données projet'!$E$12+1,1))</f>
        <v>366.69125512029831</v>
      </c>
      <c r="CE41" s="59">
        <f t="shared" si="40"/>
        <v>513.80016421153414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4.0135590378414703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4.0135590378414703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9.3141025641025621</v>
      </c>
      <c r="CT41" s="12">
        <f>IF('Données projet'!$A$140&gt;35,CT40+CS41-DB40,IF(A41&lt;'Données projet'!$A$140,$CQ$205^A41,IF(A41='Données projet'!$A$140,'Données projet'!$B$140,CT40+CS41-DB40)))</f>
        <v>129.50641025641028</v>
      </c>
      <c r="CU41" s="17">
        <f>CT41*VLOOKUP('Données projet'!$B$13,Paramètres!$A$1:$I$89,3,0)*VLOOKUP('Données projet'!$B$13,Paramètres!$A$1:$I$89,5,0)</f>
        <v>86.872900000000016</v>
      </c>
      <c r="CV41" s="13">
        <f t="shared" si="41"/>
        <v>23.809498585532278</v>
      </c>
      <c r="CW41" s="20">
        <f t="shared" si="13"/>
        <v>192.77184420313543</v>
      </c>
      <c r="CX41" s="59">
        <f t="shared" si="14"/>
        <v>486.10517753646877</v>
      </c>
      <c r="CY41" s="59">
        <f ca="1">AVERAGE(OFFSET($CX$3,0,0,'Données projet'!$E$13+1,1))-AVERAGE(OFFSET($H$3,0,0,'Données projet'!$E$13+1,1))</f>
        <v>294.94331863127815</v>
      </c>
      <c r="CZ41" s="59">
        <f t="shared" si="42"/>
        <v>218.36990036643977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172.8</v>
      </c>
      <c r="DP41" s="17">
        <f>DO41*VLOOKUP('Données projet'!$B$14,Paramètres!$A$1:$I$89,3,0)*VLOOKUP('Données projet'!$B$14,Paramètres!$A$1:$I$89,5,0)</f>
        <v>126.69695999999999</v>
      </c>
      <c r="DQ41" s="13">
        <f t="shared" si="43"/>
        <v>33.231984319593515</v>
      </c>
      <c r="DR41" s="20">
        <f t="shared" si="16"/>
        <v>278.54291135662532</v>
      </c>
      <c r="DS41" s="59">
        <f t="shared" si="17"/>
        <v>571.87624468995864</v>
      </c>
      <c r="DT41" s="59">
        <f ca="1">AVERAGE(OFFSET($DS$3,0,0,'Données projet'!$E$14+1,1))-AVERAGE(OFFSET($H$3,0,0,'Données projet'!$E$14+1,1))</f>
        <v>278.45534008146865</v>
      </c>
      <c r="DU41" s="59">
        <f t="shared" si="44"/>
        <v>272.97841038165217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1.9884163020995784</v>
      </c>
      <c r="EB41" s="21">
        <f>EXP(-LN(2)/25)*EB40+(1-EXP(-LN(2)/25))/(LN(2)/25)*Calculateur!DW41*Calculateur!DY41*VLOOKUP('Données projet'!$B$14,Paramètres!$A$1:$I$89,3,0)*0.475*44/12</f>
        <v>6.578812760319404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8.5672290624189831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9.3141025641025621</v>
      </c>
      <c r="EJ41" s="12">
        <f>IF('Données projet'!$A$192&gt;35,EJ40+EI41-ER40,IF(A41&lt;'Données projet'!$A$192,$EG$205^A41,IF(A41='Données projet'!$A$192,'Données projet'!$B$192,EJ40+EI41-ER40)))</f>
        <v>129.50641025641028</v>
      </c>
      <c r="EK41" s="17">
        <f>EJ41*VLOOKUP('Données projet'!$B$15,Paramètres!$A$1:$I$89,3,0)*VLOOKUP('Données projet'!$B$15,Paramètres!$A$1:$I$89,5,0)</f>
        <v>139.4007</v>
      </c>
      <c r="EL41" s="13">
        <f t="shared" si="45"/>
        <v>36.159680021644249</v>
      </c>
      <c r="EM41" s="20">
        <f t="shared" si="19"/>
        <v>305.76766187103038</v>
      </c>
      <c r="EN41" s="59">
        <f t="shared" si="20"/>
        <v>599.1009952043637</v>
      </c>
      <c r="EO41" s="59">
        <f ca="1">AVERAGE(OFFSET($EN$3,0,0,'Données projet'!$E$15+1,1))-AVERAGE(OFFSET($H$3,0,0,'Données projet'!$E$15+1,1))</f>
        <v>449.09332781196957</v>
      </c>
      <c r="EP41" s="59">
        <f t="shared" si="46"/>
        <v>324.85904971519432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9.3141025641025621</v>
      </c>
      <c r="FE41" s="12">
        <f>IF('Données projet'!$A$218&gt;35,FE40+FD41-FM40,IF(A41&lt;'Données projet'!$A$218,$FB$205^A41,IF(A41='Données projet'!$A$218,'Données projet'!$B$218,FE40+FD41-FM40)))</f>
        <v>129.50641025641028</v>
      </c>
      <c r="FF41" s="17">
        <f>FE41*VLOOKUP('Données projet'!$B$16,Paramètres!$A$1:$I$89,3,0)*VLOOKUP('Données projet'!$B$16,Paramètres!$A$1:$I$89,5,0)</f>
        <v>131.31950000000003</v>
      </c>
      <c r="FG41" s="13">
        <f t="shared" si="47"/>
        <v>34.301077605333901</v>
      </c>
      <c r="FH41" s="20">
        <f t="shared" si="22"/>
        <v>288.45583932928992</v>
      </c>
      <c r="FI41" s="59">
        <f t="shared" si="23"/>
        <v>581.78917266262329</v>
      </c>
      <c r="FJ41" s="59">
        <f ca="1">AVERAGE(OFFSET($FI$3,0,0,'Données projet'!$E$16+1,1))-AVERAGE(OFFSET($H$3,0,0,'Données projet'!$E$16+1,1))</f>
        <v>419.51168383014721</v>
      </c>
      <c r="FK41" s="59">
        <f t="shared" si="48"/>
        <v>213.44145308833384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9.6</v>
      </c>
      <c r="FZ41" s="12">
        <f>IF('Données projet'!$A$244&gt;35,FZ40+FY41-GH40,IF(A41&lt;'Données projet'!$A$244,$FW$205^A41,IF(A41='Données projet'!$A$244,'Données projet'!$B$244,FZ40+FY41-GH40)))</f>
        <v>172.8</v>
      </c>
      <c r="GA41" s="17">
        <f>FZ41*VLOOKUP('Données projet'!$B$17,Paramètres!$A$1:$I$89,3,0)*VLOOKUP('Données projet'!$B$17,Paramètres!$A$1:$I$89,5,0)</f>
        <v>150.95808000000002</v>
      </c>
      <c r="GB41" s="13">
        <f t="shared" si="49"/>
        <v>38.796231993724774</v>
      </c>
      <c r="GC41" s="20">
        <f t="shared" si="25"/>
        <v>330.48876005573732</v>
      </c>
      <c r="GD41" s="59">
        <f t="shared" si="26"/>
        <v>623.82209338907069</v>
      </c>
      <c r="GE41" s="59">
        <f ca="1">AVERAGE(OFFSET($GD$3,0,0,'Données projet'!$E$17+1,1))-AVERAGE(OFFSET($H$3,0,0,'Données projet'!$E$17+1,1))</f>
        <v>324.86930206492627</v>
      </c>
      <c r="GF41" s="59">
        <f t="shared" si="50"/>
        <v>317.03005098025352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2.9201482358394606</v>
      </c>
      <c r="GM41" s="21">
        <f>EXP(-LN(2)/25)*GM40+(1-EXP(-LN(2)/25))/(LN(2)/25)*Calculateur!GH41*Calculateur!GJ41*VLOOKUP('Données projet'!$B$17,Paramètres!$A$1:$I$89,3,0)*0.475*44/12</f>
        <v>9.6615122576091039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12.581660493448565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9.3141025641025621</v>
      </c>
      <c r="GU41" s="12">
        <f>IF('Données projet'!$A$270&gt;35,GU40+GT41-HC40,IF(A41&lt;'Données projet'!$A$270,$GR$205^A41,IF(A41='Données projet'!$A$270,'Données projet'!$B$270,GU40+GT41-HC40)))</f>
        <v>129.50641025641028</v>
      </c>
      <c r="GV41" s="17">
        <f>GU41*VLOOKUP('Données projet'!$B$18,Paramètres!$A$1:$I$89,3,0)*VLOOKUP('Données projet'!$B$18,Paramètres!$A$1:$I$89,5,0)</f>
        <v>123.23830000000002</v>
      </c>
      <c r="GW41" s="13">
        <f t="shared" si="51"/>
        <v>32.429105110649651</v>
      </c>
      <c r="GX41" s="20">
        <f t="shared" si="28"/>
        <v>271.12073056771482</v>
      </c>
      <c r="GY41" s="59">
        <f t="shared" si="29"/>
        <v>564.45406390104813</v>
      </c>
      <c r="GZ41" s="59">
        <f ca="1">AVERAGE(OFFSET($GY$3,0,0,'Données projet'!$E$18+1,1))-AVERAGE(OFFSET($H$3,0,0,'Données projet'!$E$18+1,1))</f>
        <v>401.81944956556271</v>
      </c>
      <c r="HA41" s="59">
        <f t="shared" si="52"/>
        <v>292.20785523952651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0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9.3141025641025621</v>
      </c>
      <c r="N42" s="13">
        <f>IF('Données projet'!$A$36&gt;35,N41+M42-V41,IF(A42&lt;'Données projet'!$A$36,$K$205^A42,IF(A42='Données projet'!$A$36,'Données projet'!$B$36,N41+M42-V41)))</f>
        <v>138.82051282051285</v>
      </c>
      <c r="O42" s="13">
        <f>N42*VLOOKUP('Données projet'!$B$9,Paramètres!$A$1:$I$89,3,0)*VLOOKUP('Données projet'!$B$9,Paramètres!$A$1:$I$89,5,0)</f>
        <v>125.60480000000001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569.53298779049635</v>
      </c>
      <c r="S42" s="59">
        <f ca="1">AVERAGE(OFFSET($R$3,0,0,'Données projet'!$E$9+1,1))-AVERAGE(OFFSET($H$3,0,0,'Données projet'!$E$9+1,1))</f>
        <v>384.05928630855732</v>
      </c>
      <c r="T42" s="59">
        <f t="shared" si="34"/>
        <v>279.93992813630513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22.419230769230751</v>
      </c>
      <c r="AI42" s="13">
        <f>IF('Données projet'!$A$62&gt;35,AI41+AH42-AQ41,IF(A42&lt;'Données projet'!$A$62,$AF$205^A42,IF(A42='Données projet'!$A$62,'Données projet'!$B$62,AI41+AH42-AQ41)))</f>
        <v>401.46538461538461</v>
      </c>
      <c r="AJ42" s="13">
        <f>AI42*VLOOKUP('Données projet'!$B$10,Paramètres!$A$1:$I$89,3,0)*VLOOKUP('Données projet'!$B$10,Paramètres!$A$1:$I$89,5,0)</f>
        <v>224.41915</v>
      </c>
      <c r="AK42" s="13">
        <f t="shared" si="35"/>
        <v>55.074251579267461</v>
      </c>
      <c r="AL42" s="20">
        <f t="shared" si="4"/>
        <v>486.78434108389075</v>
      </c>
      <c r="AM42" s="59">
        <f t="shared" si="5"/>
        <v>780.11767441722407</v>
      </c>
      <c r="AN42" s="59">
        <f ca="1">AVERAGE(OFFSET($AM$3,0,0,'Données projet'!$E$10+1,1))-AVERAGE(OFFSET($H$3,0,0,'Données projet'!$E$10+1,1))</f>
        <v>335.04906256888819</v>
      </c>
      <c r="AO42" s="59">
        <f t="shared" si="36"/>
        <v>440.84111898279554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43.380725285428596</v>
      </c>
      <c r="AV42" s="21">
        <f>EXP(-LN(2)/25)*AV41+(1-EXP(-LN(2)/25))/(LN(2)/25)*Calculateur!AQ42*Calculateur!AS42*VLOOKUP('Données projet'!$B$10,Paramètres!$A$1:$I$89,3,0)*0.475*44/12</f>
        <v>18.570678105204781</v>
      </c>
      <c r="AW42" s="21">
        <f>EXP(-LN(2)/2)*AW41+(1-EXP(-LN(2)/2))/(LN(2)/2)*AQ42*AT42*VLOOKUP('Données projet'!$B$10,Paramètres!$A$1:$I$89,3,0)*0.475*44/12</f>
        <v>2.3224383308684833</v>
      </c>
      <c r="AX42" s="21">
        <f t="shared" si="6"/>
        <v>64.273841721501853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11.380219780219781</v>
      </c>
      <c r="BD42" s="12">
        <f>IF('Données projet'!$A$88&gt;35,BD41+BC42-BL41,IF(A42&lt;'Données projet'!$A$88,$BA$205^A42,IF(A42='Données projet'!$A$88,'Données projet'!$B$88,BD41+BC42-BL41)))</f>
        <v>237.8252747252748</v>
      </c>
      <c r="BE42" s="13">
        <f>BD42*VLOOKUP('Données projet'!$B$11,Paramètres!$A$1:$I$89,3,0)*VLOOKUP('Données projet'!$B$11,Paramètres!$A$1:$I$89,5,0)</f>
        <v>136.0360571428572</v>
      </c>
      <c r="BF42" s="13">
        <f t="shared" si="37"/>
        <v>35.387409440922553</v>
      </c>
      <c r="BG42" s="20">
        <f t="shared" si="7"/>
        <v>298.56253763341641</v>
      </c>
      <c r="BH42" s="59">
        <f t="shared" si="8"/>
        <v>591.89587096674973</v>
      </c>
      <c r="BI42" s="59">
        <f ca="1">AVERAGE(OFFSET($BH$3,0,0,'Données projet'!$E$11+1,1))-AVERAGE(OFFSET($H$3,0,0,'Données projet'!$E$11+1,1))</f>
        <v>320.76883487964511</v>
      </c>
      <c r="BJ42" s="59">
        <f t="shared" si="38"/>
        <v>290.51177680335746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14.988328134220835</v>
      </c>
      <c r="BQ42" s="21">
        <f>EXP(-LN(2)/25)*BQ41+(1-EXP(-LN(2)/25))/(LN(2)/25)*Calculateur!BL42*Calculateur!BN42*VLOOKUP('Données projet'!$B$11,Paramètres!$A$1:$I$89,3,0)*0.475*44/12</f>
        <v>13.689679836827843</v>
      </c>
      <c r="BR42" s="21">
        <f>EXP(-LN(2)/2)*BR41+(1-EXP(-LN(2)/2))/(LN(2)/2)*BL42*BO42*VLOOKUP('Données projet'!$B$11,Paramètres!$A$1:$I$89,3,0)*0.475*44/12</f>
        <v>1.2443717803327559</v>
      </c>
      <c r="BS42" s="22">
        <f t="shared" si="9"/>
        <v>29.922379751381435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6.2</v>
      </c>
      <c r="BY42" s="12">
        <f>IF('Données projet'!$A$114&gt;35,BY41+BX42-CG41,IF(A42&lt;'Données projet'!$A$114,$BV$205^A42,IF(A42='Données projet'!$A$114,'Données projet'!$B$114,BY41+BX42-CG41)))</f>
        <v>282.79999999999984</v>
      </c>
      <c r="BZ42" s="13">
        <f>BY42*VLOOKUP('Données projet'!$B$12,Paramètres!$A$1:$I$89,3,0)*VLOOKUP('Données projet'!$B$12,Paramètres!$A$1:$I$89,5,0)</f>
        <v>255.87743999999984</v>
      </c>
      <c r="CA42" s="13">
        <f t="shared" si="39"/>
        <v>61.842798995505277</v>
      </c>
      <c r="CB42" s="20">
        <f t="shared" si="10"/>
        <v>553.36274958383808</v>
      </c>
      <c r="CC42" s="59">
        <f t="shared" si="11"/>
        <v>846.69608291717145</v>
      </c>
      <c r="CD42" s="59">
        <f ca="1">AVERAGE(OFFSET($CC$3,0,0,'Données projet'!$E$12+1,1))-AVERAGE(OFFSET($H$3,0,0,'Données projet'!$E$12+1,1))</f>
        <v>366.69125512029831</v>
      </c>
      <c r="CE42" s="59">
        <f t="shared" si="40"/>
        <v>513.80016421153414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3.9038080548877985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3.9038080548877985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9.3141025641025621</v>
      </c>
      <c r="CT42" s="12">
        <f>IF('Données projet'!$A$140&gt;35,CT41+CS42-DB41,IF(A42&lt;'Données projet'!$A$140,$CQ$205^A42,IF(A42='Données projet'!$A$140,'Données projet'!$B$140,CT41+CS42-DB41)))</f>
        <v>138.82051282051285</v>
      </c>
      <c r="CU42" s="17">
        <f>CT42*VLOOKUP('Données projet'!$B$13,Paramètres!$A$1:$I$89,3,0)*VLOOKUP('Données projet'!$B$13,Paramètres!$A$1:$I$89,5,0)</f>
        <v>93.120800000000017</v>
      </c>
      <c r="CV42" s="13">
        <f t="shared" si="41"/>
        <v>25.316387093893336</v>
      </c>
      <c r="CW42" s="20">
        <f t="shared" si="13"/>
        <v>206.27810085519761</v>
      </c>
      <c r="CX42" s="59">
        <f t="shared" si="14"/>
        <v>499.61143418853089</v>
      </c>
      <c r="CY42" s="59">
        <f ca="1">AVERAGE(OFFSET($CX$3,0,0,'Données projet'!$E$13+1,1))-AVERAGE(OFFSET($H$3,0,0,'Données projet'!$E$13+1,1))</f>
        <v>294.94331863127815</v>
      </c>
      <c r="CZ42" s="59">
        <f t="shared" si="42"/>
        <v>218.36990036643977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182.4</v>
      </c>
      <c r="DP42" s="17">
        <f>DO42*VLOOKUP('Données projet'!$B$14,Paramètres!$A$1:$I$89,3,0)*VLOOKUP('Données projet'!$B$14,Paramètres!$A$1:$I$89,5,0)</f>
        <v>133.73568</v>
      </c>
      <c r="DQ42" s="13">
        <f t="shared" si="43"/>
        <v>34.858136849359241</v>
      </c>
      <c r="DR42" s="20">
        <f t="shared" si="16"/>
        <v>293.63423101263402</v>
      </c>
      <c r="DS42" s="59">
        <f t="shared" si="17"/>
        <v>586.96756434596728</v>
      </c>
      <c r="DT42" s="59">
        <f ca="1">AVERAGE(OFFSET($DS$3,0,0,'Données projet'!$E$14+1,1))-AVERAGE(OFFSET($H$3,0,0,'Données projet'!$E$14+1,1))</f>
        <v>278.45534008146865</v>
      </c>
      <c r="DU42" s="59">
        <f t="shared" si="44"/>
        <v>272.97841038165217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1.9494246712295946</v>
      </c>
      <c r="EB42" s="21">
        <f>EXP(-LN(2)/25)*EB41+(1-EXP(-LN(2)/25))/(LN(2)/25)*Calculateur!DW42*Calculateur!DY42*VLOOKUP('Données projet'!$B$14,Paramètres!$A$1:$I$89,3,0)*0.475*44/12</f>
        <v>6.3989147794237429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8.3483394506533379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9.3141025641025621</v>
      </c>
      <c r="EJ42" s="12">
        <f>IF('Données projet'!$A$192&gt;35,EJ41+EI42-ER41,IF(A42&lt;'Données projet'!$A$192,$EG$205^A42,IF(A42='Données projet'!$A$192,'Données projet'!$B$192,EJ41+EI42-ER41)))</f>
        <v>138.82051282051285</v>
      </c>
      <c r="EK42" s="17">
        <f>EJ42*VLOOKUP('Données projet'!$B$15,Paramètres!$A$1:$I$89,3,0)*VLOOKUP('Données projet'!$B$15,Paramètres!$A$1:$I$89,5,0)</f>
        <v>149.4264</v>
      </c>
      <c r="EL42" s="13">
        <f t="shared" si="45"/>
        <v>38.448203910330356</v>
      </c>
      <c r="EM42" s="20">
        <f t="shared" si="19"/>
        <v>327.21493514382536</v>
      </c>
      <c r="EN42" s="59">
        <f t="shared" si="20"/>
        <v>620.54826847715867</v>
      </c>
      <c r="EO42" s="59">
        <f ca="1">AVERAGE(OFFSET($EN$3,0,0,'Données projet'!$E$15+1,1))-AVERAGE(OFFSET($H$3,0,0,'Données projet'!$E$15+1,1))</f>
        <v>449.09332781196957</v>
      </c>
      <c r="EP42" s="59">
        <f t="shared" si="46"/>
        <v>324.85904971519432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9.3141025641025621</v>
      </c>
      <c r="FE42" s="12">
        <f>IF('Données projet'!$A$218&gt;35,FE41+FD42-FM41,IF(A42&lt;'Données projet'!$A$218,$FB$205^A42,IF(A42='Données projet'!$A$218,'Données projet'!$B$218,FE41+FD42-FM41)))</f>
        <v>138.82051282051285</v>
      </c>
      <c r="FF42" s="17">
        <f>FE42*VLOOKUP('Données projet'!$B$16,Paramètres!$A$1:$I$89,3,0)*VLOOKUP('Données projet'!$B$16,Paramètres!$A$1:$I$89,5,0)</f>
        <v>140.76400000000004</v>
      </c>
      <c r="FG42" s="13">
        <f t="shared" si="47"/>
        <v>36.471971691246594</v>
      </c>
      <c r="FH42" s="20">
        <f t="shared" si="22"/>
        <v>308.68598402892115</v>
      </c>
      <c r="FI42" s="59">
        <f t="shared" si="23"/>
        <v>602.01931736225447</v>
      </c>
      <c r="FJ42" s="59">
        <f ca="1">AVERAGE(OFFSET($FI$3,0,0,'Données projet'!$E$16+1,1))-AVERAGE(OFFSET($H$3,0,0,'Données projet'!$E$16+1,1))</f>
        <v>419.51168383014721</v>
      </c>
      <c r="FK42" s="59">
        <f t="shared" si="48"/>
        <v>213.44145308833384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9.6</v>
      </c>
      <c r="FZ42" s="12">
        <f>IF('Données projet'!$A$244&gt;35,FZ41+FY42-GH41,IF(A42&lt;'Données projet'!$A$244,$FW$205^A42,IF(A42='Données projet'!$A$244,'Données projet'!$B$244,FZ41+FY42-GH41)))</f>
        <v>182.4</v>
      </c>
      <c r="GA42" s="17">
        <f>FZ42*VLOOKUP('Données projet'!$B$17,Paramètres!$A$1:$I$89,3,0)*VLOOKUP('Données projet'!$B$17,Paramètres!$A$1:$I$89,5,0)</f>
        <v>159.34464000000003</v>
      </c>
      <c r="GB42" s="13">
        <f t="shared" si="49"/>
        <v>40.694661837553809</v>
      </c>
      <c r="GC42" s="20">
        <f t="shared" si="25"/>
        <v>348.4017840337396</v>
      </c>
      <c r="GD42" s="59">
        <f t="shared" si="26"/>
        <v>641.73511736707292</v>
      </c>
      <c r="GE42" s="59">
        <f ca="1">AVERAGE(OFFSET($GD$3,0,0,'Données projet'!$E$17+1,1))-AVERAGE(OFFSET($H$3,0,0,'Données projet'!$E$17+1,1))</f>
        <v>324.86930206492627</v>
      </c>
      <c r="GF42" s="59">
        <f t="shared" si="50"/>
        <v>317.03005098025352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2.8628859100492021</v>
      </c>
      <c r="GM42" s="21">
        <f>EXP(-LN(2)/25)*GM41+(1-EXP(-LN(2)/25))/(LN(2)/25)*Calculateur!GH42*Calculateur!GJ42*VLOOKUP('Données projet'!$B$17,Paramètres!$A$1:$I$89,3,0)*0.475*44/12</f>
        <v>9.3973176968479351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12.260203606897138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9.3141025641025621</v>
      </c>
      <c r="GU42" s="12">
        <f>IF('Données projet'!$A$270&gt;35,GU41+GT42-HC41,IF(A42&lt;'Données projet'!$A$270,$GR$205^A42,IF(A42='Données projet'!$A$270,'Données projet'!$B$270,GU41+GT42-HC41)))</f>
        <v>138.82051282051285</v>
      </c>
      <c r="GV42" s="17">
        <f>GU42*VLOOKUP('Données projet'!$B$18,Paramètres!$A$1:$I$89,3,0)*VLOOKUP('Données projet'!$B$18,Paramètres!$A$1:$I$89,5,0)</f>
        <v>132.10160000000002</v>
      </c>
      <c r="GW42" s="13">
        <f t="shared" si="51"/>
        <v>34.481523209759253</v>
      </c>
      <c r="GX42" s="20">
        <f t="shared" si="28"/>
        <v>290.13227292366406</v>
      </c>
      <c r="GY42" s="59">
        <f t="shared" si="29"/>
        <v>583.46560625699738</v>
      </c>
      <c r="GZ42" s="59">
        <f ca="1">AVERAGE(OFFSET($GY$3,0,0,'Données projet'!$E$18+1,1))-AVERAGE(OFFSET($H$3,0,0,'Données projet'!$E$18+1,1))</f>
        <v>401.81944956556271</v>
      </c>
      <c r="HA42" s="59">
        <f t="shared" si="52"/>
        <v>292.20785523952651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0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9.3141025641025621</v>
      </c>
      <c r="N43" s="13">
        <f>IF('Données projet'!$A$36&gt;35,N42+M43-V42,IF(A43&lt;'Données projet'!$A$36,$K$205^A43,IF(A43='Données projet'!$A$36,'Données projet'!$B$36,N42+M43-V42)))</f>
        <v>148.13461538461542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587.60292901944695</v>
      </c>
      <c r="S43" s="59">
        <f ca="1">AVERAGE(OFFSET($R$3,0,0,'Données projet'!$E$9+1,1))-AVERAGE(OFFSET($H$3,0,0,'Données projet'!$E$9+1,1))</f>
        <v>384.05928630855732</v>
      </c>
      <c r="T43" s="59">
        <f t="shared" si="34"/>
        <v>279.93992813630513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22.419230769230751</v>
      </c>
      <c r="AI43" s="13">
        <f>IF('Données projet'!$A$62&gt;35,AI42+AH43-AQ42,IF(A43&lt;'Données projet'!$A$62,$AF$205^A43,IF(A43='Données projet'!$A$62,'Données projet'!$B$62,AI42+AH43-AQ42)))</f>
        <v>423.88461538461536</v>
      </c>
      <c r="AJ43" s="13">
        <f>AI43*VLOOKUP('Données projet'!$B$10,Paramètres!$A$1:$I$89,3,0)*VLOOKUP('Données projet'!$B$10,Paramètres!$A$1:$I$89,5,0)</f>
        <v>236.95150000000001</v>
      </c>
      <c r="AK43" s="13">
        <f t="shared" si="35"/>
        <v>57.783143668102753</v>
      </c>
      <c r="AL43" s="20">
        <f t="shared" si="4"/>
        <v>513.32950438861235</v>
      </c>
      <c r="AM43" s="59">
        <f t="shared" si="5"/>
        <v>806.66283772194561</v>
      </c>
      <c r="AN43" s="59">
        <f ca="1">AVERAGE(OFFSET($AM$3,0,0,'Données projet'!$E$10+1,1))-AVERAGE(OFFSET($H$3,0,0,'Données projet'!$E$10+1,1))</f>
        <v>335.04906256888819</v>
      </c>
      <c r="AO43" s="59">
        <f t="shared" si="36"/>
        <v>440.84111898279554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42.530055722211095</v>
      </c>
      <c r="AV43" s="21">
        <f>EXP(-LN(2)/25)*AV42+(1-EXP(-LN(2)/25))/(LN(2)/25)*Calculateur!AQ43*Calculateur!AS43*VLOOKUP('Données projet'!$B$10,Paramètres!$A$1:$I$89,3,0)*0.475*44/12</f>
        <v>18.062861935828437</v>
      </c>
      <c r="AW43" s="21">
        <f>EXP(-LN(2)/2)*AW42+(1-EXP(-LN(2)/2))/(LN(2)/2)*AQ43*AT43*VLOOKUP('Données projet'!$B$10,Paramètres!$A$1:$I$89,3,0)*0.475*44/12</f>
        <v>1.6422118926446714</v>
      </c>
      <c r="AX43" s="21">
        <f t="shared" si="6"/>
        <v>62.235129550684206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11.380219780219781</v>
      </c>
      <c r="BD43" s="12">
        <f>IF('Données projet'!$A$88&gt;35,BD42+BC43-BL42,IF(A43&lt;'Données projet'!$A$88,$BA$205^A43,IF(A43='Données projet'!$A$88,'Données projet'!$B$88,BD42+BC43-BL42)))</f>
        <v>249.20549450549458</v>
      </c>
      <c r="BE43" s="13">
        <f>BD43*VLOOKUP('Données projet'!$B$11,Paramètres!$A$1:$I$89,3,0)*VLOOKUP('Données projet'!$B$11,Paramètres!$A$1:$I$89,5,0)</f>
        <v>142.54554285714292</v>
      </c>
      <c r="BF43" s="13">
        <f t="shared" si="37"/>
        <v>36.879540655490715</v>
      </c>
      <c r="BG43" s="20">
        <f t="shared" si="7"/>
        <v>312.49868711783694</v>
      </c>
      <c r="BH43" s="59">
        <f t="shared" si="8"/>
        <v>605.83202045117025</v>
      </c>
      <c r="BI43" s="59">
        <f ca="1">AVERAGE(OFFSET($BH$3,0,0,'Données projet'!$E$11+1,1))-AVERAGE(OFFSET($H$3,0,0,'Données projet'!$E$11+1,1))</f>
        <v>320.76883487964511</v>
      </c>
      <c r="BJ43" s="59">
        <f t="shared" si="38"/>
        <v>290.51177680335746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14.694416161486231</v>
      </c>
      <c r="BQ43" s="21">
        <f>EXP(-LN(2)/25)*BQ42+(1-EXP(-LN(2)/25))/(LN(2)/25)*Calculateur!BL43*Calculateur!BN43*VLOOKUP('Données projet'!$B$11,Paramètres!$A$1:$I$89,3,0)*0.475*44/12</f>
        <v>13.315334821780811</v>
      </c>
      <c r="BR43" s="21">
        <f>EXP(-LN(2)/2)*BR42+(1-EXP(-LN(2)/2))/(LN(2)/2)*BL43*BO43*VLOOKUP('Données projet'!$B$11,Paramètres!$A$1:$I$89,3,0)*0.475*44/12</f>
        <v>0.87990372419046869</v>
      </c>
      <c r="BS43" s="22">
        <f t="shared" si="9"/>
        <v>28.88965470745751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289</v>
      </c>
      <c r="BW43" s="12">
        <f>VLOOKUP(A43,'Données projet'!$A$113:$I$133,9,0)</f>
        <v>6.2</v>
      </c>
      <c r="BX43" s="12">
        <f t="array" ref="BX43">INDEX(BW:BW,MIN(IF(ISNUMBER(BW43:BW239),ROW(BW43:BW239),"")))</f>
        <v>6.2</v>
      </c>
      <c r="BY43" s="12">
        <f>IF('Données projet'!$A$114&gt;35,BY42+BX43-CG42,IF(A43&lt;'Données projet'!$A$114,$BV$205^A43,IF(A43='Données projet'!$A$114,'Données projet'!$B$114,BY42+BX43-CG42)))</f>
        <v>288.99999999999983</v>
      </c>
      <c r="BZ43" s="13">
        <f>BY43*VLOOKUP('Données projet'!$B$12,Paramètres!$A$1:$I$89,3,0)*VLOOKUP('Données projet'!$B$12,Paramètres!$A$1:$I$89,5,0)</f>
        <v>261.48719999999986</v>
      </c>
      <c r="CA43" s="13">
        <f t="shared" si="39"/>
        <v>63.039283586802334</v>
      </c>
      <c r="CB43" s="20">
        <f t="shared" si="10"/>
        <v>565.21695891368051</v>
      </c>
      <c r="CC43" s="59">
        <f t="shared" si="11"/>
        <v>858.55029224701389</v>
      </c>
      <c r="CD43" s="59">
        <f ca="1">AVERAGE(OFFSET($CC$3,0,0,'Données projet'!$E$12+1,1))-AVERAGE(OFFSET($H$3,0,0,'Données projet'!$E$12+1,1))</f>
        <v>366.69125512029831</v>
      </c>
      <c r="CE43" s="59">
        <f t="shared" si="40"/>
        <v>513.80016421153414</v>
      </c>
      <c r="CF43" s="15">
        <f>IF(ISNA(VLOOKUP(A43,'Données projet'!$A$113:$I$133,3,0)),0,VLOOKUP(A43,'Données projet'!$A$113:$I$133,3,0))</f>
        <v>8</v>
      </c>
      <c r="CG43" s="15">
        <f>IF(ISNA(VLOOKUP(A43,'Données projet'!$A$113:$I$133,4,0)),0,VLOOKUP(A43,'Données projet'!$A$113:$I$133,4,0))</f>
        <v>7</v>
      </c>
      <c r="CH43" s="16">
        <f>IF(ISNA(VLOOKUP(A43,'Données projet'!$A$113:$I$133,5,0)),0%,VLOOKUP(A43,'Données projet'!$A$113:$I$133,5,0)*VLOOKUP('Données projet'!$B$12,Paramètres!$A$1:$I$89,7,0))</f>
        <v>0.09</v>
      </c>
      <c r="CI43" s="16">
        <f>IF(ISNA(VLOOKUP(A43,'Données projet'!$A$113:$I$133,6,0)),0%,VLOOKUP(A43,'Données projet'!$A$113:$I$133,6,0)*VLOOKUP('Données projet'!$B$12,Paramètres!$A$1:$I$89,7,0))</f>
        <v>0.12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0.63014464762289035</v>
      </c>
      <c r="CL43" s="21">
        <f>EXP(-LN(2)/25)*CL42+(1-EXP(-LN(2)/25))/(LN(2)/25)*Calculateur!CG43*Calculateur!CI43*VLOOKUP('Données projet'!$B$12,Paramètres!$A$1:$I$89,3,0)*0.475*44/12</f>
        <v>4.6339429223895676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5.2640875700124576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9.3141025641025621</v>
      </c>
      <c r="CT43" s="12">
        <f>IF('Données projet'!$A$140&gt;35,CT42+CS43-DB42,IF(A43&lt;'Données projet'!$A$140,$CQ$205^A43,IF(A43='Données projet'!$A$140,'Données projet'!$B$140,CT42+CS43-DB42)))</f>
        <v>148.13461538461542</v>
      </c>
      <c r="CU43" s="17">
        <f>CT43*VLOOKUP('Données projet'!$B$13,Paramètres!$A$1:$I$89,3,0)*VLOOKUP('Données projet'!$B$13,Paramètres!$A$1:$I$89,5,0)</f>
        <v>99.368700000000032</v>
      </c>
      <c r="CV43" s="13">
        <f t="shared" si="41"/>
        <v>26.811543639598511</v>
      </c>
      <c r="CW43" s="20">
        <f t="shared" si="13"/>
        <v>219.76392433896743</v>
      </c>
      <c r="CX43" s="59">
        <f t="shared" si="14"/>
        <v>513.09725767230077</v>
      </c>
      <c r="CY43" s="59">
        <f ca="1">AVERAGE(OFFSET($CX$3,0,0,'Données projet'!$E$13+1,1))-AVERAGE(OFFSET($H$3,0,0,'Données projet'!$E$13+1,1))</f>
        <v>294.94331863127815</v>
      </c>
      <c r="CZ43" s="59">
        <f t="shared" si="42"/>
        <v>218.36990036643977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192</v>
      </c>
      <c r="DP43" s="17">
        <f>DO43*VLOOKUP('Données projet'!$B$14,Paramètres!$A$1:$I$89,3,0)*VLOOKUP('Données projet'!$B$14,Paramètres!$A$1:$I$89,5,0)</f>
        <v>140.77439999999999</v>
      </c>
      <c r="DQ43" s="13">
        <f t="shared" si="43"/>
        <v>36.474352666172102</v>
      </c>
      <c r="DR43" s="20">
        <f t="shared" si="16"/>
        <v>308.70824422691641</v>
      </c>
      <c r="DS43" s="59">
        <f t="shared" si="17"/>
        <v>602.04157756024972</v>
      </c>
      <c r="DT43" s="59">
        <f ca="1">AVERAGE(OFFSET($DS$3,0,0,'Données projet'!$E$14+1,1))-AVERAGE(OFFSET($H$3,0,0,'Données projet'!$E$14+1,1))</f>
        <v>278.45534008146865</v>
      </c>
      <c r="DU43" s="59">
        <f t="shared" si="44"/>
        <v>272.97841038165217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0.16770000000000002</v>
      </c>
      <c r="DY43" s="16">
        <f>IF(ISNA(VLOOKUP(A43,'Données projet'!$A$165:$I$185,6,0)),0%,VLOOKUP(A43,'Données projet'!$A$165:$I$185,6,0)*VLOOKUP('Données projet'!$B$14,Paramètres!$A$1:$I$89,7,0))</f>
        <v>0.16770000000000002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5.7171264532621482</v>
      </c>
      <c r="EB43" s="21">
        <f>EXP(-LN(2)/25)*EB42+(1-EXP(-LN(2)/25))/(LN(2)/25)*Calculateur!DW43*Calculateur!DY43*VLOOKUP('Données projet'!$B$14,Paramètres!$A$1:$I$89,3,0)*0.475*44/12</f>
        <v>10.014879537179119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15.732005990441268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9.3141025641025621</v>
      </c>
      <c r="EJ43" s="12">
        <f>IF('Données projet'!$A$192&gt;35,EJ42+EI43-ER42,IF(A43&lt;'Données projet'!$A$192,$EG$205^A43,IF(A43='Données projet'!$A$192,'Données projet'!$B$192,EJ42+EI43-ER42)))</f>
        <v>148.13461538461542</v>
      </c>
      <c r="EK43" s="17">
        <f>EJ43*VLOOKUP('Données projet'!$B$15,Paramètres!$A$1:$I$89,3,0)*VLOOKUP('Données projet'!$B$15,Paramètres!$A$1:$I$89,5,0)</f>
        <v>159.45210000000003</v>
      </c>
      <c r="EL43" s="13">
        <f t="shared" si="45"/>
        <v>40.718910371482714</v>
      </c>
      <c r="EM43" s="20">
        <f t="shared" si="19"/>
        <v>348.63117639699908</v>
      </c>
      <c r="EN43" s="59">
        <f t="shared" si="20"/>
        <v>641.96450973033234</v>
      </c>
      <c r="EO43" s="59">
        <f ca="1">AVERAGE(OFFSET($EN$3,0,0,'Données projet'!$E$15+1,1))-AVERAGE(OFFSET($H$3,0,0,'Données projet'!$E$15+1,1))</f>
        <v>449.09332781196957</v>
      </c>
      <c r="EP43" s="59">
        <f t="shared" si="46"/>
        <v>324.85904971519432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9.3141025641025621</v>
      </c>
      <c r="FE43" s="12">
        <f>IF('Données projet'!$A$218&gt;35,FE42+FD43-FM42,IF(A43&lt;'Données projet'!$A$218,$FB$205^A43,IF(A43='Données projet'!$A$218,'Données projet'!$B$218,FE42+FD43-FM42)))</f>
        <v>148.13461538461542</v>
      </c>
      <c r="FF43" s="17">
        <f>FE43*VLOOKUP('Données projet'!$B$16,Paramètres!$A$1:$I$89,3,0)*VLOOKUP('Données projet'!$B$16,Paramètres!$A$1:$I$89,5,0)</f>
        <v>150.20850000000004</v>
      </c>
      <c r="FG43" s="13">
        <f t="shared" si="47"/>
        <v>38.625964162869636</v>
      </c>
      <c r="FH43" s="20">
        <f t="shared" si="22"/>
        <v>328.88669175033129</v>
      </c>
      <c r="FI43" s="59">
        <f t="shared" si="23"/>
        <v>622.22002508366461</v>
      </c>
      <c r="FJ43" s="59">
        <f ca="1">AVERAGE(OFFSET($FI$3,0,0,'Données projet'!$E$16+1,1))-AVERAGE(OFFSET($H$3,0,0,'Données projet'!$E$16+1,1))</f>
        <v>419.51168383014721</v>
      </c>
      <c r="FK43" s="59">
        <f t="shared" si="48"/>
        <v>213.44145308833384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192</v>
      </c>
      <c r="FX43" s="12">
        <f>VLOOKUP(A43,'Données projet'!$A$243:$I$263,9,0)</f>
        <v>9.6</v>
      </c>
      <c r="FY43" s="12">
        <f t="array" ref="FY43">INDEX(FX:FX,MIN(IF(ISNUMBER(FX43:FX239),ROW(FX43:FX239),"")))</f>
        <v>9.6</v>
      </c>
      <c r="FZ43" s="12">
        <f>IF('Données projet'!$A$244&gt;35,FZ42+FY43-GH42,IF(A43&lt;'Données projet'!$A$244,$FW$205^A43,IF(A43='Données projet'!$A$244,'Données projet'!$B$244,FZ42+FY43-GH42)))</f>
        <v>192</v>
      </c>
      <c r="GA43" s="17">
        <f>FZ43*VLOOKUP('Données projet'!$B$17,Paramètres!$A$1:$I$89,3,0)*VLOOKUP('Données projet'!$B$17,Paramètres!$A$1:$I$89,5,0)</f>
        <v>167.73120000000003</v>
      </c>
      <c r="GB43" s="13">
        <f t="shared" si="49"/>
        <v>42.581491199832655</v>
      </c>
      <c r="GC43" s="20">
        <f t="shared" si="25"/>
        <v>366.29460383970854</v>
      </c>
      <c r="GD43" s="59">
        <f t="shared" si="26"/>
        <v>659.6279371730418</v>
      </c>
      <c r="GE43" s="59">
        <f ca="1">AVERAGE(OFFSET($GD$3,0,0,'Données projet'!$E$17+1,1))-AVERAGE(OFFSET($H$3,0,0,'Données projet'!$E$17+1,1))</f>
        <v>324.86930206492627</v>
      </c>
      <c r="GF43" s="59">
        <f t="shared" si="50"/>
        <v>317.03005098025352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28</v>
      </c>
      <c r="GI43" s="16">
        <f>IF(ISNA(VLOOKUP(A43,'Données projet'!$A$243:$I$263,5,0)),0%,VLOOKUP(A43,'Données projet'!$A$243:$I$263,5,0)*VLOOKUP('Données projet'!$B$17,Paramètres!$A$1:$I$89,7,0))</f>
        <v>0.20670000000000002</v>
      </c>
      <c r="GJ43" s="16">
        <f>IF(ISNA(VLOOKUP(A43,'Données projet'!$A$243:$I$263,6,0)),0%,VLOOKUP(A43,'Données projet'!$A$243:$I$263,6,0)*VLOOKUP('Données projet'!$B$17,Paramètres!$A$1:$I$89,7,0))</f>
        <v>0.20670000000000002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8.3960570575368934</v>
      </c>
      <c r="GM43" s="21">
        <f>EXP(-LN(2)/25)*GM42+(1-EXP(-LN(2)/25))/(LN(2)/25)*Calculateur!GH43*Calculateur!GJ43*VLOOKUP('Données projet'!$B$17,Paramètres!$A$1:$I$89,3,0)*0.475*44/12</f>
        <v>14.707650898737079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23.103707956273972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9.3141025641025621</v>
      </c>
      <c r="GU43" s="12">
        <f>IF('Données projet'!$A$270&gt;35,GU42+GT43-HC42,IF(A43&lt;'Données projet'!$A$270,$GR$205^A43,IF(A43='Données projet'!$A$270,'Données projet'!$B$270,GU42+GT43-HC42)))</f>
        <v>148.13461538461542</v>
      </c>
      <c r="GV43" s="17">
        <f>GU43*VLOOKUP('Données projet'!$B$18,Paramètres!$A$1:$I$89,3,0)*VLOOKUP('Données projet'!$B$18,Paramètres!$A$1:$I$89,5,0)</f>
        <v>140.96490000000003</v>
      </c>
      <c r="GW43" s="13">
        <f t="shared" si="51"/>
        <v>36.51796209583523</v>
      </c>
      <c r="GX43" s="20">
        <f t="shared" si="28"/>
        <v>309.115984816913</v>
      </c>
      <c r="GY43" s="59">
        <f t="shared" si="29"/>
        <v>602.44931815024631</v>
      </c>
      <c r="GZ43" s="59">
        <f ca="1">AVERAGE(OFFSET($GY$3,0,0,'Données projet'!$E$18+1,1))-AVERAGE(OFFSET($H$3,0,0,'Données projet'!$E$18+1,1))</f>
        <v>401.81944956556271</v>
      </c>
      <c r="HA43" s="59">
        <f t="shared" si="52"/>
        <v>292.20785523952651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0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9.3141025641025621</v>
      </c>
      <c r="M44" s="12">
        <f t="array" ref="M44">INDEX(L:L,MIN(IF(ISNUMBER(L44:L240),ROW(L44:L240),"")))</f>
        <v>9.3141025641025621</v>
      </c>
      <c r="N44" s="13">
        <f>IF('Données projet'!$A$36&gt;35,N43+M44-V43,IF(A44&lt;'Données projet'!$A$36,$K$205^A44,IF(A44='Données projet'!$A$36,'Données projet'!$B$36,N43+M44-V43)))</f>
        <v>157.44871794871798</v>
      </c>
      <c r="O44" s="13">
        <f>N44*VLOOKUP('Données projet'!$B$9,Paramètres!$A$1:$I$89,3,0)*VLOOKUP('Données projet'!$B$9,Paramètres!$A$1:$I$89,5,0)</f>
        <v>142.45960000000002</v>
      </c>
      <c r="P44" s="13">
        <f t="shared" si="33"/>
        <v>36.859892915688405</v>
      </c>
      <c r="Q44" s="20">
        <f t="shared" si="53"/>
        <v>312.31478349482404</v>
      </c>
      <c r="R44" s="59">
        <f t="shared" si="0"/>
        <v>605.6481168281573</v>
      </c>
      <c r="S44" s="59">
        <f ca="1">AVERAGE(OFFSET($R$3,0,0,'Données projet'!$E$9+1,1))-AVERAGE(OFFSET($H$3,0,0,'Données projet'!$E$9+1,1))</f>
        <v>384.05928630855732</v>
      </c>
      <c r="T44" s="59">
        <f t="shared" si="34"/>
        <v>279.93992813630513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22.419230769230751</v>
      </c>
      <c r="AI44" s="13">
        <f>IF('Données projet'!$A$62&gt;35,AI43+AH44-AQ43,IF(A44&lt;'Données projet'!$A$62,$AF$205^A44,IF(A44='Données projet'!$A$62,'Données projet'!$B$62,AI43+AH44-AQ43)))</f>
        <v>446.30384615384611</v>
      </c>
      <c r="AJ44" s="13">
        <f>AI44*VLOOKUP('Données projet'!$B$10,Paramètres!$A$1:$I$89,3,0)*VLOOKUP('Données projet'!$B$10,Paramètres!$A$1:$I$89,5,0)</f>
        <v>249.48384999999996</v>
      </c>
      <c r="AK44" s="13">
        <f t="shared" si="35"/>
        <v>60.475401807280001</v>
      </c>
      <c r="AL44" s="20">
        <f t="shared" si="4"/>
        <v>539.8456968976792</v>
      </c>
      <c r="AM44" s="59">
        <f t="shared" si="5"/>
        <v>833.17903023101258</v>
      </c>
      <c r="AN44" s="59">
        <f ca="1">AVERAGE(OFFSET($AM$3,0,0,'Données projet'!$E$10+1,1))-AVERAGE(OFFSET($H$3,0,0,'Données projet'!$E$10+1,1))</f>
        <v>335.04906256888819</v>
      </c>
      <c r="AO44" s="59">
        <f t="shared" si="36"/>
        <v>440.84111898279554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41.696067270271087</v>
      </c>
      <c r="AV44" s="21">
        <f>EXP(-LN(2)/25)*AV43+(1-EXP(-LN(2)/25))/(LN(2)/25)*Calculateur!AQ44*Calculateur!AS44*VLOOKUP('Données projet'!$B$10,Paramètres!$A$1:$I$89,3,0)*0.475*44/12</f>
        <v>17.568932026308584</v>
      </c>
      <c r="AW44" s="21">
        <f>EXP(-LN(2)/2)*AW43+(1-EXP(-LN(2)/2))/(LN(2)/2)*AQ44*AT44*VLOOKUP('Données projet'!$B$10,Paramètres!$A$1:$I$89,3,0)*0.475*44/12</f>
        <v>1.1612191654342419</v>
      </c>
      <c r="AX44" s="21">
        <f t="shared" si="6"/>
        <v>60.426218462013914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11.380219780219781</v>
      </c>
      <c r="BD44" s="12">
        <f>IF('Données projet'!$A$88&gt;35,BD43+BC44-BL43,IF(A44&lt;'Données projet'!$A$88,$BA$205^A44,IF(A44='Données projet'!$A$88,'Données projet'!$B$88,BD43+BC44-BL43)))</f>
        <v>260.58571428571435</v>
      </c>
      <c r="BE44" s="13">
        <f>BD44*VLOOKUP('Données projet'!$B$11,Paramètres!$A$1:$I$89,3,0)*VLOOKUP('Données projet'!$B$11,Paramètres!$A$1:$I$89,5,0)</f>
        <v>149.05502857142861</v>
      </c>
      <c r="BF44" s="13">
        <f t="shared" si="37"/>
        <v>38.363758550427406</v>
      </c>
      <c r="BG44" s="20">
        <f t="shared" si="7"/>
        <v>326.42105423723257</v>
      </c>
      <c r="BH44" s="59">
        <f t="shared" si="8"/>
        <v>619.75438757056588</v>
      </c>
      <c r="BI44" s="59">
        <f ca="1">AVERAGE(OFFSET($BH$3,0,0,'Données projet'!$E$11+1,1))-AVERAGE(OFFSET($H$3,0,0,'Données projet'!$E$11+1,1))</f>
        <v>320.76883487964511</v>
      </c>
      <c r="BJ44" s="59">
        <f t="shared" si="38"/>
        <v>290.51177680335746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14.40626762326835</v>
      </c>
      <c r="BQ44" s="21">
        <f>EXP(-LN(2)/25)*BQ43+(1-EXP(-LN(2)/25))/(LN(2)/25)*Calculateur!BL44*Calculateur!BN44*VLOOKUP('Données projet'!$B$11,Paramètres!$A$1:$I$89,3,0)*0.475*44/12</f>
        <v>12.951226290856189</v>
      </c>
      <c r="BR44" s="21">
        <f>EXP(-LN(2)/2)*BR43+(1-EXP(-LN(2)/2))/(LN(2)/2)*BL44*BO44*VLOOKUP('Données projet'!$B$11,Paramètres!$A$1:$I$89,3,0)*0.475*44/12</f>
        <v>0.62218589016637804</v>
      </c>
      <c r="BS44" s="22">
        <f t="shared" si="9"/>
        <v>27.979679804290917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</v>
      </c>
      <c r="BY44" s="12">
        <f>IF('Données projet'!$A$114&gt;35,BY43+BX44-CG43,IF(A44&lt;'Données projet'!$A$114,$BV$205^A44,IF(A44='Données projet'!$A$114,'Données projet'!$B$114,BY43+BX44-CG43)))</f>
        <v>287.99999999999983</v>
      </c>
      <c r="BZ44" s="13">
        <f>BY44*VLOOKUP('Données projet'!$B$12,Paramètres!$A$1:$I$89,3,0)*VLOOKUP('Données projet'!$B$12,Paramètres!$A$1:$I$89,5,0)</f>
        <v>260.58239999999984</v>
      </c>
      <c r="CA44" s="13">
        <f t="shared" si="39"/>
        <v>62.84650592989685</v>
      </c>
      <c r="CB44" s="20">
        <f t="shared" si="10"/>
        <v>563.30534449457014</v>
      </c>
      <c r="CC44" s="59">
        <f t="shared" si="11"/>
        <v>856.63867782790339</v>
      </c>
      <c r="CD44" s="59">
        <f ca="1">AVERAGE(OFFSET($CC$3,0,0,'Données projet'!$E$12+1,1))-AVERAGE(OFFSET($H$3,0,0,'Données projet'!$E$12+1,1))</f>
        <v>366.69125512029831</v>
      </c>
      <c r="CE44" s="59">
        <f t="shared" si="40"/>
        <v>513.80016421153414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0.61778789543328905</v>
      </c>
      <c r="CL44" s="21">
        <f>EXP(-LN(2)/25)*CL43+(1-EXP(-LN(2)/25))/(LN(2)/25)*Calculateur!CG44*Calculateur!CI44*VLOOKUP('Données projet'!$B$12,Paramètres!$A$1:$I$89,3,0)*0.475*44/12</f>
        <v>4.5072275094883576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5.1250154049216468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157.44871794871796</v>
      </c>
      <c r="CR44" s="12">
        <f>VLOOKUP(A44,'Données projet'!$A$139:$I$159,9,0)</f>
        <v>9.3141025641025621</v>
      </c>
      <c r="CS44" s="12">
        <f t="array" ref="CS44">INDEX(CR:CR,MIN(IF(ISNUMBER(CR44:CR240),ROW(CR44:CR240),"")))</f>
        <v>9.3141025641025621</v>
      </c>
      <c r="CT44" s="12">
        <f>IF('Données projet'!$A$140&gt;35,CT43+CS44-DB43,IF(A44&lt;'Données projet'!$A$140,$CQ$205^A44,IF(A44='Données projet'!$A$140,'Données projet'!$B$140,CT43+CS44-DB43)))</f>
        <v>157.44871794871798</v>
      </c>
      <c r="CU44" s="17">
        <f>CT44*VLOOKUP('Données projet'!$B$13,Paramètres!$A$1:$I$89,3,0)*VLOOKUP('Données projet'!$B$13,Paramètres!$A$1:$I$89,5,0)</f>
        <v>105.61660000000002</v>
      </c>
      <c r="CV44" s="13">
        <f t="shared" si="41"/>
        <v>28.295789854288593</v>
      </c>
      <c r="CW44" s="20">
        <f t="shared" si="13"/>
        <v>233.23074566288599</v>
      </c>
      <c r="CX44" s="59">
        <f t="shared" si="14"/>
        <v>526.56407899621934</v>
      </c>
      <c r="CY44" s="59">
        <f ca="1">AVERAGE(OFFSET($CX$3,0,0,'Données projet'!$E$13+1,1))-AVERAGE(OFFSET($H$3,0,0,'Données projet'!$E$13+1,1))</f>
        <v>294.94331863127815</v>
      </c>
      <c r="CZ44" s="59">
        <f t="shared" si="42"/>
        <v>218.36990036643977</v>
      </c>
      <c r="DA44" s="15">
        <f>IF(ISNA(VLOOKUP(A44,'Données projet'!$A$139:$I$159,3,0)),0,VLOOKUP(A44,'Données projet'!$A$139:$I$159,3,0))</f>
        <v>2</v>
      </c>
      <c r="DB44" s="15">
        <f>IF(ISNA(VLOOKUP(A44,'Données projet'!$A$139:$I$159,4,0)),0,VLOOKUP(A44,'Données projet'!$A$139:$I$159,4,0))</f>
        <v>38.512820512820511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172.2</v>
      </c>
      <c r="DP44" s="17">
        <f>DO44*VLOOKUP('Données projet'!$B$14,Paramètres!$A$1:$I$89,3,0)*VLOOKUP('Données projet'!$B$14,Paramètres!$A$1:$I$89,5,0)</f>
        <v>126.25703999999998</v>
      </c>
      <c r="DQ44" s="13">
        <f t="shared" si="43"/>
        <v>33.130006114881219</v>
      </c>
      <c r="DR44" s="20">
        <f t="shared" si="16"/>
        <v>277.59910531675143</v>
      </c>
      <c r="DS44" s="59">
        <f t="shared" si="17"/>
        <v>570.9324386500848</v>
      </c>
      <c r="DT44" s="59">
        <f ca="1">AVERAGE(OFFSET($DS$3,0,0,'Données projet'!$E$14+1,1))-AVERAGE(OFFSET($H$3,0,0,'Données projet'!$E$14+1,1))</f>
        <v>278.45534008146865</v>
      </c>
      <c r="DU44" s="59">
        <f t="shared" si="44"/>
        <v>272.97841038165217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5.6050170906164913</v>
      </c>
      <c r="EB44" s="21">
        <f>EXP(-LN(2)/25)*EB43+(1-EXP(-LN(2)/25))/(LN(2)/25)*Calculateur!DW44*Calculateur!DY44*VLOOKUP('Données projet'!$B$14,Paramètres!$A$1:$I$89,3,0)*0.475*44/12</f>
        <v>9.741022129575331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15.346039220191823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>
        <f>VLOOKUP(A44,'Données projet'!$A$191:$I$211,2,0)</f>
        <v>157.44871794871796</v>
      </c>
      <c r="EH44" s="12">
        <f>VLOOKUP(A44,'Données projet'!$A$191:$I$211,9,0)</f>
        <v>9.3141025641025621</v>
      </c>
      <c r="EI44" s="12">
        <f t="array" ref="EI44">INDEX(EH:EH,MIN(IF(ISNUMBER(EH44:EH240),ROW(EH44:EH240),"")))</f>
        <v>9.3141025641025621</v>
      </c>
      <c r="EJ44" s="12">
        <f>IF('Données projet'!$A$192&gt;35,EJ43+EI44-ER43,IF(A44&lt;'Données projet'!$A$192,$EG$205^A44,IF(A44='Données projet'!$A$192,'Données projet'!$B$192,EJ43+EI44-ER43)))</f>
        <v>157.44871794871798</v>
      </c>
      <c r="EK44" s="17">
        <f>EJ44*VLOOKUP('Données projet'!$B$15,Paramètres!$A$1:$I$89,3,0)*VLOOKUP('Données projet'!$B$15,Paramètres!$A$1:$I$89,5,0)</f>
        <v>169.47780000000003</v>
      </c>
      <c r="EL44" s="13">
        <f t="shared" si="45"/>
        <v>42.973047223786786</v>
      </c>
      <c r="EM44" s="20">
        <f t="shared" si="19"/>
        <v>370.01855891476202</v>
      </c>
      <c r="EN44" s="59">
        <f t="shared" si="20"/>
        <v>663.35189224809528</v>
      </c>
      <c r="EO44" s="59">
        <f ca="1">AVERAGE(OFFSET($EN$3,0,0,'Données projet'!$E$15+1,1))-AVERAGE(OFFSET($H$3,0,0,'Données projet'!$E$15+1,1))</f>
        <v>449.09332781196957</v>
      </c>
      <c r="EP44" s="59">
        <f t="shared" si="46"/>
        <v>324.85904971519432</v>
      </c>
      <c r="EQ44" s="15">
        <f>IF(ISNA(VLOOKUP(A44,'Données projet'!$A$191:$I$211,3,0)),0,VLOOKUP(A44,'Données projet'!$A$191:$I$211,3,0))</f>
        <v>2</v>
      </c>
      <c r="ER44" s="15">
        <f>IF(ISNA(VLOOKUP(A44,'Données projet'!$A$191:$I$211,4,0)),0,VLOOKUP(A44,'Données projet'!$A$191:$I$211,4,0))</f>
        <v>38.512820512820511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>
        <f>VLOOKUP(A44,'Données projet'!$A$217:$I$237,2,0)</f>
        <v>157.44871794871796</v>
      </c>
      <c r="FC44" s="12">
        <f>VLOOKUP(A44,'Données projet'!$A$217:$I$237,9,0)</f>
        <v>9.3141025641025621</v>
      </c>
      <c r="FD44" s="12">
        <f t="array" ref="FD44">INDEX(FC:FC,MIN(IF(ISNUMBER(FC44:FC240),ROW(FC44:FC240),"")))</f>
        <v>9.3141025641025621</v>
      </c>
      <c r="FE44" s="12">
        <f>IF('Données projet'!$A$218&gt;35,FE43+FD44-FM43,IF(A44&lt;'Données projet'!$A$218,$FB$205^A44,IF(A44='Données projet'!$A$218,'Données projet'!$B$218,FE43+FD44-FM43)))</f>
        <v>157.44871794871798</v>
      </c>
      <c r="FF44" s="17">
        <f>FE44*VLOOKUP('Données projet'!$B$16,Paramètres!$A$1:$I$89,3,0)*VLOOKUP('Données projet'!$B$16,Paramètres!$A$1:$I$89,5,0)</f>
        <v>159.65300000000005</v>
      </c>
      <c r="FG44" s="13">
        <f t="shared" si="47"/>
        <v>40.764238701185349</v>
      </c>
      <c r="FH44" s="20">
        <f t="shared" si="22"/>
        <v>349.06002407123123</v>
      </c>
      <c r="FI44" s="59">
        <f t="shared" si="23"/>
        <v>642.39335740456454</v>
      </c>
      <c r="FJ44" s="59">
        <f ca="1">AVERAGE(OFFSET($FI$3,0,0,'Données projet'!$E$16+1,1))-AVERAGE(OFFSET($H$3,0,0,'Données projet'!$E$16+1,1))</f>
        <v>419.51168383014721</v>
      </c>
      <c r="FK44" s="59">
        <f t="shared" si="48"/>
        <v>213.44145308833384</v>
      </c>
      <c r="FL44" s="15">
        <f>IF(ISNA(VLOOKUP(A44,'Données projet'!$A$217:$I$237,3,0)),0,VLOOKUP(A44,'Données projet'!$A$217:$I$237,3,0))</f>
        <v>2</v>
      </c>
      <c r="FM44" s="15">
        <f>IF(ISNA(VLOOKUP(A44,'Données projet'!$A$217:$I$237,4,0)),0,VLOOKUP(A44,'Données projet'!$A$217:$I$237,4,0))</f>
        <v>38.512820512820511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8.1999999999999993</v>
      </c>
      <c r="FZ44" s="12">
        <f>IF('Données projet'!$A$244&gt;35,FZ43+FY44-GH43,IF(A44&lt;'Données projet'!$A$244,$FW$205^A44,IF(A44='Données projet'!$A$244,'Données projet'!$B$244,FZ43+FY44-GH43)))</f>
        <v>172.2</v>
      </c>
      <c r="GA44" s="17">
        <f>FZ44*VLOOKUP('Données projet'!$B$17,Paramètres!$A$1:$I$89,3,0)*VLOOKUP('Données projet'!$B$17,Paramètres!$A$1:$I$89,5,0)</f>
        <v>150.43392</v>
      </c>
      <c r="GB44" s="13">
        <f t="shared" si="49"/>
        <v>38.677178913707927</v>
      </c>
      <c r="GC44" s="20">
        <f t="shared" si="25"/>
        <v>329.36849727470798</v>
      </c>
      <c r="GD44" s="59">
        <f t="shared" si="26"/>
        <v>622.70183060804129</v>
      </c>
      <c r="GE44" s="59">
        <f ca="1">AVERAGE(OFFSET($GD$3,0,0,'Données projet'!$E$17+1,1))-AVERAGE(OFFSET($H$3,0,0,'Données projet'!$E$17+1,1))</f>
        <v>324.86930206492627</v>
      </c>
      <c r="GF44" s="59">
        <f t="shared" si="50"/>
        <v>317.03005098025352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8.2314154997277349</v>
      </c>
      <c r="GM44" s="21">
        <f>EXP(-LN(2)/25)*GM43+(1-EXP(-LN(2)/25))/(LN(2)/25)*Calculateur!GH44*Calculateur!GJ44*VLOOKUP('Données projet'!$B$17,Paramètres!$A$1:$I$89,3,0)*0.475*44/12</f>
        <v>14.305469411469367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22.536884911197102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>
        <f>VLOOKUP(A44,'Données projet'!$A$269:$I$289,2,0)</f>
        <v>157.44871794871796</v>
      </c>
      <c r="GS44" s="12">
        <f>VLOOKUP(A44,'Données projet'!$A$269:$I$289,9,0)</f>
        <v>9.3141025641025621</v>
      </c>
      <c r="GT44" s="12">
        <f t="array" ref="GT44">INDEX(GS:GS,MIN(IF(ISNUMBER(GS44:GS240),ROW(GS44:GS240),"")))</f>
        <v>9.3141025641025621</v>
      </c>
      <c r="GU44" s="12">
        <f>IF('Données projet'!$A$270&gt;35,GU43+GT44-HC43,IF(A44&lt;'Données projet'!$A$270,$GR$205^A44,IF(A44='Données projet'!$A$270,'Données projet'!$B$270,GU43+GT44-HC43)))</f>
        <v>157.44871794871798</v>
      </c>
      <c r="GV44" s="17">
        <f>GU44*VLOOKUP('Données projet'!$B$18,Paramètres!$A$1:$I$89,3,0)*VLOOKUP('Données projet'!$B$18,Paramètres!$A$1:$I$89,5,0)</f>
        <v>149.82820000000004</v>
      </c>
      <c r="GW44" s="13">
        <f t="shared" si="51"/>
        <v>38.539540850774493</v>
      </c>
      <c r="GX44" s="20">
        <f t="shared" si="28"/>
        <v>328.07381531509895</v>
      </c>
      <c r="GY44" s="59">
        <f t="shared" si="29"/>
        <v>621.40714864843221</v>
      </c>
      <c r="GZ44" s="59">
        <f ca="1">AVERAGE(OFFSET($GY$3,0,0,'Données projet'!$E$18+1,1))-AVERAGE(OFFSET($H$3,0,0,'Données projet'!$E$18+1,1))</f>
        <v>401.81944956556271</v>
      </c>
      <c r="HA44" s="59">
        <f t="shared" si="52"/>
        <v>292.20785523952651</v>
      </c>
      <c r="HB44" s="15">
        <f>IF(ISNA(VLOOKUP(A44,'Données projet'!$A$269:$I$289,3,0)),0,VLOOKUP(A44,'Données projet'!$A$269:$I$289,3,0))</f>
        <v>2</v>
      </c>
      <c r="HC44" s="15">
        <f>IF(ISNA(VLOOKUP(A44,'Données projet'!$A$269:$I$289,4,0)),0,VLOOKUP(A44,'Données projet'!$A$269:$I$289,4,0))</f>
        <v>38.512820512820511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0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33"/>
        <v>30.75633490516044</v>
      </c>
      <c r="Q45" s="20">
        <f t="shared" si="53"/>
        <v>255.72039353124975</v>
      </c>
      <c r="R45" s="59">
        <f t="shared" si="0"/>
        <v>549.05372686458304</v>
      </c>
      <c r="S45" s="59">
        <f ca="1">AVERAGE(OFFSET($R$3,0,0,'Données projet'!$E$9+1,1))-AVERAGE(OFFSET($H$3,0,0,'Données projet'!$E$9+1,1))</f>
        <v>384.05928630855732</v>
      </c>
      <c r="T45" s="59">
        <f t="shared" si="34"/>
        <v>279.93992813630513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468.72307692307686</v>
      </c>
      <c r="AG45" s="12">
        <f>VLOOKUP(A45,'Données projet'!$A$61:$I$81,9,0)</f>
        <v>22.419230769230751</v>
      </c>
      <c r="AH45" s="12">
        <f t="array" ref="AH45">INDEX(AG:AG,MIN(IF(ISNUMBER(AG45:AG241),ROW(AG45:AG241),"")))</f>
        <v>22.419230769230751</v>
      </c>
      <c r="AI45" s="13">
        <f>IF('Données projet'!$A$62&gt;35,AI44+AH45-AQ44,IF(A45&lt;'Données projet'!$A$62,$AF$205^A45,IF(A45='Données projet'!$A$62,'Données projet'!$B$62,AI44+AH45-AQ44)))</f>
        <v>468.72307692307686</v>
      </c>
      <c r="AJ45" s="13">
        <f>AI45*VLOOKUP('Données projet'!$B$10,Paramètres!$A$1:$I$89,3,0)*VLOOKUP('Données projet'!$B$10,Paramètres!$A$1:$I$89,5,0)</f>
        <v>262.01619999999997</v>
      </c>
      <c r="AK45" s="13">
        <f t="shared" si="35"/>
        <v>63.151956912854622</v>
      </c>
      <c r="AL45" s="20">
        <f t="shared" si="4"/>
        <v>566.33453995655509</v>
      </c>
      <c r="AM45" s="59">
        <f t="shared" si="5"/>
        <v>859.66787328988835</v>
      </c>
      <c r="AN45" s="59">
        <f ca="1">AVERAGE(OFFSET($AM$3,0,0,'Données projet'!$E$10+1,1))-AVERAGE(OFFSET($H$3,0,0,'Données projet'!$E$10+1,1))</f>
        <v>335.04906256888819</v>
      </c>
      <c r="AO45" s="59">
        <f t="shared" si="36"/>
        <v>440.84111898279554</v>
      </c>
      <c r="AP45" s="15">
        <f>IF(ISNA(VLOOKUP(A45,'Données projet'!$A$61:$I$81,3,0)),0,VLOOKUP(A45,'Données projet'!$A$61:$I$81,3,0))</f>
        <v>5</v>
      </c>
      <c r="AQ45" s="15">
        <f>IF(ISNA(VLOOKUP(A45,'Données projet'!$A$61:$I$81,4,0)),0,VLOOKUP(A45,'Données projet'!$A$61:$I$81,4,0))</f>
        <v>73.392307692307682</v>
      </c>
      <c r="AR45" s="16">
        <f>IF(ISNA(VLOOKUP(A45,'Données projet'!$A$61:$I$81,5,0)),0%,VLOOKUP(A45,'Données projet'!$A$61:$I$81,5,0)*VLOOKUP('Données projet'!$B$10,Paramètres!$A$1:$I$89,7,0))</f>
        <v>0.38500000000000001</v>
      </c>
      <c r="AS45" s="16">
        <f>IF(ISNA(VLOOKUP(A45,'Données projet'!$A$61:$I$81,6,0)),0%,VLOOKUP(A45,'Données projet'!$A$61:$I$81,6,0)*VLOOKUP('Données projet'!$B$10,Paramètres!$A$1:$I$89,7,0))</f>
        <v>9.240000000000001E-2</v>
      </c>
      <c r="AT45" s="16">
        <f>IF(ISNA(VLOOKUP(A45,'Données projet'!$A$61:$I$81,7,0)),0%,VLOOKUP(A45,'Données projet'!$A$61:$I$81,7,0))</f>
        <v>0.13200000000000001</v>
      </c>
      <c r="AU45" s="21">
        <f>EXP(-LN(2)/35)*AU44+(1-EXP(-LN(2)/35))/(LN(2)/35)*AQ45*AR45*VLOOKUP('Données projet'!$B$10,Paramètres!$A$1:$I$89,3,0)*0.475*44/12</f>
        <v>61.831684880697594</v>
      </c>
      <c r="AV45" s="21">
        <f>EXP(-LN(2)/25)*AV44+(1-EXP(-LN(2)/25))/(LN(2)/25)*Calculateur!AQ45*Calculateur!AS45*VLOOKUP('Données projet'!$B$10,Paramètres!$A$1:$I$89,3,0)*0.475*44/12</f>
        <v>22.097488925021114</v>
      </c>
      <c r="AW45" s="21">
        <f>EXP(-LN(2)/2)*AW44+(1-EXP(-LN(2)/2))/(LN(2)/2)*AQ45*AT45*VLOOKUP('Données projet'!$B$10,Paramètres!$A$1:$I$89,3,0)*0.475*44/12</f>
        <v>6.9526777981796624</v>
      </c>
      <c r="AX45" s="21">
        <f t="shared" si="6"/>
        <v>90.881851603898369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11.380219780219781</v>
      </c>
      <c r="BD45" s="12">
        <f>IF('Données projet'!$A$88&gt;35,BD44+BC45-BL44,IF(A45&lt;'Données projet'!$A$88,$BA$205^A45,IF(A45='Données projet'!$A$88,'Données projet'!$B$88,BD44+BC45-BL44)))</f>
        <v>271.96593406593411</v>
      </c>
      <c r="BE45" s="13">
        <f>BD45*VLOOKUP('Données projet'!$B$11,Paramètres!$A$1:$I$89,3,0)*VLOOKUP('Données projet'!$B$11,Paramètres!$A$1:$I$89,5,0)</f>
        <v>155.56451428571432</v>
      </c>
      <c r="BF45" s="13">
        <f t="shared" si="37"/>
        <v>39.84044821120888</v>
      </c>
      <c r="BG45" s="20">
        <f t="shared" si="7"/>
        <v>340.33030968214121</v>
      </c>
      <c r="BH45" s="59">
        <f t="shared" si="8"/>
        <v>633.66364301547446</v>
      </c>
      <c r="BI45" s="59">
        <f ca="1">AVERAGE(OFFSET($BH$3,0,0,'Données projet'!$E$11+1,1))-AVERAGE(OFFSET($H$3,0,0,'Données projet'!$E$11+1,1))</f>
        <v>320.76883487964511</v>
      </c>
      <c r="BJ45" s="59">
        <f t="shared" si="38"/>
        <v>290.51177680335746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14.123769502131669</v>
      </c>
      <c r="BQ45" s="21">
        <f>EXP(-LN(2)/25)*BQ44+(1-EXP(-LN(2)/25))/(LN(2)/25)*Calculateur!BL45*Calculateur!BN45*VLOOKUP('Données projet'!$B$11,Paramètres!$A$1:$I$89,3,0)*0.475*44/12</f>
        <v>12.597074326857337</v>
      </c>
      <c r="BR45" s="21">
        <f>EXP(-LN(2)/2)*BR44+(1-EXP(-LN(2)/2))/(LN(2)/2)*BL45*BO45*VLOOKUP('Données projet'!$B$11,Paramètres!$A$1:$I$89,3,0)*0.475*44/12</f>
        <v>0.4399518620952344</v>
      </c>
      <c r="BS45" s="22">
        <f t="shared" si="9"/>
        <v>27.160795691084239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</v>
      </c>
      <c r="BY45" s="12">
        <f>IF('Données projet'!$A$114&gt;35,BY44+BX45-CG44,IF(A45&lt;'Données projet'!$A$114,$BV$205^A45,IF(A45='Données projet'!$A$114,'Données projet'!$B$114,BY44+BX45-CG44)))</f>
        <v>293.99999999999983</v>
      </c>
      <c r="BZ45" s="13">
        <f>BY45*VLOOKUP('Données projet'!$B$12,Paramètres!$A$1:$I$89,3,0)*VLOOKUP('Données projet'!$B$12,Paramètres!$A$1:$I$89,5,0)</f>
        <v>266.01119999999986</v>
      </c>
      <c r="CA45" s="13">
        <f t="shared" si="39"/>
        <v>64.00201337612566</v>
      </c>
      <c r="CB45" s="20">
        <f t="shared" si="10"/>
        <v>574.77301329675186</v>
      </c>
      <c r="CC45" s="59">
        <f t="shared" si="11"/>
        <v>868.10634663008523</v>
      </c>
      <c r="CD45" s="59">
        <f ca="1">AVERAGE(OFFSET($CC$3,0,0,'Données projet'!$E$12+1,1))-AVERAGE(OFFSET($H$3,0,0,'Données projet'!$E$12+1,1))</f>
        <v>366.69125512029831</v>
      </c>
      <c r="CE45" s="59">
        <f t="shared" si="40"/>
        <v>513.80016421153414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0.60567345161725128</v>
      </c>
      <c r="CL45" s="21">
        <f>EXP(-LN(2)/25)*CL44+(1-EXP(-LN(2)/25))/(LN(2)/25)*Calculateur!CG45*Calculateur!CI45*VLOOKUP('Données projet'!$B$12,Paramètres!$A$1:$I$89,3,0)*0.475*44/12</f>
        <v>4.3839771362166049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4.9896505878338564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9.3452380952380913</v>
      </c>
      <c r="CT45" s="12">
        <f>IF('Données projet'!$A$140&gt;35,CT44+CS45-DB44,IF(A45&lt;'Données projet'!$A$140,$CQ$205^A45,IF(A45='Données projet'!$A$140,'Données projet'!$B$140,CT44+CS45-DB44)))</f>
        <v>128.28113553113559</v>
      </c>
      <c r="CU45" s="17">
        <f>CT45*VLOOKUP('Données projet'!$B$13,Paramètres!$A$1:$I$89,3,0)*VLOOKUP('Données projet'!$B$13,Paramètres!$A$1:$I$89,5,0)</f>
        <v>86.050985714285758</v>
      </c>
      <c r="CV45" s="13">
        <f t="shared" si="41"/>
        <v>23.610345020675105</v>
      </c>
      <c r="CW45" s="20">
        <f t="shared" si="13"/>
        <v>190.99348436339017</v>
      </c>
      <c r="CX45" s="59">
        <f t="shared" si="14"/>
        <v>484.32681769672348</v>
      </c>
      <c r="CY45" s="59">
        <f ca="1">AVERAGE(OFFSET($CX$3,0,0,'Données projet'!$E$13+1,1))-AVERAGE(OFFSET($H$3,0,0,'Données projet'!$E$13+1,1))</f>
        <v>294.94331863127815</v>
      </c>
      <c r="CZ45" s="59">
        <f t="shared" si="42"/>
        <v>218.36990036643977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180.39999999999998</v>
      </c>
      <c r="DP45" s="17">
        <f>DO45*VLOOKUP('Données projet'!$B$14,Paramètres!$A$1:$I$89,3,0)*VLOOKUP('Données projet'!$B$14,Paramètres!$A$1:$I$89,5,0)</f>
        <v>132.26927999999998</v>
      </c>
      <c r="DQ45" s="13">
        <f t="shared" si="43"/>
        <v>34.52019401964877</v>
      </c>
      <c r="DR45" s="20">
        <f t="shared" si="16"/>
        <v>290.49166725088827</v>
      </c>
      <c r="DS45" s="59">
        <f t="shared" si="17"/>
        <v>583.82500058422158</v>
      </c>
      <c r="DT45" s="59">
        <f ca="1">AVERAGE(OFFSET($DS$3,0,0,'Données projet'!$E$14+1,1))-AVERAGE(OFFSET($H$3,0,0,'Données projet'!$E$14+1,1))</f>
        <v>278.45534008146865</v>
      </c>
      <c r="DU45" s="59">
        <f t="shared" si="44"/>
        <v>272.97841038165217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5.4951061241923567</v>
      </c>
      <c r="EB45" s="21">
        <f>EXP(-LN(2)/25)*EB44+(1-EXP(-LN(2)/25))/(LN(2)/25)*Calculateur!DW45*Calculateur!DY45*VLOOKUP('Données projet'!$B$14,Paramètres!$A$1:$I$89,3,0)*0.475*44/12</f>
        <v>9.4746533671840023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14.969759491376358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9.3452380952380913</v>
      </c>
      <c r="EJ45" s="12">
        <f>IF('Données projet'!$A$192&gt;35,EJ44+EI45-ER44,IF(A45&lt;'Données projet'!$A$192,$EG$205^A45,IF(A45='Données projet'!$A$192,'Données projet'!$B$192,EJ44+EI45-ER44)))</f>
        <v>128.28113553113559</v>
      </c>
      <c r="EK45" s="17">
        <f>EJ45*VLOOKUP('Données projet'!$B$15,Paramètres!$A$1:$I$89,3,0)*VLOOKUP('Données projet'!$B$15,Paramètres!$A$1:$I$89,5,0)</f>
        <v>138.08181428571433</v>
      </c>
      <c r="EL45" s="13">
        <f t="shared" si="45"/>
        <v>35.857223875642859</v>
      </c>
      <c r="EM45" s="20">
        <f t="shared" si="19"/>
        <v>302.94382479769712</v>
      </c>
      <c r="EN45" s="59">
        <f t="shared" si="20"/>
        <v>596.27715813103043</v>
      </c>
      <c r="EO45" s="59">
        <f ca="1">AVERAGE(OFFSET($EN$3,0,0,'Données projet'!$E$15+1,1))-AVERAGE(OFFSET($H$3,0,0,'Données projet'!$E$15+1,1))</f>
        <v>449.09332781196957</v>
      </c>
      <c r="EP45" s="59">
        <f t="shared" si="46"/>
        <v>324.85904971519432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9.3452380952380913</v>
      </c>
      <c r="FE45" s="12">
        <f>IF('Données projet'!$A$218&gt;35,FE44+FD45-FM44,IF(A45&lt;'Données projet'!$A$218,$FB$205^A45,IF(A45='Données projet'!$A$218,'Données projet'!$B$218,FE44+FD45-FM44)))</f>
        <v>128.28113553113559</v>
      </c>
      <c r="FF45" s="17">
        <f>FE45*VLOOKUP('Données projet'!$B$16,Paramètres!$A$1:$I$89,3,0)*VLOOKUP('Données projet'!$B$16,Paramètres!$A$1:$I$89,5,0)</f>
        <v>130.07707142857151</v>
      </c>
      <c r="FG45" s="13">
        <f t="shared" si="47"/>
        <v>34.014167662270417</v>
      </c>
      <c r="FH45" s="20">
        <f t="shared" si="22"/>
        <v>285.79224141654964</v>
      </c>
      <c r="FI45" s="59">
        <f t="shared" si="23"/>
        <v>579.12557474988296</v>
      </c>
      <c r="FJ45" s="59">
        <f ca="1">AVERAGE(OFFSET($FI$3,0,0,'Données projet'!$E$16+1,1))-AVERAGE(OFFSET($H$3,0,0,'Données projet'!$E$16+1,1))</f>
        <v>419.51168383014721</v>
      </c>
      <c r="FK45" s="59">
        <f t="shared" si="48"/>
        <v>213.44145308833384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8.1999999999999993</v>
      </c>
      <c r="FZ45" s="12">
        <f>IF('Données projet'!$A$244&gt;35,FZ44+FY45-GH44,IF(A45&lt;'Données projet'!$A$244,$FW$205^A45,IF(A45='Données projet'!$A$244,'Données projet'!$B$244,FZ44+FY45-GH44)))</f>
        <v>180.39999999999998</v>
      </c>
      <c r="GA45" s="17">
        <f>FZ45*VLOOKUP('Données projet'!$B$17,Paramètres!$A$1:$I$89,3,0)*VLOOKUP('Données projet'!$B$17,Paramètres!$A$1:$I$89,5,0)</f>
        <v>157.59744000000001</v>
      </c>
      <c r="GB45" s="13">
        <f t="shared" si="49"/>
        <v>40.300135037830529</v>
      </c>
      <c r="GC45" s="20">
        <f t="shared" si="25"/>
        <v>344.67160985755481</v>
      </c>
      <c r="GD45" s="59">
        <f t="shared" si="26"/>
        <v>638.00494319088807</v>
      </c>
      <c r="GE45" s="59">
        <f ca="1">AVERAGE(OFFSET($GD$3,0,0,'Données projet'!$E$17+1,1))-AVERAGE(OFFSET($H$3,0,0,'Données projet'!$E$17+1,1))</f>
        <v>324.86930206492627</v>
      </c>
      <c r="GF45" s="59">
        <f t="shared" si="50"/>
        <v>317.03005098025352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8.0700024624457782</v>
      </c>
      <c r="GM45" s="21">
        <f>EXP(-LN(2)/25)*GM44+(1-EXP(-LN(2)/25))/(LN(2)/25)*Calculateur!GH45*Calculateur!GJ45*VLOOKUP('Données projet'!$B$17,Paramètres!$A$1:$I$89,3,0)*0.475*44/12</f>
        <v>13.914285598120797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21.984288060566577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9.3452380952380913</v>
      </c>
      <c r="GU45" s="12">
        <f>IF('Données projet'!$A$270&gt;35,GU44+GT45-HC44,IF(A45&lt;'Données projet'!$A$270,$GR$205^A45,IF(A45='Données projet'!$A$270,'Données projet'!$B$270,GU44+GT45-HC44)))</f>
        <v>128.28113553113559</v>
      </c>
      <c r="GV45" s="17">
        <f>GU45*VLOOKUP('Données projet'!$B$18,Paramètres!$A$1:$I$89,3,0)*VLOOKUP('Données projet'!$B$18,Paramètres!$A$1:$I$89,5,0)</f>
        <v>122.07232857142864</v>
      </c>
      <c r="GW45" s="13">
        <f t="shared" si="51"/>
        <v>32.157853203990967</v>
      </c>
      <c r="GX45" s="20">
        <f t="shared" si="28"/>
        <v>268.61756659218918</v>
      </c>
      <c r="GY45" s="59">
        <f t="shared" si="29"/>
        <v>561.95089992552244</v>
      </c>
      <c r="GZ45" s="59">
        <f ca="1">AVERAGE(OFFSET($GY$3,0,0,'Données projet'!$E$18+1,1))-AVERAGE(OFFSET($H$3,0,0,'Données projet'!$E$18+1,1))</f>
        <v>401.81944956556271</v>
      </c>
      <c r="HA45" s="59">
        <f t="shared" si="52"/>
        <v>292.20785523952651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0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137.62637362637369</v>
      </c>
      <c r="O46" s="13">
        <f>N46*VLOOKUP('Données projet'!$B$9,Paramètres!$A$1:$I$89,3,0)*VLOOKUP('Données projet'!$B$9,Paramètres!$A$1:$I$89,5,0)</f>
        <v>124.52434285714291</v>
      </c>
      <c r="P46" s="13">
        <f t="shared" si="33"/>
        <v>32.727944326790649</v>
      </c>
      <c r="Q46" s="20">
        <f t="shared" si="53"/>
        <v>273.88106684535092</v>
      </c>
      <c r="R46" s="59">
        <f t="shared" si="0"/>
        <v>567.21440017868417</v>
      </c>
      <c r="S46" s="59">
        <f ca="1">AVERAGE(OFFSET($R$3,0,0,'Données projet'!$E$9+1,1))-AVERAGE(OFFSET($H$3,0,0,'Données projet'!$E$9+1,1))</f>
        <v>384.05928630855732</v>
      </c>
      <c r="T46" s="59">
        <f t="shared" si="34"/>
        <v>279.93992813630513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21.625641025641034</v>
      </c>
      <c r="AI46" s="13">
        <f>IF('Données projet'!$A$62&gt;35,AI45+AH46-AQ45,IF(A46&lt;'Données projet'!$A$62,$AF$205^A46,IF(A46='Données projet'!$A$62,'Données projet'!$B$62,AI45+AH46-AQ45)))</f>
        <v>416.95641025641021</v>
      </c>
      <c r="AJ46" s="13">
        <f>AI46*VLOOKUP('Données projet'!$B$10,Paramètres!$A$1:$I$89,3,0)*VLOOKUP('Données projet'!$B$10,Paramètres!$A$1:$I$89,5,0)</f>
        <v>233.0786333333333</v>
      </c>
      <c r="AK46" s="13">
        <f t="shared" si="35"/>
        <v>56.947838023653489</v>
      </c>
      <c r="AL46" s="20">
        <f t="shared" si="4"/>
        <v>505.1294376134187</v>
      </c>
      <c r="AM46" s="59">
        <f t="shared" si="5"/>
        <v>798.46277094675202</v>
      </c>
      <c r="AN46" s="59">
        <f ca="1">AVERAGE(OFFSET($AM$3,0,0,'Données projet'!$E$10+1,1))-AVERAGE(OFFSET($H$3,0,0,'Données projet'!$E$10+1,1))</f>
        <v>335.04906256888819</v>
      </c>
      <c r="AO46" s="59">
        <f t="shared" si="36"/>
        <v>440.84111898279554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60.619203253790985</v>
      </c>
      <c r="AV46" s="21">
        <f>EXP(-LN(2)/25)*AV45+(1-EXP(-LN(2)/25))/(LN(2)/25)*Calculateur!AQ46*Calculateur!AS46*VLOOKUP('Données projet'!$B$10,Paramètres!$A$1:$I$89,3,0)*0.475*44/12</f>
        <v>21.493231928309974</v>
      </c>
      <c r="AW46" s="21">
        <f>EXP(-LN(2)/2)*AW45+(1-EXP(-LN(2)/2))/(LN(2)/2)*AQ46*AT46*VLOOKUP('Données projet'!$B$10,Paramètres!$A$1:$I$89,3,0)*0.475*44/12</f>
        <v>4.9162856184979935</v>
      </c>
      <c r="AX46" s="21">
        <f t="shared" si="6"/>
        <v>87.028720800598961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>
        <f>VLOOKUP(A46,'Données projet'!$A$87:$I$107,2,0)</f>
        <v>283.34615384615387</v>
      </c>
      <c r="BB46" s="12">
        <f>VLOOKUP(A46,'Données projet'!$A$87:$I$107,9,0)</f>
        <v>11.380219780219781</v>
      </c>
      <c r="BC46" s="12">
        <f t="array" ref="BC46">INDEX(BB:BB,MIN(IF(ISNUMBER(BB46:BB242),ROW(BB46:BB242),"")))</f>
        <v>11.380219780219781</v>
      </c>
      <c r="BD46" s="12">
        <f>IF('Données projet'!$A$88&gt;35,BD45+BC46-BL45,IF(A46&lt;'Données projet'!$A$88,$BA$205^A46,IF(A46='Données projet'!$A$88,'Données projet'!$B$88,BD45+BC46-BL45)))</f>
        <v>283.34615384615387</v>
      </c>
      <c r="BE46" s="13">
        <f>BD46*VLOOKUP('Données projet'!$B$11,Paramètres!$A$1:$I$89,3,0)*VLOOKUP('Données projet'!$B$11,Paramètres!$A$1:$I$89,5,0)</f>
        <v>162.07400000000001</v>
      </c>
      <c r="BF46" s="13">
        <f t="shared" si="37"/>
        <v>41.309960672859596</v>
      </c>
      <c r="BG46" s="20">
        <f t="shared" si="7"/>
        <v>354.22706483856382</v>
      </c>
      <c r="BH46" s="59">
        <f t="shared" si="8"/>
        <v>647.56039817189708</v>
      </c>
      <c r="BI46" s="59">
        <f ca="1">AVERAGE(OFFSET($BH$3,0,0,'Données projet'!$E$11+1,1))-AVERAGE(OFFSET($H$3,0,0,'Données projet'!$E$11+1,1))</f>
        <v>320.76883487964511</v>
      </c>
      <c r="BJ46" s="59">
        <f t="shared" si="38"/>
        <v>290.51177680335746</v>
      </c>
      <c r="BK46" s="15">
        <f>IF(ISNA(VLOOKUP(A46,'Données projet'!$A$87:$I$107,3,0)),0,VLOOKUP(A46,'Données projet'!$A$87:$I$107,3,0))</f>
        <v>5</v>
      </c>
      <c r="BL46" s="15">
        <f>IF(ISNA(VLOOKUP(A46,'Données projet'!$A$87:$I$107,4,0)),0,VLOOKUP(A46,'Données projet'!$A$87:$I$107,4,0))</f>
        <v>43.499999999999993</v>
      </c>
      <c r="BM46" s="16">
        <f>IF(ISNA(VLOOKUP(A46,'Données projet'!$A$87:$I$107,5,0)),0%,VLOOKUP(A46,'Données projet'!$A$87:$I$107,5,0)*VLOOKUP('Données projet'!$B$11,Paramètres!$A$1:$I$89,7,0))</f>
        <v>0.315</v>
      </c>
      <c r="BN46" s="16">
        <f>IF(ISNA(VLOOKUP(A46,'Données projet'!$A$87:$I$107,6,0)),0%,VLOOKUP(A46,'Données projet'!$A$87:$I$107,6,0)*VLOOKUP('Données projet'!$B$11,Paramètres!$A$1:$I$89,7,0))</f>
        <v>7.6500000000000012E-2</v>
      </c>
      <c r="BO46" s="16">
        <f>IF(ISNA(VLOOKUP(A46,'Données projet'!$A$87:$I$107,7,0)),0%,VLOOKUP(A46,'Données projet'!$A$87:$I$107,7,0))</f>
        <v>0.13</v>
      </c>
      <c r="BP46" s="21">
        <f>EXP(-LN(2)/35)*BP45+(1-EXP(-LN(2)/35))/(LN(2)/35)*BL46*BM46*VLOOKUP('Données projet'!$B$11,Paramètres!$A$1:$I$89,3,0)*0.475*44/12</f>
        <v>24.244197682621326</v>
      </c>
      <c r="BQ46" s="21">
        <f>EXP(-LN(2)/25)*BQ45+(1-EXP(-LN(2)/25))/(LN(2)/25)*Calculateur!BL46*Calculateur!BN46*VLOOKUP('Données projet'!$B$11,Paramètres!$A$1:$I$89,3,0)*0.475*44/12</f>
        <v>14.767744090017713</v>
      </c>
      <c r="BR46" s="21">
        <f>EXP(-LN(2)/2)*BR45+(1-EXP(-LN(2)/2))/(LN(2)/2)*BL46*BO46*VLOOKUP('Données projet'!$B$11,Paramètres!$A$1:$I$89,3,0)*0.475*44/12</f>
        <v>3.9734794686001464</v>
      </c>
      <c r="BS46" s="22">
        <f t="shared" si="9"/>
        <v>42.985421241239187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</v>
      </c>
      <c r="BY46" s="12">
        <f>IF('Données projet'!$A$114&gt;35,BY45+BX46-CG45,IF(A46&lt;'Données projet'!$A$114,$BV$205^A46,IF(A46='Données projet'!$A$114,'Données projet'!$B$114,BY45+BX46-CG45)))</f>
        <v>299.99999999999983</v>
      </c>
      <c r="BZ46" s="13">
        <f>BY46*VLOOKUP('Données projet'!$B$12,Paramètres!$A$1:$I$89,3,0)*VLOOKUP('Données projet'!$B$12,Paramètres!$A$1:$I$89,5,0)</f>
        <v>271.43999999999983</v>
      </c>
      <c r="CA46" s="13">
        <f t="shared" si="39"/>
        <v>65.154778959151173</v>
      </c>
      <c r="CB46" s="20">
        <f t="shared" si="10"/>
        <v>586.23590668718793</v>
      </c>
      <c r="CC46" s="59">
        <f t="shared" si="11"/>
        <v>879.56924002052119</v>
      </c>
      <c r="CD46" s="59">
        <f ca="1">AVERAGE(OFFSET($CC$3,0,0,'Données projet'!$E$12+1,1))-AVERAGE(OFFSET($H$3,0,0,'Données projet'!$E$12+1,1))</f>
        <v>366.69125512029831</v>
      </c>
      <c r="CE46" s="59">
        <f t="shared" si="40"/>
        <v>513.80016421153414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0.5937965646553649</v>
      </c>
      <c r="CL46" s="21">
        <f>EXP(-LN(2)/25)*CL45+(1-EXP(-LN(2)/25))/(LN(2)/25)*Calculateur!CG46*Calculateur!CI46*VLOOKUP('Données projet'!$B$12,Paramètres!$A$1:$I$89,3,0)*0.475*44/12</f>
        <v>4.2640970508834242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4.8578936155387886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9.3452380952380913</v>
      </c>
      <c r="CT46" s="12">
        <f>IF('Données projet'!$A$140&gt;35,CT45+CS46-DB45,IF(A46&lt;'Données projet'!$A$140,$CQ$205^A46,IF(A46='Données projet'!$A$140,'Données projet'!$B$140,CT45+CS46-DB45)))</f>
        <v>137.62637362637369</v>
      </c>
      <c r="CU46" s="17">
        <f>CT46*VLOOKUP('Données projet'!$B$13,Paramètres!$A$1:$I$89,3,0)*VLOOKUP('Données projet'!$B$13,Paramètres!$A$1:$I$89,5,0)</f>
        <v>92.319771428571471</v>
      </c>
      <c r="CV46" s="13">
        <f t="shared" si="41"/>
        <v>25.123866668629734</v>
      </c>
      <c r="CW46" s="20">
        <f t="shared" si="13"/>
        <v>204.54766968595877</v>
      </c>
      <c r="CX46" s="59">
        <f t="shared" si="14"/>
        <v>497.88100301929205</v>
      </c>
      <c r="CY46" s="59">
        <f ca="1">AVERAGE(OFFSET($CX$3,0,0,'Données projet'!$E$13+1,1))-AVERAGE(OFFSET($H$3,0,0,'Données projet'!$E$13+1,1))</f>
        <v>294.94331863127815</v>
      </c>
      <c r="CZ46" s="59">
        <f t="shared" si="42"/>
        <v>218.36990036643977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188.59999999999997</v>
      </c>
      <c r="DP46" s="17">
        <f>DO46*VLOOKUP('Données projet'!$B$14,Paramètres!$A$1:$I$89,3,0)*VLOOKUP('Données projet'!$B$14,Paramètres!$A$1:$I$89,5,0)</f>
        <v>138.28151999999997</v>
      </c>
      <c r="DQ46" s="13">
        <f t="shared" si="43"/>
        <v>35.903043322174675</v>
      </c>
      <c r="DR46" s="20">
        <f t="shared" si="16"/>
        <v>303.37144778612083</v>
      </c>
      <c r="DS46" s="59">
        <f t="shared" si="17"/>
        <v>596.70478111945408</v>
      </c>
      <c r="DT46" s="59">
        <f ca="1">AVERAGE(OFFSET($DS$3,0,0,'Données projet'!$E$14+1,1))-AVERAGE(OFFSET($H$3,0,0,'Données projet'!$E$14+1,1))</f>
        <v>278.45534008146865</v>
      </c>
      <c r="DU46" s="59">
        <f t="shared" si="44"/>
        <v>272.97841038165217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5.3873504447807292</v>
      </c>
      <c r="EB46" s="21">
        <f>EXP(-LN(2)/25)*EB45+(1-EXP(-LN(2)/25))/(LN(2)/25)*Calculateur!DW46*Calculateur!DY46*VLOOKUP('Données projet'!$B$14,Paramètres!$A$1:$I$89,3,0)*0.475*44/12</f>
        <v>9.2155684726079894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14.602918917388719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9.3452380952380913</v>
      </c>
      <c r="EJ46" s="12">
        <f>IF('Données projet'!$A$192&gt;35,EJ45+EI46-ER45,IF(A46&lt;'Données projet'!$A$192,$EG$205^A46,IF(A46='Données projet'!$A$192,'Données projet'!$B$192,EJ45+EI46-ER45)))</f>
        <v>137.62637362637369</v>
      </c>
      <c r="EK46" s="17">
        <f>EJ46*VLOOKUP('Données projet'!$B$15,Paramètres!$A$1:$I$89,3,0)*VLOOKUP('Données projet'!$B$15,Paramètres!$A$1:$I$89,5,0)</f>
        <v>148.14102857142862</v>
      </c>
      <c r="EL46" s="13">
        <f t="shared" si="45"/>
        <v>38.155821567621416</v>
      </c>
      <c r="EM46" s="20">
        <f t="shared" si="19"/>
        <v>324.46701399217881</v>
      </c>
      <c r="EN46" s="59">
        <f t="shared" si="20"/>
        <v>617.80034732551212</v>
      </c>
      <c r="EO46" s="59">
        <f ca="1">AVERAGE(OFFSET($EN$3,0,0,'Données projet'!$E$15+1,1))-AVERAGE(OFFSET($H$3,0,0,'Données projet'!$E$15+1,1))</f>
        <v>449.09332781196957</v>
      </c>
      <c r="EP46" s="59">
        <f t="shared" si="46"/>
        <v>324.85904971519432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9.3452380952380913</v>
      </c>
      <c r="FE46" s="12">
        <f>IF('Données projet'!$A$218&gt;35,FE45+FD46-FM45,IF(A46&lt;'Données projet'!$A$218,$FB$205^A46,IF(A46='Données projet'!$A$218,'Données projet'!$B$218,FE45+FD46-FM45)))</f>
        <v>137.62637362637369</v>
      </c>
      <c r="FF46" s="17">
        <f>FE46*VLOOKUP('Données projet'!$B$16,Paramètres!$A$1:$I$89,3,0)*VLOOKUP('Données projet'!$B$16,Paramètres!$A$1:$I$89,5,0)</f>
        <v>139.55314285714292</v>
      </c>
      <c r="FG46" s="13">
        <f t="shared" si="47"/>
        <v>36.19461775941739</v>
      </c>
      <c r="FH46" s="20">
        <f t="shared" si="22"/>
        <v>306.09401640717584</v>
      </c>
      <c r="FI46" s="59">
        <f t="shared" si="23"/>
        <v>599.42734974050916</v>
      </c>
      <c r="FJ46" s="59">
        <f ca="1">AVERAGE(OFFSET($FI$3,0,0,'Données projet'!$E$16+1,1))-AVERAGE(OFFSET($H$3,0,0,'Données projet'!$E$16+1,1))</f>
        <v>419.51168383014721</v>
      </c>
      <c r="FK46" s="59">
        <f t="shared" si="48"/>
        <v>213.44145308833384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8.1999999999999993</v>
      </c>
      <c r="FZ46" s="12">
        <f>IF('Données projet'!$A$244&gt;35,FZ45+FY46-GH45,IF(A46&lt;'Données projet'!$A$244,$FW$205^A46,IF(A46='Données projet'!$A$244,'Données projet'!$B$244,FZ45+FY46-GH45)))</f>
        <v>188.59999999999997</v>
      </c>
      <c r="GA46" s="17">
        <f>FZ46*VLOOKUP('Données projet'!$B$17,Paramètres!$A$1:$I$89,3,0)*VLOOKUP('Données projet'!$B$17,Paramètres!$A$1:$I$89,5,0)</f>
        <v>164.76095999999998</v>
      </c>
      <c r="GB46" s="13">
        <f t="shared" si="49"/>
        <v>41.91452380971991</v>
      </c>
      <c r="GC46" s="20">
        <f t="shared" si="25"/>
        <v>359.9598009685954</v>
      </c>
      <c r="GD46" s="59">
        <f t="shared" si="26"/>
        <v>653.29313430192872</v>
      </c>
      <c r="GE46" s="59">
        <f ca="1">AVERAGE(OFFSET($GD$3,0,0,'Données projet'!$E$17+1,1))-AVERAGE(OFFSET($H$3,0,0,'Données projet'!$E$17+1,1))</f>
        <v>324.86930206492627</v>
      </c>
      <c r="GF46" s="59">
        <f t="shared" si="50"/>
        <v>317.03005098025352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7.9117546363726898</v>
      </c>
      <c r="GM46" s="21">
        <f>EXP(-LN(2)/25)*GM45+(1-EXP(-LN(2)/25))/(LN(2)/25)*Calculateur!GH46*Calculateur!GJ46*VLOOKUP('Données projet'!$B$17,Paramètres!$A$1:$I$89,3,0)*0.475*44/12</f>
        <v>13.533798726719706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21.445553363092394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9.3452380952380913</v>
      </c>
      <c r="GU46" s="12">
        <f>IF('Données projet'!$A$270&gt;35,GU45+GT46-HC45,IF(A46&lt;'Données projet'!$A$270,$GR$205^A46,IF(A46='Données projet'!$A$270,'Données projet'!$B$270,GU45+GT46-HC45)))</f>
        <v>137.62637362637369</v>
      </c>
      <c r="GV46" s="17">
        <f>GU46*VLOOKUP('Données projet'!$B$18,Paramètres!$A$1:$I$89,3,0)*VLOOKUP('Données projet'!$B$18,Paramètres!$A$1:$I$89,5,0)</f>
        <v>130.96525714285721</v>
      </c>
      <c r="GW46" s="13">
        <f t="shared" si="51"/>
        <v>34.219305797477681</v>
      </c>
      <c r="GX46" s="20">
        <f t="shared" si="28"/>
        <v>287.69644712108328</v>
      </c>
      <c r="GY46" s="59">
        <f t="shared" si="29"/>
        <v>581.0297804544166</v>
      </c>
      <c r="GZ46" s="59">
        <f ca="1">AVERAGE(OFFSET($GY$3,0,0,'Données projet'!$E$18+1,1))-AVERAGE(OFFSET($H$3,0,0,'Données projet'!$E$18+1,1))</f>
        <v>401.81944956556271</v>
      </c>
      <c r="HA46" s="59">
        <f t="shared" si="52"/>
        <v>292.20785523952651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0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146.97161172161179</v>
      </c>
      <c r="O47" s="13">
        <f>N47*VLOOKUP('Données projet'!$B$9,Paramètres!$A$1:$I$89,3,0)*VLOOKUP('Données projet'!$B$9,Paramètres!$A$1:$I$89,5,0)</f>
        <v>132.97991428571436</v>
      </c>
      <c r="P47" s="13">
        <f t="shared" si="33"/>
        <v>34.684019161942608</v>
      </c>
      <c r="Q47" s="20">
        <f t="shared" si="53"/>
        <v>292.01468408800253</v>
      </c>
      <c r="R47" s="59">
        <f t="shared" si="0"/>
        <v>585.34801742133584</v>
      </c>
      <c r="S47" s="59">
        <f ca="1">AVERAGE(OFFSET($R$3,0,0,'Données projet'!$E$9+1,1))-AVERAGE(OFFSET($H$3,0,0,'Données projet'!$E$9+1,1))</f>
        <v>384.05928630855732</v>
      </c>
      <c r="T47" s="59">
        <f t="shared" si="34"/>
        <v>279.93992813630513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21.625641025641034</v>
      </c>
      <c r="AI47" s="13">
        <f>IF('Données projet'!$A$62&gt;35,AI46+AH47-AQ46,IF(A47&lt;'Données projet'!$A$62,$AF$205^A47,IF(A47='Données projet'!$A$62,'Données projet'!$B$62,AI46+AH47-AQ46)))</f>
        <v>438.58205128205122</v>
      </c>
      <c r="AJ47" s="13">
        <f>AI47*VLOOKUP('Données projet'!$B$10,Paramètres!$A$1:$I$89,3,0)*VLOOKUP('Données projet'!$B$10,Paramètres!$A$1:$I$89,5,0)</f>
        <v>245.16736666666665</v>
      </c>
      <c r="AK47" s="13">
        <f t="shared" si="35"/>
        <v>59.549932468183236</v>
      </c>
      <c r="AL47" s="20">
        <f t="shared" si="4"/>
        <v>530.71596265986352</v>
      </c>
      <c r="AM47" s="59">
        <f t="shared" si="5"/>
        <v>824.04929599319689</v>
      </c>
      <c r="AN47" s="59">
        <f ca="1">AVERAGE(OFFSET($AM$3,0,0,'Données projet'!$E$10+1,1))-AVERAGE(OFFSET($H$3,0,0,'Données projet'!$E$10+1,1))</f>
        <v>335.04906256888819</v>
      </c>
      <c r="AO47" s="59">
        <f t="shared" si="36"/>
        <v>440.84111898279554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59.430497652047244</v>
      </c>
      <c r="AV47" s="21">
        <f>EXP(-LN(2)/25)*AV46+(1-EXP(-LN(2)/25))/(LN(2)/25)*Calculateur!AQ47*Calculateur!AS47*VLOOKUP('Données projet'!$B$10,Paramètres!$A$1:$I$89,3,0)*0.475*44/12</f>
        <v>20.905498370950394</v>
      </c>
      <c r="AW47" s="21">
        <f>EXP(-LN(2)/2)*AW46+(1-EXP(-LN(2)/2))/(LN(2)/2)*AQ47*AT47*VLOOKUP('Données projet'!$B$10,Paramètres!$A$1:$I$89,3,0)*0.475*44/12</f>
        <v>3.4763388990898312</v>
      </c>
      <c r="AX47" s="21">
        <f t="shared" si="6"/>
        <v>83.812334922087459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10.386813186813185</v>
      </c>
      <c r="BD47" s="12">
        <f>IF('Données projet'!$A$88&gt;35,BD46+BC47-BL46,IF(A47&lt;'Données projet'!$A$88,$BA$205^A47,IF(A47='Données projet'!$A$88,'Données projet'!$B$88,BD46+BC47-BL46)))</f>
        <v>250.23296703296705</v>
      </c>
      <c r="BE47" s="13">
        <f>BD47*VLOOKUP('Données projet'!$B$11,Paramètres!$A$1:$I$89,3,0)*VLOOKUP('Données projet'!$B$11,Paramètres!$A$1:$I$89,5,0)</f>
        <v>143.13325714285716</v>
      </c>
      <c r="BF47" s="13">
        <f t="shared" si="37"/>
        <v>37.01386345975493</v>
      </c>
      <c r="BG47" s="20">
        <f t="shared" si="7"/>
        <v>313.75623504954939</v>
      </c>
      <c r="BH47" s="59">
        <f t="shared" si="8"/>
        <v>607.0895683828827</v>
      </c>
      <c r="BI47" s="59">
        <f ca="1">AVERAGE(OFFSET($BH$3,0,0,'Données projet'!$E$11+1,1))-AVERAGE(OFFSET($H$3,0,0,'Données projet'!$E$11+1,1))</f>
        <v>320.76883487964511</v>
      </c>
      <c r="BJ47" s="59">
        <f t="shared" si="38"/>
        <v>290.51177680335746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23.768783753565565</v>
      </c>
      <c r="BQ47" s="21">
        <f>EXP(-LN(2)/25)*BQ46+(1-EXP(-LN(2)/25))/(LN(2)/25)*Calculateur!BL47*Calculateur!BN47*VLOOKUP('Données projet'!$B$11,Paramètres!$A$1:$I$89,3,0)*0.475*44/12</f>
        <v>14.363919351274269</v>
      </c>
      <c r="BR47" s="21">
        <f>EXP(-LN(2)/2)*BR46+(1-EXP(-LN(2)/2))/(LN(2)/2)*BL47*BO47*VLOOKUP('Données projet'!$B$11,Paramètres!$A$1:$I$89,3,0)*0.475*44/12</f>
        <v>2.8096742771526833</v>
      </c>
      <c r="BS47" s="22">
        <f t="shared" si="9"/>
        <v>40.942377381992515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</v>
      </c>
      <c r="BY47" s="12">
        <f>IF('Données projet'!$A$114&gt;35,BY46+BX47-CG46,IF(A47&lt;'Données projet'!$A$114,$BV$205^A47,IF(A47='Données projet'!$A$114,'Données projet'!$B$114,BY46+BX47-CG46)))</f>
        <v>305.99999999999983</v>
      </c>
      <c r="BZ47" s="13">
        <f>BY47*VLOOKUP('Données projet'!$B$12,Paramètres!$A$1:$I$89,3,0)*VLOOKUP('Données projet'!$B$12,Paramètres!$A$1:$I$89,5,0)</f>
        <v>276.86879999999979</v>
      </c>
      <c r="CA47" s="13">
        <f t="shared" si="39"/>
        <v>66.304863836318603</v>
      </c>
      <c r="CB47" s="20">
        <f t="shared" si="10"/>
        <v>597.69413118158775</v>
      </c>
      <c r="CC47" s="59">
        <f t="shared" si="11"/>
        <v>891.02746451492112</v>
      </c>
      <c r="CD47" s="59">
        <f ca="1">AVERAGE(OFFSET($CC$3,0,0,'Données projet'!$E$12+1,1))-AVERAGE(OFFSET($H$3,0,0,'Données projet'!$E$12+1,1))</f>
        <v>366.69125512029831</v>
      </c>
      <c r="CE47" s="59">
        <f t="shared" si="40"/>
        <v>513.80016421153414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0.58215257620261529</v>
      </c>
      <c r="CL47" s="21">
        <f>EXP(-LN(2)/25)*CL46+(1-EXP(-LN(2)/25))/(LN(2)/25)*Calculateur!CG47*Calculateur!CI47*VLOOKUP('Données projet'!$B$12,Paramètres!$A$1:$I$89,3,0)*0.475*44/12</f>
        <v>4.1474950927878984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4.7296476689905136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9.3452380952380913</v>
      </c>
      <c r="CT47" s="12">
        <f>IF('Données projet'!$A$140&gt;35,CT46+CS47-DB46,IF(A47&lt;'Données projet'!$A$140,$CQ$205^A47,IF(A47='Données projet'!$A$140,'Données projet'!$B$140,CT46+CS47-DB46)))</f>
        <v>146.97161172161179</v>
      </c>
      <c r="CU47" s="17">
        <f>CT47*VLOOKUP('Données projet'!$B$13,Paramètres!$A$1:$I$89,3,0)*VLOOKUP('Données projet'!$B$13,Paramètres!$A$1:$I$89,5,0)</f>
        <v>98.588557142857198</v>
      </c>
      <c r="CV47" s="13">
        <f t="shared" si="41"/>
        <v>26.625463067765359</v>
      </c>
      <c r="CW47" s="20">
        <f t="shared" si="13"/>
        <v>218.08108520016762</v>
      </c>
      <c r="CX47" s="59">
        <f t="shared" si="14"/>
        <v>511.41441853350091</v>
      </c>
      <c r="CY47" s="59">
        <f ca="1">AVERAGE(OFFSET($CX$3,0,0,'Données projet'!$E$13+1,1))-AVERAGE(OFFSET($H$3,0,0,'Données projet'!$E$13+1,1))</f>
        <v>294.94331863127815</v>
      </c>
      <c r="CZ47" s="59">
        <f t="shared" si="42"/>
        <v>218.36990036643977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196.79999999999995</v>
      </c>
      <c r="DP47" s="17">
        <f>DO47*VLOOKUP('Données projet'!$B$14,Paramètres!$A$1:$I$89,3,0)*VLOOKUP('Données projet'!$B$14,Paramètres!$A$1:$I$89,5,0)</f>
        <v>144.29375999999996</v>
      </c>
      <c r="DQ47" s="13">
        <f t="shared" si="43"/>
        <v>37.278909560653958</v>
      </c>
      <c r="DR47" s="20">
        <f t="shared" si="16"/>
        <v>316.23906615147223</v>
      </c>
      <c r="DS47" s="59">
        <f t="shared" si="17"/>
        <v>609.5723994848056</v>
      </c>
      <c r="DT47" s="59">
        <f ca="1">AVERAGE(OFFSET($DS$3,0,0,'Données projet'!$E$14+1,1))-AVERAGE(OFFSET($H$3,0,0,'Données projet'!$E$14+1,1))</f>
        <v>278.45534008146865</v>
      </c>
      <c r="DU47" s="59">
        <f t="shared" si="44"/>
        <v>272.97841038165217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5.2817077885178891</v>
      </c>
      <c r="EB47" s="21">
        <f>EXP(-LN(2)/25)*EB46+(1-EXP(-LN(2)/25))/(LN(2)/25)*Calculateur!DW47*Calculateur!DY47*VLOOKUP('Données projet'!$B$14,Paramètres!$A$1:$I$89,3,0)*0.475*44/12</f>
        <v>8.9635682680988396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14.245276056616728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9.3452380952380913</v>
      </c>
      <c r="EJ47" s="12">
        <f>IF('Données projet'!$A$192&gt;35,EJ46+EI47-ER46,IF(A47&lt;'Données projet'!$A$192,$EG$205^A47,IF(A47='Données projet'!$A$192,'Données projet'!$B$192,EJ46+EI47-ER46)))</f>
        <v>146.97161172161179</v>
      </c>
      <c r="EK47" s="17">
        <f>EJ47*VLOOKUP('Données projet'!$B$15,Paramètres!$A$1:$I$89,3,0)*VLOOKUP('Données projet'!$B$15,Paramètres!$A$1:$I$89,5,0)</f>
        <v>158.20024285714294</v>
      </c>
      <c r="EL47" s="13">
        <f t="shared" si="45"/>
        <v>40.436308286791146</v>
      </c>
      <c r="EM47" s="20">
        <f t="shared" si="19"/>
        <v>345.95865990901848</v>
      </c>
      <c r="EN47" s="59">
        <f t="shared" si="20"/>
        <v>639.29199324235174</v>
      </c>
      <c r="EO47" s="59">
        <f ca="1">AVERAGE(OFFSET($EN$3,0,0,'Données projet'!$E$15+1,1))-AVERAGE(OFFSET($H$3,0,0,'Données projet'!$E$15+1,1))</f>
        <v>449.09332781196957</v>
      </c>
      <c r="EP47" s="59">
        <f t="shared" si="46"/>
        <v>324.85904971519432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9.3452380952380913</v>
      </c>
      <c r="FE47" s="12">
        <f>IF('Données projet'!$A$218&gt;35,FE46+FD47-FM46,IF(A47&lt;'Données projet'!$A$218,$FB$205^A47,IF(A47='Données projet'!$A$218,'Données projet'!$B$218,FE46+FD47-FM46)))</f>
        <v>146.97161172161179</v>
      </c>
      <c r="FF47" s="17">
        <f>FE47*VLOOKUP('Données projet'!$B$16,Paramètres!$A$1:$I$89,3,0)*VLOOKUP('Données projet'!$B$16,Paramètres!$A$1:$I$89,5,0)</f>
        <v>149.02921428571437</v>
      </c>
      <c r="FG47" s="13">
        <f t="shared" si="47"/>
        <v>38.357887785185099</v>
      </c>
      <c r="FH47" s="20">
        <f t="shared" si="22"/>
        <v>326.36586944014988</v>
      </c>
      <c r="FI47" s="59">
        <f t="shared" si="23"/>
        <v>619.69920277348319</v>
      </c>
      <c r="FJ47" s="59">
        <f ca="1">AVERAGE(OFFSET($FI$3,0,0,'Données projet'!$E$16+1,1))-AVERAGE(OFFSET($H$3,0,0,'Données projet'!$E$16+1,1))</f>
        <v>419.51168383014721</v>
      </c>
      <c r="FK47" s="59">
        <f t="shared" si="48"/>
        <v>213.44145308833384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8.1999999999999993</v>
      </c>
      <c r="FZ47" s="12">
        <f>IF('Données projet'!$A$244&gt;35,FZ46+FY47-GH46,IF(A47&lt;'Données projet'!$A$244,$FW$205^A47,IF(A47='Données projet'!$A$244,'Données projet'!$B$244,FZ46+FY47-GH46)))</f>
        <v>196.79999999999995</v>
      </c>
      <c r="GA47" s="17">
        <f>FZ47*VLOOKUP('Données projet'!$B$17,Paramètres!$A$1:$I$89,3,0)*VLOOKUP('Données projet'!$B$17,Paramètres!$A$1:$I$89,5,0)</f>
        <v>171.92447999999999</v>
      </c>
      <c r="GB47" s="13">
        <f t="shared" si="49"/>
        <v>43.520760297647755</v>
      </c>
      <c r="GC47" s="20">
        <f t="shared" si="25"/>
        <v>375.23379351840316</v>
      </c>
      <c r="GD47" s="59">
        <f t="shared" si="26"/>
        <v>668.56712685173648</v>
      </c>
      <c r="GE47" s="59">
        <f ca="1">AVERAGE(OFFSET($GD$3,0,0,'Données projet'!$E$17+1,1))-AVERAGE(OFFSET($H$3,0,0,'Données projet'!$E$17+1,1))</f>
        <v>324.86930206492627</v>
      </c>
      <c r="GF47" s="59">
        <f t="shared" si="50"/>
        <v>317.03005098025352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7.7566099536472519</v>
      </c>
      <c r="GM47" s="21">
        <f>EXP(-LN(2)/25)*GM46+(1-EXP(-LN(2)/25))/(LN(2)/25)*Calculateur!GH47*Calculateur!GJ47*VLOOKUP('Données projet'!$B$17,Paramètres!$A$1:$I$89,3,0)*0.475*44/12</f>
        <v>13.163716288826013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20.920326242473266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9.3452380952380913</v>
      </c>
      <c r="GU47" s="12">
        <f>IF('Données projet'!$A$270&gt;35,GU46+GT47-HC46,IF(A47&lt;'Données projet'!$A$270,$GR$205^A47,IF(A47='Données projet'!$A$270,'Données projet'!$B$270,GU46+GT47-HC46)))</f>
        <v>146.97161172161179</v>
      </c>
      <c r="GV47" s="17">
        <f>GU47*VLOOKUP('Données projet'!$B$18,Paramètres!$A$1:$I$89,3,0)*VLOOKUP('Données projet'!$B$18,Paramètres!$A$1:$I$89,5,0)</f>
        <v>139.85818571428578</v>
      </c>
      <c r="GW47" s="13">
        <f t="shared" si="51"/>
        <v>36.264515917565241</v>
      </c>
      <c r="GX47" s="20">
        <f t="shared" si="28"/>
        <v>306.74703867547379</v>
      </c>
      <c r="GY47" s="59">
        <f t="shared" si="29"/>
        <v>600.0803720088071</v>
      </c>
      <c r="GZ47" s="59">
        <f ca="1">AVERAGE(OFFSET($GY$3,0,0,'Données projet'!$E$18+1,1))-AVERAGE(OFFSET($H$3,0,0,'Données projet'!$E$18+1,1))</f>
        <v>401.81944956556271</v>
      </c>
      <c r="HA47" s="59">
        <f t="shared" si="52"/>
        <v>292.20785523952651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0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156.3168498168499</v>
      </c>
      <c r="O48" s="13">
        <f>N48*VLOOKUP('Données projet'!$B$9,Paramètres!$A$1:$I$89,3,0)*VLOOKUP('Données projet'!$B$9,Paramètres!$A$1:$I$89,5,0)</f>
        <v>141.43548571428576</v>
      </c>
      <c r="P48" s="13">
        <f t="shared" si="33"/>
        <v>36.625659617511197</v>
      </c>
      <c r="Q48" s="20">
        <f t="shared" si="53"/>
        <v>310.12316145287969</v>
      </c>
      <c r="R48" s="59">
        <f t="shared" si="0"/>
        <v>603.45649478621294</v>
      </c>
      <c r="S48" s="59">
        <f ca="1">AVERAGE(OFFSET($R$3,0,0,'Données projet'!$E$9+1,1))-AVERAGE(OFFSET($H$3,0,0,'Données projet'!$E$9+1,1))</f>
        <v>384.05928630855732</v>
      </c>
      <c r="T48" s="59">
        <f t="shared" si="34"/>
        <v>279.93992813630513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21.625641025641034</v>
      </c>
      <c r="AI48" s="13">
        <f>IF('Données projet'!$A$62&gt;35,AI47+AH48-AQ47,IF(A48&lt;'Données projet'!$A$62,$AF$205^A48,IF(A48='Données projet'!$A$62,'Données projet'!$B$62,AI47+AH48-AQ47)))</f>
        <v>460.20769230769224</v>
      </c>
      <c r="AJ48" s="13">
        <f>AI48*VLOOKUP('Données projet'!$B$10,Paramètres!$A$1:$I$89,3,0)*VLOOKUP('Données projet'!$B$10,Paramètres!$A$1:$I$89,5,0)</f>
        <v>257.25609999999995</v>
      </c>
      <c r="AK48" s="13">
        <f t="shared" si="35"/>
        <v>62.137128695600659</v>
      </c>
      <c r="AL48" s="20">
        <f t="shared" si="4"/>
        <v>556.27653997817106</v>
      </c>
      <c r="AM48" s="59">
        <f t="shared" si="5"/>
        <v>849.60987331150432</v>
      </c>
      <c r="AN48" s="59">
        <f ca="1">AVERAGE(OFFSET($AM$3,0,0,'Données projet'!$E$10+1,1))-AVERAGE(OFFSET($H$3,0,0,'Données projet'!$E$10+1,1))</f>
        <v>335.04906256888819</v>
      </c>
      <c r="AO48" s="59">
        <f t="shared" si="36"/>
        <v>440.84111898279554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58.265101842114873</v>
      </c>
      <c r="AV48" s="21">
        <f>EXP(-LN(2)/25)*AV47+(1-EXP(-LN(2)/25))/(LN(2)/25)*Calculateur!AQ48*Calculateur!AS48*VLOOKUP('Données projet'!$B$10,Paramètres!$A$1:$I$89,3,0)*0.475*44/12</f>
        <v>20.333836418624376</v>
      </c>
      <c r="AW48" s="21">
        <f>EXP(-LN(2)/2)*AW47+(1-EXP(-LN(2)/2))/(LN(2)/2)*AQ48*AT48*VLOOKUP('Données projet'!$B$10,Paramètres!$A$1:$I$89,3,0)*0.475*44/12</f>
        <v>2.4581428092489968</v>
      </c>
      <c r="AX48" s="21">
        <f t="shared" si="6"/>
        <v>81.057081069988243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10.386813186813185</v>
      </c>
      <c r="BD48" s="12">
        <f>IF('Données projet'!$A$88&gt;35,BD47+BC48-BL47,IF(A48&lt;'Données projet'!$A$88,$BA$205^A48,IF(A48='Données projet'!$A$88,'Données projet'!$B$88,BD47+BC48-BL47)))</f>
        <v>260.61978021978024</v>
      </c>
      <c r="BE48" s="13">
        <f>BD48*VLOOKUP('Données projet'!$B$11,Paramètres!$A$1:$I$89,3,0)*VLOOKUP('Données projet'!$B$11,Paramètres!$A$1:$I$89,5,0)</f>
        <v>149.07451428571429</v>
      </c>
      <c r="BF48" s="13">
        <f t="shared" si="37"/>
        <v>38.368189973864347</v>
      </c>
      <c r="BG48" s="20">
        <f t="shared" si="7"/>
        <v>326.46270991876611</v>
      </c>
      <c r="BH48" s="59">
        <f t="shared" si="8"/>
        <v>619.79604325209948</v>
      </c>
      <c r="BI48" s="59">
        <f ca="1">AVERAGE(OFFSET($BH$3,0,0,'Données projet'!$E$11+1,1))-AVERAGE(OFFSET($H$3,0,0,'Données projet'!$E$11+1,1))</f>
        <v>320.76883487964511</v>
      </c>
      <c r="BJ48" s="59">
        <f t="shared" si="38"/>
        <v>290.51177680335746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23.302692401684723</v>
      </c>
      <c r="BQ48" s="21">
        <f>EXP(-LN(2)/25)*BQ47+(1-EXP(-LN(2)/25))/(LN(2)/25)*Calculateur!BL48*Calculateur!BN48*VLOOKUP('Données projet'!$B$11,Paramètres!$A$1:$I$89,3,0)*0.475*44/12</f>
        <v>13.971137221247984</v>
      </c>
      <c r="BR48" s="21">
        <f>EXP(-LN(2)/2)*BR47+(1-EXP(-LN(2)/2))/(LN(2)/2)*BL48*BO48*VLOOKUP('Données projet'!$B$11,Paramètres!$A$1:$I$89,3,0)*0.475*44/12</f>
        <v>1.9867397343000737</v>
      </c>
      <c r="BS48" s="22">
        <f t="shared" si="9"/>
        <v>39.260569357232782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312</v>
      </c>
      <c r="BW48" s="12">
        <f>VLOOKUP(A48,'Données projet'!$A$113:$I$133,9,0)</f>
        <v>6</v>
      </c>
      <c r="BX48" s="12">
        <f t="array" ref="BX48">INDEX(BW:BW,MIN(IF(ISNUMBER(BW48:BW244),ROW(BW48:BW244),"")))</f>
        <v>6</v>
      </c>
      <c r="BY48" s="12">
        <f>IF('Données projet'!$A$114&gt;35,BY47+BX48-CG47,IF(A48&lt;'Données projet'!$A$114,$BV$205^A48,IF(A48='Données projet'!$A$114,'Données projet'!$B$114,BY47+BX48-CG47)))</f>
        <v>311.99999999999983</v>
      </c>
      <c r="BZ48" s="13">
        <f>BY48*VLOOKUP('Données projet'!$B$12,Paramètres!$A$1:$I$89,3,0)*VLOOKUP('Données projet'!$B$12,Paramètres!$A$1:$I$89,5,0)</f>
        <v>282.29759999999982</v>
      </c>
      <c r="CA48" s="13">
        <f t="shared" si="39"/>
        <v>67.452326629470107</v>
      </c>
      <c r="CB48" s="20">
        <f t="shared" si="10"/>
        <v>609.1477888796602</v>
      </c>
      <c r="CC48" s="59">
        <f t="shared" si="11"/>
        <v>902.48112221299357</v>
      </c>
      <c r="CD48" s="59">
        <f ca="1">AVERAGE(OFFSET($CC$3,0,0,'Données projet'!$E$12+1,1))-AVERAGE(OFFSET($H$3,0,0,'Données projet'!$E$12+1,1))</f>
        <v>366.69125512029831</v>
      </c>
      <c r="CE48" s="59">
        <f t="shared" si="40"/>
        <v>513.80016421153414</v>
      </c>
      <c r="CF48" s="15">
        <f>IF(ISNA(VLOOKUP(A48,'Données projet'!$A$113:$I$133,3,0)),0,VLOOKUP(A48,'Données projet'!$A$113:$I$133,3,0))</f>
        <v>9</v>
      </c>
      <c r="CG48" s="15">
        <f>IF(ISNA(VLOOKUP(A48,'Données projet'!$A$113:$I$133,4,0)),0,VLOOKUP(A48,'Données projet'!$A$113:$I$133,4,0))</f>
        <v>7</v>
      </c>
      <c r="CH48" s="16">
        <f>IF(ISNA(VLOOKUP(A48,'Données projet'!$A$113:$I$133,5,0)),0%,VLOOKUP(A48,'Données projet'!$A$113:$I$133,5,0)*VLOOKUP('Données projet'!$B$12,Paramètres!$A$1:$I$89,7,0))</f>
        <v>0.09</v>
      </c>
      <c r="CI48" s="16">
        <f>IF(ISNA(VLOOKUP(A48,'Données projet'!$A$113:$I$133,6,0)),0%,VLOOKUP(A48,'Données projet'!$A$113:$I$133,6,0)*VLOOKUP('Données projet'!$B$12,Paramètres!$A$1:$I$89,7,0))</f>
        <v>0.12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1.2008815668841828</v>
      </c>
      <c r="CL48" s="21">
        <f>EXP(-LN(2)/25)*CL47+(1-EXP(-LN(2)/25))/(LN(2)/25)*Calculateur!CG48*Calculateur!CI48*VLOOKUP('Données projet'!$B$12,Paramètres!$A$1:$I$89,3,0)*0.475*44/12</f>
        <v>4.8709663254233444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6.0718478923075274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9.3452380952380913</v>
      </c>
      <c r="CT48" s="12">
        <f>IF('Données projet'!$A$140&gt;35,CT47+CS48-DB47,IF(A48&lt;'Données projet'!$A$140,$CQ$205^A48,IF(A48='Données projet'!$A$140,'Données projet'!$B$140,CT47+CS48-DB47)))</f>
        <v>156.3168498168499</v>
      </c>
      <c r="CU48" s="17">
        <f>CT48*VLOOKUP('Données projet'!$B$13,Paramètres!$A$1:$I$89,3,0)*VLOOKUP('Données projet'!$B$13,Paramètres!$A$1:$I$89,5,0)</f>
        <v>104.85734285714292</v>
      </c>
      <c r="CV48" s="13">
        <f t="shared" si="41"/>
        <v>28.115978800652098</v>
      </c>
      <c r="CW48" s="20">
        <f t="shared" si="13"/>
        <v>231.59520188732631</v>
      </c>
      <c r="CX48" s="59">
        <f t="shared" si="14"/>
        <v>524.92853522065957</v>
      </c>
      <c r="CY48" s="59">
        <f ca="1">AVERAGE(OFFSET($CX$3,0,0,'Données projet'!$E$13+1,1))-AVERAGE(OFFSET($H$3,0,0,'Données projet'!$E$13+1,1))</f>
        <v>294.94331863127815</v>
      </c>
      <c r="CZ48" s="59">
        <f t="shared" si="42"/>
        <v>218.36990036643977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205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204.99999999999994</v>
      </c>
      <c r="DP48" s="17">
        <f>DO48*VLOOKUP('Données projet'!$B$14,Paramètres!$A$1:$I$89,3,0)*VLOOKUP('Données projet'!$B$14,Paramètres!$A$1:$I$89,5,0)</f>
        <v>150.30599999999995</v>
      </c>
      <c r="DQ48" s="13">
        <f t="shared" si="43"/>
        <v>38.648116968856641</v>
      </c>
      <c r="DR48" s="20">
        <f t="shared" si="16"/>
        <v>329.09508705409189</v>
      </c>
      <c r="DS48" s="59">
        <f t="shared" si="17"/>
        <v>622.42842038742515</v>
      </c>
      <c r="DT48" s="59">
        <f ca="1">AVERAGE(OFFSET($DS$3,0,0,'Données projet'!$E$14+1,1))-AVERAGE(OFFSET($H$3,0,0,'Données projet'!$E$14+1,1))</f>
        <v>278.45534008146865</v>
      </c>
      <c r="DU48" s="59">
        <f t="shared" si="44"/>
        <v>272.97841038165217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0.25369999999999998</v>
      </c>
      <c r="DY48" s="16">
        <f>IF(ISNA(VLOOKUP(A48,'Données projet'!$A$165:$I$185,6,0)),0%,VLOOKUP(A48,'Données projet'!$A$165:$I$185,6,0)*VLOOKUP('Données projet'!$B$14,Paramètres!$A$1:$I$89,7,0))</f>
        <v>0.11610000000000001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9.7020337866303468</v>
      </c>
      <c r="EB48" s="21">
        <f>EXP(-LN(2)/25)*EB47+(1-EXP(-LN(2)/25))/(LN(2)/25)*Calculateur!DW48*Calculateur!DY48*VLOOKUP('Données projet'!$B$14,Paramètres!$A$1:$I$89,3,0)*0.475*44/12</f>
        <v>10.780565607441794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20.482599394072139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9.3452380952380913</v>
      </c>
      <c r="EJ48" s="12">
        <f>IF('Données projet'!$A$192&gt;35,EJ47+EI48-ER47,IF(A48&lt;'Données projet'!$A$192,$EG$205^A48,IF(A48='Données projet'!$A$192,'Données projet'!$B$192,EJ47+EI48-ER47)))</f>
        <v>156.3168498168499</v>
      </c>
      <c r="EK48" s="17">
        <f>EJ48*VLOOKUP('Données projet'!$B$15,Paramètres!$A$1:$I$89,3,0)*VLOOKUP('Données projet'!$B$15,Paramètres!$A$1:$I$89,5,0)</f>
        <v>168.25945714285723</v>
      </c>
      <c r="EL48" s="13">
        <f t="shared" si="45"/>
        <v>42.699966707601483</v>
      </c>
      <c r="EM48" s="20">
        <f t="shared" si="19"/>
        <v>367.42099653954892</v>
      </c>
      <c r="EN48" s="59">
        <f t="shared" si="20"/>
        <v>660.75432987288218</v>
      </c>
      <c r="EO48" s="59">
        <f ca="1">AVERAGE(OFFSET($EN$3,0,0,'Données projet'!$E$15+1,1))-AVERAGE(OFFSET($H$3,0,0,'Données projet'!$E$15+1,1))</f>
        <v>449.09332781196957</v>
      </c>
      <c r="EP48" s="59">
        <f t="shared" si="46"/>
        <v>324.85904971519432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9.3452380952380913</v>
      </c>
      <c r="FE48" s="12">
        <f>IF('Données projet'!$A$218&gt;35,FE47+FD48-FM47,IF(A48&lt;'Données projet'!$A$218,$FB$205^A48,IF(A48='Données projet'!$A$218,'Données projet'!$B$218,FE47+FD48-FM47)))</f>
        <v>156.3168498168499</v>
      </c>
      <c r="FF48" s="17">
        <f>FE48*VLOOKUP('Données projet'!$B$16,Paramètres!$A$1:$I$89,3,0)*VLOOKUP('Données projet'!$B$16,Paramètres!$A$1:$I$89,5,0)</f>
        <v>158.5052857142858</v>
      </c>
      <c r="FG48" s="13">
        <f t="shared" si="47"/>
        <v>40.505194484738432</v>
      </c>
      <c r="FH48" s="20">
        <f t="shared" si="22"/>
        <v>346.60991967996728</v>
      </c>
      <c r="FI48" s="59">
        <f t="shared" si="23"/>
        <v>639.94325301330059</v>
      </c>
      <c r="FJ48" s="59">
        <f ca="1">AVERAGE(OFFSET($FI$3,0,0,'Données projet'!$E$16+1,1))-AVERAGE(OFFSET($H$3,0,0,'Données projet'!$E$16+1,1))</f>
        <v>419.51168383014721</v>
      </c>
      <c r="FK48" s="59">
        <f t="shared" si="48"/>
        <v>213.44145308833384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205</v>
      </c>
      <c r="FX48" s="12">
        <f>VLOOKUP(A48,'Données projet'!$A$243:$I$263,9,0)</f>
        <v>8.1999999999999993</v>
      </c>
      <c r="FY48" s="12">
        <f t="array" ref="FY48">INDEX(FX:FX,MIN(IF(ISNUMBER(FX48:FX244),ROW(FX48:FX244),"")))</f>
        <v>8.1999999999999993</v>
      </c>
      <c r="FZ48" s="12">
        <f>IF('Données projet'!$A$244&gt;35,FZ47+FY48-GH47,IF(A48&lt;'Données projet'!$A$244,$FW$205^A48,IF(A48='Données projet'!$A$244,'Données projet'!$B$244,FZ47+FY48-GH47)))</f>
        <v>204.99999999999994</v>
      </c>
      <c r="GA48" s="17">
        <f>FZ48*VLOOKUP('Données projet'!$B$17,Paramètres!$A$1:$I$89,3,0)*VLOOKUP('Données projet'!$B$17,Paramètres!$A$1:$I$89,5,0)</f>
        <v>179.08799999999997</v>
      </c>
      <c r="GB48" s="13">
        <f t="shared" si="49"/>
        <v>45.119223023956835</v>
      </c>
      <c r="GC48" s="20">
        <f t="shared" si="25"/>
        <v>390.49424676672476</v>
      </c>
      <c r="GD48" s="59">
        <f t="shared" si="26"/>
        <v>683.82758010005807</v>
      </c>
      <c r="GE48" s="59">
        <f ca="1">AVERAGE(OFFSET($GD$3,0,0,'Données projet'!$E$17+1,1))-AVERAGE(OFFSET($H$3,0,0,'Données projet'!$E$17+1,1))</f>
        <v>324.86930206492627</v>
      </c>
      <c r="GF48" s="59">
        <f t="shared" si="50"/>
        <v>317.03005098025352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22</v>
      </c>
      <c r="GI48" s="16">
        <f>IF(ISNA(VLOOKUP(A48,'Données projet'!$A$243:$I$263,5,0)),0%,VLOOKUP(A48,'Données projet'!$A$243:$I$263,5,0)*VLOOKUP('Données projet'!$B$17,Paramètres!$A$1:$I$89,7,0))</f>
        <v>0.31269999999999998</v>
      </c>
      <c r="GJ48" s="16">
        <f>IF(ISNA(VLOOKUP(A48,'Données projet'!$A$243:$I$263,6,0)),0%,VLOOKUP(A48,'Données projet'!$A$243:$I$263,6,0)*VLOOKUP('Données projet'!$B$17,Paramètres!$A$1:$I$89,7,0))</f>
        <v>0.1431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14.248211914259709</v>
      </c>
      <c r="GM48" s="21">
        <f>EXP(-LN(2)/25)*GM47+(1-EXP(-LN(2)/25))/(LN(2)/25)*Calculateur!GH48*Calculateur!GJ48*VLOOKUP('Données projet'!$B$17,Paramètres!$A$1:$I$89,3,0)*0.475*44/12</f>
        <v>15.83212207960775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30.080333993867459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9.3452380952380913</v>
      </c>
      <c r="GU48" s="12">
        <f>IF('Données projet'!$A$270&gt;35,GU47+GT48-HC47,IF(A48&lt;'Données projet'!$A$270,$GR$205^A48,IF(A48='Données projet'!$A$270,'Données projet'!$B$270,GU47+GT48-HC47)))</f>
        <v>156.3168498168499</v>
      </c>
      <c r="GV48" s="17">
        <f>GU48*VLOOKUP('Données projet'!$B$18,Paramètres!$A$1:$I$89,3,0)*VLOOKUP('Données projet'!$B$18,Paramètres!$A$1:$I$89,5,0)</f>
        <v>148.75111428571438</v>
      </c>
      <c r="GW48" s="13">
        <f t="shared" si="51"/>
        <v>38.294633905863954</v>
      </c>
      <c r="GX48" s="20">
        <f t="shared" si="28"/>
        <v>325.77134476699888</v>
      </c>
      <c r="GY48" s="59">
        <f t="shared" si="29"/>
        <v>619.10467810033219</v>
      </c>
      <c r="GZ48" s="59">
        <f ca="1">AVERAGE(OFFSET($GY$3,0,0,'Données projet'!$E$18+1,1))-AVERAGE(OFFSET($H$3,0,0,'Données projet'!$E$18+1,1))</f>
        <v>401.81944956556271</v>
      </c>
      <c r="HA48" s="59">
        <f t="shared" si="52"/>
        <v>292.20785523952651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0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165.662087912088</v>
      </c>
      <c r="O49" s="13">
        <f>N49*VLOOKUP('Données projet'!$B$9,Paramètres!$A$1:$I$89,3,0)*VLOOKUP('Données projet'!$B$9,Paramètres!$A$1:$I$89,5,0)</f>
        <v>149.89105714285722</v>
      </c>
      <c r="P49" s="13">
        <f t="shared" si="33"/>
        <v>38.553826918856579</v>
      </c>
      <c r="Q49" s="20">
        <f t="shared" si="53"/>
        <v>328.20817307415149</v>
      </c>
      <c r="R49" s="59">
        <f t="shared" si="0"/>
        <v>621.5415064074848</v>
      </c>
      <c r="S49" s="59">
        <f ca="1">AVERAGE(OFFSET($R$3,0,0,'Données projet'!$E$9+1,1))-AVERAGE(OFFSET($H$3,0,0,'Données projet'!$E$9+1,1))</f>
        <v>384.05928630855732</v>
      </c>
      <c r="T49" s="59">
        <f t="shared" si="34"/>
        <v>279.93992813630513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21.625641025641034</v>
      </c>
      <c r="AI49" s="13">
        <f>IF('Données projet'!$A$62&gt;35,AI48+AH49-AQ48,IF(A49&lt;'Données projet'!$A$62,$AF$205^A49,IF(A49='Données projet'!$A$62,'Données projet'!$B$62,AI48+AH49-AQ48)))</f>
        <v>481.83333333333326</v>
      </c>
      <c r="AJ49" s="13">
        <f>AI49*VLOOKUP('Données projet'!$B$10,Paramètres!$A$1:$I$89,3,0)*VLOOKUP('Données projet'!$B$10,Paramètres!$A$1:$I$89,5,0)</f>
        <v>269.34483333333333</v>
      </c>
      <c r="AK49" s="13">
        <f t="shared" si="35"/>
        <v>64.710206731812576</v>
      </c>
      <c r="AL49" s="20">
        <f t="shared" si="4"/>
        <v>581.81252811346246</v>
      </c>
      <c r="AM49" s="59">
        <f t="shared" si="5"/>
        <v>875.14586144679583</v>
      </c>
      <c r="AN49" s="59">
        <f ca="1">AVERAGE(OFFSET($AM$3,0,0,'Données projet'!$E$10+1,1))-AVERAGE(OFFSET($H$3,0,0,'Données projet'!$E$10+1,1))</f>
        <v>335.04906256888819</v>
      </c>
      <c r="AO49" s="59">
        <f t="shared" si="36"/>
        <v>440.84111898279554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57.122558733194019</v>
      </c>
      <c r="AV49" s="21">
        <f>EXP(-LN(2)/25)*AV48+(1-EXP(-LN(2)/25))/(LN(2)/25)*Calculateur!AQ49*Calculateur!AS49*VLOOKUP('Données projet'!$B$10,Paramètres!$A$1:$I$89,3,0)*0.475*44/12</f>
        <v>19.77780659244711</v>
      </c>
      <c r="AW49" s="21">
        <f>EXP(-LN(2)/2)*AW48+(1-EXP(-LN(2)/2))/(LN(2)/2)*AQ49*AT49*VLOOKUP('Données projet'!$B$10,Paramètres!$A$1:$I$89,3,0)*0.475*44/12</f>
        <v>1.7381694495449156</v>
      </c>
      <c r="AX49" s="21">
        <f t="shared" si="6"/>
        <v>78.638534775186045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10.386813186813185</v>
      </c>
      <c r="BD49" s="12">
        <f>IF('Données projet'!$A$88&gt;35,BD48+BC49-BL48,IF(A49&lt;'Données projet'!$A$88,$BA$205^A49,IF(A49='Données projet'!$A$88,'Données projet'!$B$88,BD48+BC49-BL48)))</f>
        <v>271.00659340659342</v>
      </c>
      <c r="BE49" s="13">
        <f>BD49*VLOOKUP('Données projet'!$B$11,Paramètres!$A$1:$I$89,3,0)*VLOOKUP('Données projet'!$B$11,Paramètres!$A$1:$I$89,5,0)</f>
        <v>155.01577142857144</v>
      </c>
      <c r="BF49" s="13">
        <f t="shared" si="37"/>
        <v>39.716246513318133</v>
      </c>
      <c r="BG49" s="20">
        <f t="shared" si="7"/>
        <v>339.15826458212433</v>
      </c>
      <c r="BH49" s="59">
        <f t="shared" si="8"/>
        <v>632.49159791545765</v>
      </c>
      <c r="BI49" s="59">
        <f ca="1">AVERAGE(OFFSET($BH$3,0,0,'Données projet'!$E$11+1,1))-AVERAGE(OFFSET($H$3,0,0,'Données projet'!$E$11+1,1))</f>
        <v>320.76883487964511</v>
      </c>
      <c r="BJ49" s="59">
        <f t="shared" si="38"/>
        <v>290.51177680335746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22.845740816926611</v>
      </c>
      <c r="BQ49" s="21">
        <f>EXP(-LN(2)/25)*BQ48+(1-EXP(-LN(2)/25))/(LN(2)/25)*Calculateur!BL49*Calculateur!BN49*VLOOKUP('Données projet'!$B$11,Paramètres!$A$1:$I$89,3,0)*0.475*44/12</f>
        <v>13.589095739222783</v>
      </c>
      <c r="BR49" s="21">
        <f>EXP(-LN(2)/2)*BR48+(1-EXP(-LN(2)/2))/(LN(2)/2)*BL49*BO49*VLOOKUP('Données projet'!$B$11,Paramètres!$A$1:$I$89,3,0)*0.475*44/12</f>
        <v>1.4048371385763418</v>
      </c>
      <c r="BS49" s="22">
        <f t="shared" si="9"/>
        <v>37.839673694725732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304.99999999999983</v>
      </c>
      <c r="BZ49" s="13">
        <f>BY49*VLOOKUP('Données projet'!$B$12,Paramètres!$A$1:$I$89,3,0)*VLOOKUP('Données projet'!$B$12,Paramètres!$A$1:$I$89,5,0)</f>
        <v>275.96399999999983</v>
      </c>
      <c r="CA49" s="13">
        <f t="shared" si="39"/>
        <v>66.113366665488854</v>
      </c>
      <c r="CB49" s="20">
        <f t="shared" si="10"/>
        <v>595.78474694239264</v>
      </c>
      <c r="CC49" s="59">
        <f t="shared" si="11"/>
        <v>889.11808027572602</v>
      </c>
      <c r="CD49" s="59">
        <f ca="1">AVERAGE(OFFSET($CC$3,0,0,'Données projet'!$E$12+1,1))-AVERAGE(OFFSET($H$3,0,0,'Données projet'!$E$12+1,1))</f>
        <v>366.69125512029831</v>
      </c>
      <c r="CE49" s="59">
        <f t="shared" si="40"/>
        <v>513.80016421153414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1.1773330118230148</v>
      </c>
      <c r="CL49" s="21">
        <f>EXP(-LN(2)/25)*CL48+(1-EXP(-LN(2)/25))/(LN(2)/25)*Calculateur!CG49*Calculateur!CI49*VLOOKUP('Données projet'!$B$12,Paramètres!$A$1:$I$89,3,0)*0.475*44/12</f>
        <v>4.7377694951016567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5.9151025069246712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9.3452380952380913</v>
      </c>
      <c r="CT49" s="12">
        <f>IF('Données projet'!$A$140&gt;35,CT48+CS49-DB48,IF(A49&lt;'Données projet'!$A$140,$CQ$205^A49,IF(A49='Données projet'!$A$140,'Données projet'!$B$140,CT48+CS49-DB48)))</f>
        <v>165.662087912088</v>
      </c>
      <c r="CU49" s="17">
        <f>CT49*VLOOKUP('Données projet'!$B$13,Paramètres!$A$1:$I$89,3,0)*VLOOKUP('Données projet'!$B$13,Paramètres!$A$1:$I$89,5,0)</f>
        <v>111.12612857142864</v>
      </c>
      <c r="CV49" s="13">
        <f t="shared" si="41"/>
        <v>29.596151759579989</v>
      </c>
      <c r="CW49" s="20">
        <f t="shared" si="13"/>
        <v>245.09130490984001</v>
      </c>
      <c r="CX49" s="59">
        <f t="shared" si="14"/>
        <v>538.42463824317338</v>
      </c>
      <c r="CY49" s="59">
        <f ca="1">AVERAGE(OFFSET($CX$3,0,0,'Données projet'!$E$13+1,1))-AVERAGE(OFFSET($H$3,0,0,'Données projet'!$E$13+1,1))</f>
        <v>294.94331863127815</v>
      </c>
      <c r="CZ49" s="59">
        <f t="shared" si="42"/>
        <v>218.36990036643977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190.19999999999993</v>
      </c>
      <c r="DP49" s="17">
        <f>DO49*VLOOKUP('Données projet'!$B$14,Paramètres!$A$1:$I$89,3,0)*VLOOKUP('Données projet'!$B$14,Paramètres!$A$1:$I$89,5,0)</f>
        <v>139.45463999999996</v>
      </c>
      <c r="DQ49" s="13">
        <f t="shared" si="43"/>
        <v>36.172042811708678</v>
      </c>
      <c r="DR49" s="20">
        <f t="shared" si="16"/>
        <v>305.88313923039249</v>
      </c>
      <c r="DS49" s="59">
        <f t="shared" si="17"/>
        <v>599.2164725637258</v>
      </c>
      <c r="DT49" s="59">
        <f ca="1">AVERAGE(OFFSET($DS$3,0,0,'Données projet'!$E$14+1,1))-AVERAGE(OFFSET($H$3,0,0,'Données projet'!$E$14+1,1))</f>
        <v>278.45534008146865</v>
      </c>
      <c r="DU49" s="59">
        <f t="shared" si="44"/>
        <v>272.97841038165217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9.5117828217308151</v>
      </c>
      <c r="EB49" s="21">
        <f>EXP(-LN(2)/25)*EB48+(1-EXP(-LN(2)/25))/(LN(2)/25)*Calculateur!DW49*Calculateur!DY49*VLOOKUP('Données projet'!$B$14,Paramètres!$A$1:$I$89,3,0)*0.475*44/12</f>
        <v>10.485770473980992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19.997553295711807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9.3452380952380913</v>
      </c>
      <c r="EJ49" s="12">
        <f>IF('Données projet'!$A$192&gt;35,EJ48+EI49-ER48,IF(A49&lt;'Données projet'!$A$192,$EG$205^A49,IF(A49='Données projet'!$A$192,'Données projet'!$B$192,EJ48+EI49-ER48)))</f>
        <v>165.662087912088</v>
      </c>
      <c r="EK49" s="17">
        <f>EJ49*VLOOKUP('Données projet'!$B$15,Paramètres!$A$1:$I$89,3,0)*VLOOKUP('Données projet'!$B$15,Paramètres!$A$1:$I$89,5,0)</f>
        <v>178.31867142857152</v>
      </c>
      <c r="EL49" s="13">
        <f t="shared" si="45"/>
        <v>44.947917473101633</v>
      </c>
      <c r="EM49" s="20">
        <f t="shared" si="19"/>
        <v>388.85597567041401</v>
      </c>
      <c r="EN49" s="59">
        <f t="shared" si="20"/>
        <v>682.18930900374733</v>
      </c>
      <c r="EO49" s="59">
        <f ca="1">AVERAGE(OFFSET($EN$3,0,0,'Données projet'!$E$15+1,1))-AVERAGE(OFFSET($H$3,0,0,'Données projet'!$E$15+1,1))</f>
        <v>449.09332781196957</v>
      </c>
      <c r="EP49" s="59">
        <f t="shared" si="46"/>
        <v>324.85904971519432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9.3452380952380913</v>
      </c>
      <c r="FE49" s="12">
        <f>IF('Données projet'!$A$218&gt;35,FE48+FD49-FM48,IF(A49&lt;'Données projet'!$A$218,$FB$205^A49,IF(A49='Données projet'!$A$218,'Données projet'!$B$218,FE48+FD49-FM48)))</f>
        <v>165.662087912088</v>
      </c>
      <c r="FF49" s="17">
        <f>FE49*VLOOKUP('Données projet'!$B$16,Paramètres!$A$1:$I$89,3,0)*VLOOKUP('Données projet'!$B$16,Paramètres!$A$1:$I$89,5,0)</f>
        <v>167.98135714285723</v>
      </c>
      <c r="FG49" s="13">
        <f t="shared" si="47"/>
        <v>42.637600900233188</v>
      </c>
      <c r="FH49" s="20">
        <f t="shared" si="22"/>
        <v>366.82801859171582</v>
      </c>
      <c r="FI49" s="59">
        <f t="shared" si="23"/>
        <v>660.16135192504908</v>
      </c>
      <c r="FJ49" s="59">
        <f ca="1">AVERAGE(OFFSET($FI$3,0,0,'Données projet'!$E$16+1,1))-AVERAGE(OFFSET($H$3,0,0,'Données projet'!$E$16+1,1))</f>
        <v>419.51168383014721</v>
      </c>
      <c r="FK49" s="59">
        <f t="shared" si="48"/>
        <v>213.44145308833384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7.2</v>
      </c>
      <c r="FZ49" s="12">
        <f>IF('Données projet'!$A$244&gt;35,FZ48+FY49-GH48,IF(A49&lt;'Données projet'!$A$244,$FW$205^A49,IF(A49='Données projet'!$A$244,'Données projet'!$B$244,FZ48+FY49-GH48)))</f>
        <v>190.19999999999993</v>
      </c>
      <c r="GA49" s="17">
        <f>FZ49*VLOOKUP('Données projet'!$B$17,Paramètres!$A$1:$I$89,3,0)*VLOOKUP('Données projet'!$B$17,Paramètres!$A$1:$I$89,5,0)</f>
        <v>166.15871999999996</v>
      </c>
      <c r="GB49" s="13">
        <f t="shared" si="49"/>
        <v>42.228563636586387</v>
      </c>
      <c r="GC49" s="20">
        <f t="shared" si="25"/>
        <v>362.94118566705453</v>
      </c>
      <c r="GD49" s="59">
        <f t="shared" si="26"/>
        <v>656.27451900038784</v>
      </c>
      <c r="GE49" s="59">
        <f ca="1">AVERAGE(OFFSET($GD$3,0,0,'Données projet'!$E$17+1,1))-AVERAGE(OFFSET($H$3,0,0,'Données projet'!$E$17+1,1))</f>
        <v>324.86930206492627</v>
      </c>
      <c r="GF49" s="59">
        <f t="shared" si="50"/>
        <v>317.03005098025352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13.968813169172224</v>
      </c>
      <c r="GM49" s="21">
        <f>EXP(-LN(2)/25)*GM48+(1-EXP(-LN(2)/25))/(LN(2)/25)*Calculateur!GH49*Calculateur!GJ49*VLOOKUP('Données projet'!$B$17,Paramètres!$A$1:$I$89,3,0)*0.475*44/12</f>
        <v>15.39919186876576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29.368005037937984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9.3452380952380913</v>
      </c>
      <c r="GU49" s="12">
        <f>IF('Données projet'!$A$270&gt;35,GU48+GT49-HC48,IF(A49&lt;'Données projet'!$A$270,$GR$205^A49,IF(A49='Données projet'!$A$270,'Données projet'!$B$270,GU48+GT49-HC48)))</f>
        <v>165.662087912088</v>
      </c>
      <c r="GV49" s="17">
        <f>GU49*VLOOKUP('Données projet'!$B$18,Paramètres!$A$1:$I$89,3,0)*VLOOKUP('Données projet'!$B$18,Paramètres!$A$1:$I$89,5,0)</f>
        <v>157.64404285714292</v>
      </c>
      <c r="GW49" s="13">
        <f t="shared" si="51"/>
        <v>40.31066478927707</v>
      </c>
      <c r="GX49" s="20">
        <f t="shared" si="28"/>
        <v>344.77111581751478</v>
      </c>
      <c r="GY49" s="59">
        <f t="shared" si="29"/>
        <v>638.10444915084804</v>
      </c>
      <c r="GZ49" s="59">
        <f ca="1">AVERAGE(OFFSET($GY$3,0,0,'Données projet'!$E$18+1,1))-AVERAGE(OFFSET($H$3,0,0,'Données projet'!$E$18+1,1))</f>
        <v>401.81944956556271</v>
      </c>
      <c r="HA49" s="59">
        <f t="shared" si="52"/>
        <v>292.20785523952651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0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175.0073260073261</v>
      </c>
      <c r="O50" s="13">
        <f>N50*VLOOKUP('Données projet'!$B$9,Paramètres!$A$1:$I$89,3,0)*VLOOKUP('Données projet'!$B$9,Paramètres!$A$1:$I$89,5,0)</f>
        <v>158.34662857142865</v>
      </c>
      <c r="P50" s="13">
        <f t="shared" si="33"/>
        <v>40.469367717876509</v>
      </c>
      <c r="Q50" s="20">
        <f t="shared" si="53"/>
        <v>346.2711935372065</v>
      </c>
      <c r="R50" s="59">
        <f t="shared" si="0"/>
        <v>639.60452687053976</v>
      </c>
      <c r="S50" s="59">
        <f ca="1">AVERAGE(OFFSET($R$3,0,0,'Données projet'!$E$9+1,1))-AVERAGE(OFFSET($H$3,0,0,'Données projet'!$E$9+1,1))</f>
        <v>384.05928630855732</v>
      </c>
      <c r="T50" s="59">
        <f t="shared" si="34"/>
        <v>279.93992813630513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21.625641025641034</v>
      </c>
      <c r="AI50" s="13">
        <f>IF('Données projet'!$A$62&gt;35,AI49+AH50-AQ49,IF(A50&lt;'Données projet'!$A$62,$AF$205^A50,IF(A50='Données projet'!$A$62,'Données projet'!$B$62,AI49+AH50-AQ49)))</f>
        <v>503.45897435897427</v>
      </c>
      <c r="AJ50" s="13">
        <f>AI50*VLOOKUP('Données projet'!$B$10,Paramètres!$A$1:$I$89,3,0)*VLOOKUP('Données projet'!$B$10,Paramètres!$A$1:$I$89,5,0)</f>
        <v>281.43356666666659</v>
      </c>
      <c r="AK50" s="13">
        <f t="shared" si="35"/>
        <v>67.26987262617007</v>
      </c>
      <c r="AL50" s="20">
        <f t="shared" si="4"/>
        <v>607.32515676835726</v>
      </c>
      <c r="AM50" s="59">
        <f t="shared" si="5"/>
        <v>900.65849010169063</v>
      </c>
      <c r="AN50" s="59">
        <f ca="1">AVERAGE(OFFSET($AM$3,0,0,'Données projet'!$E$10+1,1))-AVERAGE(OFFSET($H$3,0,0,'Données projet'!$E$10+1,1))</f>
        <v>335.04906256888819</v>
      </c>
      <c r="AO50" s="59">
        <f t="shared" si="36"/>
        <v>440.84111898279554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56.002420197756614</v>
      </c>
      <c r="AV50" s="21">
        <f>EXP(-LN(2)/25)*AV49+(1-EXP(-LN(2)/25))/(LN(2)/25)*Calculateur!AQ50*Calculateur!AS50*VLOOKUP('Données projet'!$B$10,Paramètres!$A$1:$I$89,3,0)*0.475*44/12</f>
        <v>19.236981431106997</v>
      </c>
      <c r="AW50" s="21">
        <f>EXP(-LN(2)/2)*AW49+(1-EXP(-LN(2)/2))/(LN(2)/2)*AQ50*AT50*VLOOKUP('Données projet'!$B$10,Paramètres!$A$1:$I$89,3,0)*0.475*44/12</f>
        <v>1.2290714046244984</v>
      </c>
      <c r="AX50" s="21">
        <f t="shared" si="6"/>
        <v>76.46847303348811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10.386813186813185</v>
      </c>
      <c r="BD50" s="12">
        <f>IF('Données projet'!$A$88&gt;35,BD49+BC50-BL49,IF(A50&lt;'Données projet'!$A$88,$BA$205^A50,IF(A50='Données projet'!$A$88,'Données projet'!$B$88,BD49+BC50-BL49)))</f>
        <v>281.39340659340661</v>
      </c>
      <c r="BE50" s="13">
        <f>BD50*VLOOKUP('Données projet'!$B$11,Paramètres!$A$1:$I$89,3,0)*VLOOKUP('Données projet'!$B$11,Paramètres!$A$1:$I$89,5,0)</f>
        <v>160.95702857142859</v>
      </c>
      <c r="BF50" s="13">
        <f t="shared" si="37"/>
        <v>41.058300893944526</v>
      </c>
      <c r="BG50" s="20">
        <f t="shared" si="7"/>
        <v>351.84336548552483</v>
      </c>
      <c r="BH50" s="59">
        <f t="shared" si="8"/>
        <v>645.17669881885809</v>
      </c>
      <c r="BI50" s="59">
        <f ca="1">AVERAGE(OFFSET($BH$3,0,0,'Données projet'!$E$11+1,1))-AVERAGE(OFFSET($H$3,0,0,'Données projet'!$E$11+1,1))</f>
        <v>320.76883487964511</v>
      </c>
      <c r="BJ50" s="59">
        <f t="shared" si="38"/>
        <v>290.51177680335746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22.397749774032658</v>
      </c>
      <c r="BQ50" s="21">
        <f>EXP(-LN(2)/25)*BQ49+(1-EXP(-LN(2)/25))/(LN(2)/25)*Calculateur!BL50*Calculateur!BN50*VLOOKUP('Données projet'!$B$11,Paramètres!$A$1:$I$89,3,0)*0.475*44/12</f>
        <v>13.217501201614249</v>
      </c>
      <c r="BR50" s="21">
        <f>EXP(-LN(2)/2)*BR49+(1-EXP(-LN(2)/2))/(LN(2)/2)*BL50*BO50*VLOOKUP('Données projet'!$B$11,Paramètres!$A$1:$I$89,3,0)*0.475*44/12</f>
        <v>0.99336986715003694</v>
      </c>
      <c r="BS50" s="22">
        <f t="shared" si="9"/>
        <v>36.608620842796945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304.99999999999983</v>
      </c>
      <c r="BZ50" s="13">
        <f>BY50*VLOOKUP('Données projet'!$B$12,Paramètres!$A$1:$I$89,3,0)*VLOOKUP('Données projet'!$B$12,Paramètres!$A$1:$I$89,5,0)</f>
        <v>275.96399999999983</v>
      </c>
      <c r="CA50" s="13">
        <f t="shared" si="39"/>
        <v>66.113366665488854</v>
      </c>
      <c r="CB50" s="20">
        <f t="shared" si="10"/>
        <v>595.78474694239264</v>
      </c>
      <c r="CC50" s="59">
        <f t="shared" si="11"/>
        <v>889.11808027572602</v>
      </c>
      <c r="CD50" s="59">
        <f ca="1">AVERAGE(OFFSET($CC$3,0,0,'Données projet'!$E$12+1,1))-AVERAGE(OFFSET($H$3,0,0,'Données projet'!$E$12+1,1))</f>
        <v>366.69125512029831</v>
      </c>
      <c r="CE50" s="59">
        <f t="shared" si="40"/>
        <v>513.80016421153414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1.154246229563396</v>
      </c>
      <c r="CL50" s="21">
        <f>EXP(-LN(2)/25)*CL49+(1-EXP(-LN(2)/25))/(LN(2)/25)*Calculateur!CG50*Calculateur!CI50*VLOOKUP('Données projet'!$B$12,Paramètres!$A$1:$I$89,3,0)*0.475*44/12</f>
        <v>4.6082149391096321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5.7624611686730276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9.3452380952380913</v>
      </c>
      <c r="CT50" s="12">
        <f>IF('Données projet'!$A$140&gt;35,CT49+CS50-DB49,IF(A50&lt;'Données projet'!$A$140,$CQ$205^A50,IF(A50='Données projet'!$A$140,'Données projet'!$B$140,CT49+CS50-DB49)))</f>
        <v>175.0073260073261</v>
      </c>
      <c r="CU50" s="17">
        <f>CT50*VLOOKUP('Données projet'!$B$13,Paramètres!$A$1:$I$89,3,0)*VLOOKUP('Données projet'!$B$13,Paramètres!$A$1:$I$89,5,0)</f>
        <v>117.39491428571435</v>
      </c>
      <c r="CV50" s="13">
        <f t="shared" si="41"/>
        <v>31.066631883609745</v>
      </c>
      <c r="CW50" s="20">
        <f t="shared" si="13"/>
        <v>258.57052624490609</v>
      </c>
      <c r="CX50" s="59">
        <f t="shared" si="14"/>
        <v>551.90385957823946</v>
      </c>
      <c r="CY50" s="59">
        <f ca="1">AVERAGE(OFFSET($CX$3,0,0,'Données projet'!$E$13+1,1))-AVERAGE(OFFSET($H$3,0,0,'Données projet'!$E$13+1,1))</f>
        <v>294.94331863127815</v>
      </c>
      <c r="CZ50" s="59">
        <f t="shared" si="42"/>
        <v>218.36990036643977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197.39999999999992</v>
      </c>
      <c r="DP50" s="17">
        <f>DO50*VLOOKUP('Données projet'!$B$14,Paramètres!$A$1:$I$89,3,0)*VLOOKUP('Données projet'!$B$14,Paramètres!$A$1:$I$89,5,0)</f>
        <v>144.73367999999994</v>
      </c>
      <c r="DQ50" s="13">
        <f t="shared" si="43"/>
        <v>37.379317506781838</v>
      </c>
      <c r="DR50" s="20">
        <f t="shared" si="16"/>
        <v>317.1801373243116</v>
      </c>
      <c r="DS50" s="59">
        <f t="shared" si="17"/>
        <v>610.51347065764492</v>
      </c>
      <c r="DT50" s="59">
        <f ca="1">AVERAGE(OFFSET($DS$3,0,0,'Données projet'!$E$14+1,1))-AVERAGE(OFFSET($H$3,0,0,'Données projet'!$E$14+1,1))</f>
        <v>278.45534008146865</v>
      </c>
      <c r="DU50" s="59">
        <f t="shared" si="44"/>
        <v>272.97841038165217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9.3252625622113339</v>
      </c>
      <c r="EB50" s="21">
        <f>EXP(-LN(2)/25)*EB49+(1-EXP(-LN(2)/25))/(LN(2)/25)*Calculateur!DW50*Calculateur!DY50*VLOOKUP('Données projet'!$B$14,Paramètres!$A$1:$I$89,3,0)*0.475*44/12</f>
        <v>10.199036528947278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19.524299091158611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9.3452380952380913</v>
      </c>
      <c r="EJ50" s="12">
        <f>IF('Données projet'!$A$192&gt;35,EJ49+EI50-ER49,IF(A50&lt;'Données projet'!$A$192,$EG$205^A50,IF(A50='Données projet'!$A$192,'Données projet'!$B$192,EJ49+EI50-ER49)))</f>
        <v>175.0073260073261</v>
      </c>
      <c r="EK50" s="17">
        <f>EJ50*VLOOKUP('Données projet'!$B$15,Paramètres!$A$1:$I$89,3,0)*VLOOKUP('Données projet'!$B$15,Paramètres!$A$1:$I$89,5,0)</f>
        <v>188.37788571428581</v>
      </c>
      <c r="EL50" s="13">
        <f t="shared" si="45"/>
        <v>47.181147651053102</v>
      </c>
      <c r="EM50" s="20">
        <f t="shared" si="19"/>
        <v>410.26531644463194</v>
      </c>
      <c r="EN50" s="59">
        <f t="shared" si="20"/>
        <v>703.59864977796519</v>
      </c>
      <c r="EO50" s="59">
        <f ca="1">AVERAGE(OFFSET($EN$3,0,0,'Données projet'!$E$15+1,1))-AVERAGE(OFFSET($H$3,0,0,'Données projet'!$E$15+1,1))</f>
        <v>449.09332781196957</v>
      </c>
      <c r="EP50" s="59">
        <f t="shared" si="46"/>
        <v>324.85904971519432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9.3452380952380913</v>
      </c>
      <c r="FE50" s="12">
        <f>IF('Données projet'!$A$218&gt;35,FE49+FD50-FM49,IF(A50&lt;'Données projet'!$A$218,$FB$205^A50,IF(A50='Données projet'!$A$218,'Données projet'!$B$218,FE49+FD50-FM49)))</f>
        <v>175.0073260073261</v>
      </c>
      <c r="FF50" s="17">
        <f>FE50*VLOOKUP('Données projet'!$B$16,Paramètres!$A$1:$I$89,3,0)*VLOOKUP('Données projet'!$B$16,Paramètres!$A$1:$I$89,5,0)</f>
        <v>177.45742857142866</v>
      </c>
      <c r="FG50" s="13">
        <f t="shared" si="47"/>
        <v>44.75604336428804</v>
      </c>
      <c r="FH50" s="20">
        <f t="shared" si="22"/>
        <v>387.02179695470659</v>
      </c>
      <c r="FI50" s="59">
        <f t="shared" si="23"/>
        <v>680.35513028803985</v>
      </c>
      <c r="FJ50" s="59">
        <f ca="1">AVERAGE(OFFSET($FI$3,0,0,'Données projet'!$E$16+1,1))-AVERAGE(OFFSET($H$3,0,0,'Données projet'!$E$16+1,1))</f>
        <v>419.51168383014721</v>
      </c>
      <c r="FK50" s="59">
        <f t="shared" si="48"/>
        <v>213.44145308833384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7.2</v>
      </c>
      <c r="FZ50" s="12">
        <f>IF('Données projet'!$A$244&gt;35,FZ49+FY50-GH49,IF(A50&lt;'Données projet'!$A$244,$FW$205^A50,IF(A50='Données projet'!$A$244,'Données projet'!$B$244,FZ49+FY50-GH49)))</f>
        <v>197.39999999999992</v>
      </c>
      <c r="GA50" s="17">
        <f>FZ50*VLOOKUP('Données projet'!$B$17,Paramètres!$A$1:$I$89,3,0)*VLOOKUP('Données projet'!$B$17,Paramètres!$A$1:$I$89,5,0)</f>
        <v>172.44863999999995</v>
      </c>
      <c r="GB50" s="13">
        <f t="shared" si="49"/>
        <v>43.637980200453676</v>
      </c>
      <c r="GC50" s="20">
        <f t="shared" si="25"/>
        <v>376.35086351579008</v>
      </c>
      <c r="GD50" s="59">
        <f t="shared" si="26"/>
        <v>669.6841968491234</v>
      </c>
      <c r="GE50" s="59">
        <f ca="1">AVERAGE(OFFSET($GD$3,0,0,'Données projet'!$E$17+1,1))-AVERAGE(OFFSET($H$3,0,0,'Données projet'!$E$17+1,1))</f>
        <v>324.86930206492627</v>
      </c>
      <c r="GF50" s="59">
        <f t="shared" si="50"/>
        <v>317.03005098025352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13.694893263059496</v>
      </c>
      <c r="GM50" s="21">
        <f>EXP(-LN(2)/25)*GM49+(1-EXP(-LN(2)/25))/(LN(2)/25)*Calculateur!GH50*Calculateur!GJ50*VLOOKUP('Données projet'!$B$17,Paramètres!$A$1:$I$89,3,0)*0.475*44/12</f>
        <v>14.978100157306056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28.67299342036555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9.3452380952380913</v>
      </c>
      <c r="GU50" s="12">
        <f>IF('Données projet'!$A$270&gt;35,GU49+GT50-HC49,IF(A50&lt;'Données projet'!$A$270,$GR$205^A50,IF(A50='Données projet'!$A$270,'Données projet'!$B$270,GU49+GT50-HC49)))</f>
        <v>175.0073260073261</v>
      </c>
      <c r="GV50" s="17">
        <f>GU50*VLOOKUP('Données projet'!$B$18,Paramètres!$A$1:$I$89,3,0)*VLOOKUP('Données projet'!$B$18,Paramètres!$A$1:$I$89,5,0)</f>
        <v>166.53697142857152</v>
      </c>
      <c r="GW50" s="13">
        <f t="shared" si="51"/>
        <v>42.313493800311278</v>
      </c>
      <c r="GX50" s="20">
        <f t="shared" si="28"/>
        <v>363.74789360697088</v>
      </c>
      <c r="GY50" s="59">
        <f t="shared" si="29"/>
        <v>657.08122694030419</v>
      </c>
      <c r="GZ50" s="59">
        <f ca="1">AVERAGE(OFFSET($GY$3,0,0,'Données projet'!$E$18+1,1))-AVERAGE(OFFSET($H$3,0,0,'Données projet'!$E$18+1,1))</f>
        <v>401.81944956556271</v>
      </c>
      <c r="HA50" s="59">
        <f t="shared" si="52"/>
        <v>292.20785523952651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0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184.3525641025642</v>
      </c>
      <c r="O51" s="13">
        <f>N51*VLOOKUP('Données projet'!$B$9,Paramètres!$A$1:$I$89,3,0)*VLOOKUP('Données projet'!$B$9,Paramètres!$A$1:$I$89,5,0)</f>
        <v>166.80220000000008</v>
      </c>
      <c r="P51" s="13">
        <f t="shared" si="33"/>
        <v>42.373033138688463</v>
      </c>
      <c r="Q51" s="20">
        <f t="shared" si="53"/>
        <v>364.31353104988256</v>
      </c>
      <c r="R51" s="59">
        <f t="shared" si="0"/>
        <v>657.64686438321587</v>
      </c>
      <c r="S51" s="59">
        <f ca="1">AVERAGE(OFFSET($R$3,0,0,'Données projet'!$E$9+1,1))-AVERAGE(OFFSET($H$3,0,0,'Données projet'!$E$9+1,1))</f>
        <v>384.05928630855732</v>
      </c>
      <c r="T51" s="59">
        <f t="shared" si="34"/>
        <v>279.93992813630513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525.0846153846154</v>
      </c>
      <c r="AG51" s="12">
        <f>VLOOKUP(A51,'Données projet'!$A$61:$I$81,9,0)</f>
        <v>21.625641025641034</v>
      </c>
      <c r="AH51" s="12">
        <f t="array" ref="AH51">INDEX(AG:AG,MIN(IF(ISNUMBER(AG51:AG247),ROW(AG51:AG247),"")))</f>
        <v>21.625641025641034</v>
      </c>
      <c r="AI51" s="13">
        <f>IF('Données projet'!$A$62&gt;35,AI50+AH51-AQ50,IF(A51&lt;'Données projet'!$A$62,$AF$205^A51,IF(A51='Données projet'!$A$62,'Données projet'!$B$62,AI50+AH51-AQ50)))</f>
        <v>525.08461538461529</v>
      </c>
      <c r="AJ51" s="13">
        <f>AI51*VLOOKUP('Données projet'!$B$10,Paramètres!$A$1:$I$89,3,0)*VLOOKUP('Données projet'!$B$10,Paramètres!$A$1:$I$89,5,0)</f>
        <v>293.52229999999997</v>
      </c>
      <c r="AK51" s="13">
        <f t="shared" si="35"/>
        <v>69.816768342057628</v>
      </c>
      <c r="AL51" s="20">
        <f t="shared" si="4"/>
        <v>632.81554402908364</v>
      </c>
      <c r="AM51" s="59">
        <f t="shared" si="5"/>
        <v>926.1488773624169</v>
      </c>
      <c r="AN51" s="59">
        <f ca="1">AVERAGE(OFFSET($AM$3,0,0,'Données projet'!$E$10+1,1))-AVERAGE(OFFSET($H$3,0,0,'Données projet'!$E$10+1,1))</f>
        <v>335.04906256888819</v>
      </c>
      <c r="AO51" s="59">
        <f t="shared" si="36"/>
        <v>440.84111898279554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81.330769230769235</v>
      </c>
      <c r="AR51" s="16">
        <f>IF(ISNA(VLOOKUP(A51,'Données projet'!$A$61:$I$81,5,0)),0%,VLOOKUP(A51,'Données projet'!$A$61:$I$81,5,0)*VLOOKUP('Données projet'!$B$10,Paramètres!$A$1:$I$89,7,0))</f>
        <v>0.38500000000000001</v>
      </c>
      <c r="AS51" s="16">
        <f>IF(ISNA(VLOOKUP(A51,'Données projet'!$A$61:$I$81,6,0)),0%,VLOOKUP(A51,'Données projet'!$A$61:$I$81,6,0)*VLOOKUP('Données projet'!$B$10,Paramètres!$A$1:$I$89,7,0))</f>
        <v>9.240000000000001E-2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78.12390248786032</v>
      </c>
      <c r="AV51" s="21">
        <f>EXP(-LN(2)/25)*AV50+(1-EXP(-LN(2)/25))/(LN(2)/25)*Calculateur!AQ51*Calculateur!AS51*VLOOKUP('Données projet'!$B$10,Paramètres!$A$1:$I$89,3,0)*0.475*44/12</f>
        <v>24.261720592795644</v>
      </c>
      <c r="AW51" s="21">
        <f>EXP(-LN(2)/2)*AW50+(1-EXP(-LN(2)/2))/(LN(2)/2)*AQ51*AT51*VLOOKUP('Données projet'!$B$10,Paramètres!$A$1:$I$89,3,0)*0.475*44/12</f>
        <v>7.6638765903722392</v>
      </c>
      <c r="AX51" s="21">
        <f t="shared" si="6"/>
        <v>110.0494996710282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10.386813186813185</v>
      </c>
      <c r="BD51" s="12">
        <f>IF('Données projet'!$A$88&gt;35,BD50+BC51-BL50,IF(A51&lt;'Données projet'!$A$88,$BA$205^A51,IF(A51='Données projet'!$A$88,'Données projet'!$B$88,BD50+BC51-BL50)))</f>
        <v>291.7802197802198</v>
      </c>
      <c r="BE51" s="13">
        <f>BD51*VLOOKUP('Données projet'!$B$11,Paramètres!$A$1:$I$89,3,0)*VLOOKUP('Données projet'!$B$11,Paramètres!$A$1:$I$89,5,0)</f>
        <v>166.89828571428572</v>
      </c>
      <c r="BF51" s="13">
        <f t="shared" si="37"/>
        <v>42.394600040011689</v>
      </c>
      <c r="BG51" s="20">
        <f t="shared" si="7"/>
        <v>364.51844268873464</v>
      </c>
      <c r="BH51" s="59">
        <f t="shared" si="8"/>
        <v>657.85177602206795</v>
      </c>
      <c r="BI51" s="59">
        <f ca="1">AVERAGE(OFFSET($BH$3,0,0,'Données projet'!$E$11+1,1))-AVERAGE(OFFSET($H$3,0,0,'Données projet'!$E$11+1,1))</f>
        <v>320.76883487964511</v>
      </c>
      <c r="BJ51" s="59">
        <f t="shared" si="38"/>
        <v>290.51177680335746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21.958543562242301</v>
      </c>
      <c r="BQ51" s="21">
        <f>EXP(-LN(2)/25)*BQ50+(1-EXP(-LN(2)/25))/(LN(2)/25)*Calculateur!BL51*Calculateur!BN51*VLOOKUP('Données projet'!$B$11,Paramètres!$A$1:$I$89,3,0)*0.475*44/12</f>
        <v>12.856067936177928</v>
      </c>
      <c r="BR51" s="21">
        <f>EXP(-LN(2)/2)*BR50+(1-EXP(-LN(2)/2))/(LN(2)/2)*BL51*BO51*VLOOKUP('Données projet'!$B$11,Paramètres!$A$1:$I$89,3,0)*0.475*44/12</f>
        <v>0.70241856928817104</v>
      </c>
      <c r="BS51" s="22">
        <f t="shared" si="9"/>
        <v>35.517030067708397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304.99999999999983</v>
      </c>
      <c r="BZ51" s="13">
        <f>BY51*VLOOKUP('Données projet'!$B$12,Paramètres!$A$1:$I$89,3,0)*VLOOKUP('Données projet'!$B$12,Paramètres!$A$1:$I$89,5,0)</f>
        <v>275.96399999999983</v>
      </c>
      <c r="CA51" s="13">
        <f t="shared" si="39"/>
        <v>66.113366665488854</v>
      </c>
      <c r="CB51" s="20">
        <f t="shared" si="10"/>
        <v>595.78474694239264</v>
      </c>
      <c r="CC51" s="59">
        <f t="shared" si="11"/>
        <v>889.11808027572602</v>
      </c>
      <c r="CD51" s="59">
        <f ca="1">AVERAGE(OFFSET($CC$3,0,0,'Données projet'!$E$12+1,1))-AVERAGE(OFFSET($H$3,0,0,'Données projet'!$E$12+1,1))</f>
        <v>366.69125512029831</v>
      </c>
      <c r="CE51" s="59">
        <f t="shared" si="40"/>
        <v>513.80016421153414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1.1316121650223416</v>
      </c>
      <c r="CL51" s="21">
        <f>EXP(-LN(2)/25)*CL50+(1-EXP(-LN(2)/25))/(LN(2)/25)*Calculateur!CG51*Calculateur!CI51*VLOOKUP('Données projet'!$B$12,Paramètres!$A$1:$I$89,3,0)*0.475*44/12</f>
        <v>4.4822030592641875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5.6138152242865296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184.35256410256409</v>
      </c>
      <c r="CR51" s="12">
        <f>VLOOKUP(A51,'Données projet'!$A$139:$I$159,9,0)</f>
        <v>9.3452380952380913</v>
      </c>
      <c r="CS51" s="12">
        <f t="array" ref="CS51">INDEX(CR:CR,MIN(IF(ISNUMBER(CR51:CR247),ROW(CR51:CR247),"")))</f>
        <v>9.3452380952380913</v>
      </c>
      <c r="CT51" s="12">
        <f>IF('Données projet'!$A$140&gt;35,CT50+CS51-DB50,IF(A51&lt;'Données projet'!$A$140,$CQ$205^A51,IF(A51='Données projet'!$A$140,'Données projet'!$B$140,CT50+CS51-DB50)))</f>
        <v>184.3525641025642</v>
      </c>
      <c r="CU51" s="17">
        <f>CT51*VLOOKUP('Données projet'!$B$13,Paramètres!$A$1:$I$89,3,0)*VLOOKUP('Données projet'!$B$13,Paramètres!$A$1:$I$89,5,0)</f>
        <v>123.66370000000008</v>
      </c>
      <c r="CV51" s="13">
        <f t="shared" si="41"/>
        <v>32.527995779141946</v>
      </c>
      <c r="CW51" s="20">
        <f t="shared" si="13"/>
        <v>272.03387014867241</v>
      </c>
      <c r="CX51" s="59">
        <f t="shared" si="14"/>
        <v>565.36720348200572</v>
      </c>
      <c r="CY51" s="59">
        <f ca="1">AVERAGE(OFFSET($CX$3,0,0,'Données projet'!$E$13+1,1))-AVERAGE(OFFSET($H$3,0,0,'Données projet'!$E$13+1,1))</f>
        <v>294.94331863127815</v>
      </c>
      <c r="CZ51" s="59">
        <f t="shared" si="42"/>
        <v>218.36990036643977</v>
      </c>
      <c r="DA51" s="15">
        <f>IF(ISNA(VLOOKUP(A51,'Données projet'!$A$139:$I$159,3,0)),0,VLOOKUP(A51,'Données projet'!$A$139:$I$159,3,0))</f>
        <v>3</v>
      </c>
      <c r="DB51" s="15">
        <f>IF(ISNA(VLOOKUP(A51,'Données projet'!$A$139:$I$159,4,0)),0,VLOOKUP(A51,'Données projet'!$A$139:$I$159,4,0))</f>
        <v>48.025641025641022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204.59999999999991</v>
      </c>
      <c r="DP51" s="17">
        <f>DO51*VLOOKUP('Données projet'!$B$14,Paramètres!$A$1:$I$89,3,0)*VLOOKUP('Données projet'!$B$14,Paramètres!$A$1:$I$89,5,0)</f>
        <v>150.01271999999992</v>
      </c>
      <c r="DQ51" s="13">
        <f t="shared" si="43"/>
        <v>38.581476272231626</v>
      </c>
      <c r="DR51" s="20">
        <f t="shared" si="16"/>
        <v>328.46822517413659</v>
      </c>
      <c r="DS51" s="59">
        <f t="shared" si="17"/>
        <v>621.80155850746996</v>
      </c>
      <c r="DT51" s="59">
        <f ca="1">AVERAGE(OFFSET($DS$3,0,0,'Données projet'!$E$14+1,1))-AVERAGE(OFFSET($H$3,0,0,'Données projet'!$E$14+1,1))</f>
        <v>278.45534008146865</v>
      </c>
      <c r="DU51" s="59">
        <f t="shared" si="44"/>
        <v>272.97841038165217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9.1423998512149041</v>
      </c>
      <c r="EB51" s="21">
        <f>EXP(-LN(2)/25)*EB50+(1-EXP(-LN(2)/25))/(LN(2)/25)*Calculateur!DW51*Calculateur!DY51*VLOOKUP('Données projet'!$B$14,Paramètres!$A$1:$I$89,3,0)*0.475*44/12</f>
        <v>9.9201433387191944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19.062543189934097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184.35256410256409</v>
      </c>
      <c r="EH51" s="12">
        <f>VLOOKUP(A51,'Données projet'!$A$191:$I$211,9,0)</f>
        <v>9.3452380952380913</v>
      </c>
      <c r="EI51" s="12">
        <f t="array" ref="EI51">INDEX(EH:EH,MIN(IF(ISNUMBER(EH51:EH247),ROW(EH51:EH247),"")))</f>
        <v>9.3452380952380913</v>
      </c>
      <c r="EJ51" s="12">
        <f>IF('Données projet'!$A$192&gt;35,EJ50+EI51-ER50,IF(A51&lt;'Données projet'!$A$192,$EG$205^A51,IF(A51='Données projet'!$A$192,'Données projet'!$B$192,EJ50+EI51-ER50)))</f>
        <v>184.3525641025642</v>
      </c>
      <c r="EK51" s="17">
        <f>EJ51*VLOOKUP('Données projet'!$B$15,Paramètres!$A$1:$I$89,3,0)*VLOOKUP('Données projet'!$B$15,Paramètres!$A$1:$I$89,5,0)</f>
        <v>198.4371000000001</v>
      </c>
      <c r="EL51" s="13">
        <f t="shared" si="45"/>
        <v>49.400532938307215</v>
      </c>
      <c r="EM51" s="20">
        <f t="shared" si="19"/>
        <v>431.65054403421851</v>
      </c>
      <c r="EN51" s="59">
        <f t="shared" si="20"/>
        <v>724.98387736755183</v>
      </c>
      <c r="EO51" s="59">
        <f ca="1">AVERAGE(OFFSET($EN$3,0,0,'Données projet'!$E$15+1,1))-AVERAGE(OFFSET($H$3,0,0,'Données projet'!$E$15+1,1))</f>
        <v>449.09332781196957</v>
      </c>
      <c r="EP51" s="59">
        <f t="shared" si="46"/>
        <v>324.85904971519432</v>
      </c>
      <c r="EQ51" s="15">
        <f>IF(ISNA(VLOOKUP(A51,'Données projet'!$A$191:$I$211,3,0)),0,VLOOKUP(A51,'Données projet'!$A$191:$I$211,3,0))</f>
        <v>3</v>
      </c>
      <c r="ER51" s="15">
        <f>IF(ISNA(VLOOKUP(A51,'Données projet'!$A$191:$I$211,4,0)),0,VLOOKUP(A51,'Données projet'!$A$191:$I$211,4,0))</f>
        <v>48.025641025641022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>
        <f>VLOOKUP(A51,'Données projet'!$A$217:$I$237,2,0)</f>
        <v>184.35256410256409</v>
      </c>
      <c r="FC51" s="12">
        <f>VLOOKUP(A51,'Données projet'!$A$217:$I$237,9,0)</f>
        <v>9.3452380952380913</v>
      </c>
      <c r="FD51" s="12">
        <f t="array" ref="FD51">INDEX(FC:FC,MIN(IF(ISNUMBER(FC51:FC247),ROW(FC51:FC247),"")))</f>
        <v>9.3452380952380913</v>
      </c>
      <c r="FE51" s="12">
        <f>IF('Données projet'!$A$218&gt;35,FE50+FD51-FM50,IF(A51&lt;'Données projet'!$A$218,$FB$205^A51,IF(A51='Données projet'!$A$218,'Données projet'!$B$218,FE50+FD51-FM50)))</f>
        <v>184.3525641025642</v>
      </c>
      <c r="FF51" s="17">
        <f>FE51*VLOOKUP('Données projet'!$B$16,Paramètres!$A$1:$I$89,3,0)*VLOOKUP('Données projet'!$B$16,Paramètres!$A$1:$I$89,5,0)</f>
        <v>186.93350000000012</v>
      </c>
      <c r="FG51" s="13">
        <f t="shared" si="47"/>
        <v>46.861352563060628</v>
      </c>
      <c r="FH51" s="20">
        <f t="shared" si="22"/>
        <v>407.19270154733073</v>
      </c>
      <c r="FI51" s="59">
        <f t="shared" si="23"/>
        <v>700.52603488066404</v>
      </c>
      <c r="FJ51" s="59">
        <f ca="1">AVERAGE(OFFSET($FI$3,0,0,'Données projet'!$E$16+1,1))-AVERAGE(OFFSET($H$3,0,0,'Données projet'!$E$16+1,1))</f>
        <v>419.51168383014721</v>
      </c>
      <c r="FK51" s="59">
        <f t="shared" si="48"/>
        <v>213.44145308833384</v>
      </c>
      <c r="FL51" s="15">
        <f>IF(ISNA(VLOOKUP(A51,'Données projet'!$A$217:$I$237,3,0)),0,VLOOKUP(A51,'Données projet'!$A$217:$I$237,3,0))</f>
        <v>3</v>
      </c>
      <c r="FM51" s="15">
        <f>IF(ISNA(VLOOKUP(A51,'Données projet'!$A$217:$I$237,4,0)),0,VLOOKUP(A51,'Données projet'!$A$217:$I$237,4,0))</f>
        <v>48.025641025641022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7.2</v>
      </c>
      <c r="FZ51" s="12">
        <f>IF('Données projet'!$A$244&gt;35,FZ50+FY51-GH50,IF(A51&lt;'Données projet'!$A$244,$FW$205^A51,IF(A51='Données projet'!$A$244,'Données projet'!$B$244,FZ50+FY51-GH50)))</f>
        <v>204.59999999999991</v>
      </c>
      <c r="GA51" s="17">
        <f>FZ51*VLOOKUP('Données projet'!$B$17,Paramètres!$A$1:$I$89,3,0)*VLOOKUP('Données projet'!$B$17,Paramètres!$A$1:$I$89,5,0)</f>
        <v>178.73855999999995</v>
      </c>
      <c r="GB51" s="13">
        <f t="shared" si="49"/>
        <v>45.041424241265332</v>
      </c>
      <c r="GC51" s="20">
        <f t="shared" si="25"/>
        <v>389.75013922020366</v>
      </c>
      <c r="GD51" s="59">
        <f t="shared" si="26"/>
        <v>683.08347255353692</v>
      </c>
      <c r="GE51" s="59">
        <f ca="1">AVERAGE(OFFSET($GD$3,0,0,'Données projet'!$E$17+1,1))-AVERAGE(OFFSET($H$3,0,0,'Données projet'!$E$17+1,1))</f>
        <v>324.86930206492627</v>
      </c>
      <c r="GF51" s="59">
        <f t="shared" si="50"/>
        <v>317.03005098025352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13.426344759230995</v>
      </c>
      <c r="GM51" s="21">
        <f>EXP(-LN(2)/25)*GM50+(1-EXP(-LN(2)/25))/(LN(2)/25)*Calculateur!GH51*Calculateur!GJ51*VLOOKUP('Données projet'!$B$17,Paramètres!$A$1:$I$89,3,0)*0.475*44/12</f>
        <v>14.568523220840467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27.994867980071461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>
        <f>VLOOKUP(A51,'Données projet'!$A$269:$I$289,2,0)</f>
        <v>184.35256410256409</v>
      </c>
      <c r="GS51" s="12">
        <f>VLOOKUP(A51,'Données projet'!$A$269:$I$289,9,0)</f>
        <v>9.3452380952380913</v>
      </c>
      <c r="GT51" s="12">
        <f t="array" ref="GT51">INDEX(GS:GS,MIN(IF(ISNUMBER(GS51:GS247),ROW(GS51:GS247),"")))</f>
        <v>9.3452380952380913</v>
      </c>
      <c r="GU51" s="12">
        <f>IF('Données projet'!$A$270&gt;35,GU50+GT51-HC50,IF(A51&lt;'Données projet'!$A$270,$GR$205^A51,IF(A51='Données projet'!$A$270,'Données projet'!$B$270,GU50+GT51-HC50)))</f>
        <v>184.3525641025642</v>
      </c>
      <c r="GV51" s="17">
        <f>GU51*VLOOKUP('Données projet'!$B$18,Paramètres!$A$1:$I$89,3,0)*VLOOKUP('Données projet'!$B$18,Paramètres!$A$1:$I$89,5,0)</f>
        <v>175.42990000000012</v>
      </c>
      <c r="GW51" s="13">
        <f t="shared" si="51"/>
        <v>44.303906290640654</v>
      </c>
      <c r="GX51" s="20">
        <f t="shared" si="28"/>
        <v>382.70304595619928</v>
      </c>
      <c r="GY51" s="59">
        <f t="shared" si="29"/>
        <v>676.03637928953253</v>
      </c>
      <c r="GZ51" s="59">
        <f ca="1">AVERAGE(OFFSET($GY$3,0,0,'Données projet'!$E$18+1,1))-AVERAGE(OFFSET($H$3,0,0,'Données projet'!$E$18+1,1))</f>
        <v>401.81944956556271</v>
      </c>
      <c r="HA51" s="59">
        <f t="shared" si="52"/>
        <v>292.20785523952651</v>
      </c>
      <c r="HB51" s="15">
        <f>IF(ISNA(VLOOKUP(A51,'Données projet'!$A$269:$I$289,3,0)),0,VLOOKUP(A51,'Données projet'!$A$269:$I$289,3,0))</f>
        <v>3</v>
      </c>
      <c r="HC51" s="15">
        <f>IF(ISNA(VLOOKUP(A51,'Données projet'!$A$269:$I$289,4,0)),0,VLOOKUP(A51,'Données projet'!$A$269:$I$289,4,0))</f>
        <v>48.025641025641022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0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145.20054945054954</v>
      </c>
      <c r="O52" s="13">
        <f>N52*VLOOKUP('Données projet'!$B$9,Paramètres!$A$1:$I$89,3,0)*VLOOKUP('Données projet'!$B$9,Paramètres!$A$1:$I$89,5,0)</f>
        <v>131.37745714285722</v>
      </c>
      <c r="P52" s="13">
        <f t="shared" si="33"/>
        <v>34.314453722516539</v>
      </c>
      <c r="Q52" s="20">
        <f t="shared" si="53"/>
        <v>288.58007809052594</v>
      </c>
      <c r="R52" s="59">
        <f t="shared" si="0"/>
        <v>581.91341142385932</v>
      </c>
      <c r="S52" s="59">
        <f ca="1">AVERAGE(OFFSET($R$3,0,0,'Données projet'!$E$9+1,1))-AVERAGE(OFFSET($H$3,0,0,'Données projet'!$E$9+1,1))</f>
        <v>384.05928630855732</v>
      </c>
      <c r="T52" s="59">
        <f t="shared" si="34"/>
        <v>279.93992813630513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20.507692307692299</v>
      </c>
      <c r="AI52" s="13">
        <f>IF('Données projet'!$A$62&gt;35,AI51+AH52-AQ51,IF(A52&lt;'Données projet'!$A$62,$AF$205^A52,IF(A52='Données projet'!$A$62,'Données projet'!$B$62,AI51+AH52-AQ51)))</f>
        <v>464.26153846153835</v>
      </c>
      <c r="AJ52" s="13">
        <f>AI52*VLOOKUP('Données projet'!$B$10,Paramètres!$A$1:$I$89,3,0)*VLOOKUP('Données projet'!$B$10,Paramètres!$A$1:$I$89,5,0)</f>
        <v>259.52219999999994</v>
      </c>
      <c r="AK52" s="13">
        <f t="shared" si="35"/>
        <v>62.620519404058925</v>
      </c>
      <c r="AL52" s="20">
        <f t="shared" si="4"/>
        <v>561.06523629540254</v>
      </c>
      <c r="AM52" s="59">
        <f t="shared" si="5"/>
        <v>854.39856962873591</v>
      </c>
      <c r="AN52" s="59">
        <f ca="1">AVERAGE(OFFSET($AM$3,0,0,'Données projet'!$E$10+1,1))-AVERAGE(OFFSET($H$3,0,0,'Données projet'!$E$10+1,1))</f>
        <v>335.04906256888819</v>
      </c>
      <c r="AO52" s="59">
        <f t="shared" si="36"/>
        <v>440.84111898279554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76.591940410948766</v>
      </c>
      <c r="AV52" s="21">
        <f>EXP(-LN(2)/25)*AV51+(1-EXP(-LN(2)/25))/(LN(2)/25)*Calculateur!AQ52*Calculateur!AS52*VLOOKUP('Données projet'!$B$10,Paramètres!$A$1:$I$89,3,0)*0.475*44/12</f>
        <v>23.598282567317213</v>
      </c>
      <c r="AW52" s="21">
        <f>EXP(-LN(2)/2)*AW51+(1-EXP(-LN(2)/2))/(LN(2)/2)*AQ52*AT52*VLOOKUP('Données projet'!$B$10,Paramètres!$A$1:$I$89,3,0)*0.475*44/12</f>
        <v>5.4191791072290476</v>
      </c>
      <c r="AX52" s="21">
        <f t="shared" si="6"/>
        <v>105.60940208549502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10.386813186813185</v>
      </c>
      <c r="BD52" s="12">
        <f>IF('Données projet'!$A$88&gt;35,BD51+BC52-BL51,IF(A52&lt;'Données projet'!$A$88,$BA$205^A52,IF(A52='Données projet'!$A$88,'Données projet'!$B$88,BD51+BC52-BL51)))</f>
        <v>302.16703296703298</v>
      </c>
      <c r="BE52" s="13">
        <f>BD52*VLOOKUP('Données projet'!$B$11,Paramètres!$A$1:$I$89,3,0)*VLOOKUP('Données projet'!$B$11,Paramètres!$A$1:$I$89,5,0)</f>
        <v>172.83954285714287</v>
      </c>
      <c r="BF52" s="13">
        <f t="shared" si="37"/>
        <v>43.725372299103078</v>
      </c>
      <c r="BG52" s="20">
        <f t="shared" si="7"/>
        <v>377.18389389712837</v>
      </c>
      <c r="BH52" s="59">
        <f t="shared" si="8"/>
        <v>670.51722723046169</v>
      </c>
      <c r="BI52" s="59">
        <f ca="1">AVERAGE(OFFSET($BH$3,0,0,'Données projet'!$E$11+1,1))-AVERAGE(OFFSET($H$3,0,0,'Données projet'!$E$11+1,1))</f>
        <v>320.76883487964511</v>
      </c>
      <c r="BJ52" s="59">
        <f t="shared" si="38"/>
        <v>290.51177680335746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21.527949916375814</v>
      </c>
      <c r="BQ52" s="21">
        <f>EXP(-LN(2)/25)*BQ51+(1-EXP(-LN(2)/25))/(LN(2)/25)*Calculateur!BL52*Calculateur!BN52*VLOOKUP('Données projet'!$B$11,Paramètres!$A$1:$I$89,3,0)*0.475*44/12</f>
        <v>12.504518082391913</v>
      </c>
      <c r="BR52" s="21">
        <f>EXP(-LN(2)/2)*BR51+(1-EXP(-LN(2)/2))/(LN(2)/2)*BL52*BO52*VLOOKUP('Données projet'!$B$11,Paramètres!$A$1:$I$89,3,0)*0.475*44/12</f>
        <v>0.49668493357501858</v>
      </c>
      <c r="BS52" s="22">
        <f t="shared" si="9"/>
        <v>34.529152932342747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304.99999999999983</v>
      </c>
      <c r="BZ52" s="13">
        <f>BY52*VLOOKUP('Données projet'!$B$12,Paramètres!$A$1:$I$89,3,0)*VLOOKUP('Données projet'!$B$12,Paramètres!$A$1:$I$89,5,0)</f>
        <v>275.96399999999983</v>
      </c>
      <c r="CA52" s="13">
        <f t="shared" si="39"/>
        <v>66.113366665488854</v>
      </c>
      <c r="CB52" s="20">
        <f t="shared" si="10"/>
        <v>595.78474694239264</v>
      </c>
      <c r="CC52" s="59">
        <f t="shared" si="11"/>
        <v>889.11808027572602</v>
      </c>
      <c r="CD52" s="59">
        <f ca="1">AVERAGE(OFFSET($CC$3,0,0,'Données projet'!$E$12+1,1))-AVERAGE(OFFSET($H$3,0,0,'Données projet'!$E$12+1,1))</f>
        <v>366.69125512029831</v>
      </c>
      <c r="CE52" s="59">
        <f t="shared" si="40"/>
        <v>513.80016421153414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1.1094219406815211</v>
      </c>
      <c r="CL52" s="21">
        <f>EXP(-LN(2)/25)*CL51+(1-EXP(-LN(2)/25))/(LN(2)/25)*Calculateur!CG52*Calculateur!CI52*VLOOKUP('Données projet'!$B$12,Paramètres!$A$1:$I$89,3,0)*0.475*44/12</f>
        <v>4.3596369808997935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5.4690589215813148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8.8736263736263741</v>
      </c>
      <c r="CT52" s="12">
        <f>IF('Données projet'!$A$140&gt;35,CT51+CS52-DB51,IF(A52&lt;'Données projet'!$A$140,$CQ$205^A52,IF(A52='Données projet'!$A$140,'Données projet'!$B$140,CT51+CS52-DB51)))</f>
        <v>145.20054945054954</v>
      </c>
      <c r="CU52" s="17">
        <f>CT52*VLOOKUP('Données projet'!$B$13,Paramètres!$A$1:$I$89,3,0)*VLOOKUP('Données projet'!$B$13,Paramètres!$A$1:$I$89,5,0)</f>
        <v>97.400528571428637</v>
      </c>
      <c r="CV52" s="13">
        <f t="shared" si="41"/>
        <v>26.341763219929994</v>
      </c>
      <c r="CW52" s="20">
        <f t="shared" si="13"/>
        <v>215.51782486994964</v>
      </c>
      <c r="CX52" s="59">
        <f t="shared" si="14"/>
        <v>508.85115820328292</v>
      </c>
      <c r="CY52" s="59">
        <f ca="1">AVERAGE(OFFSET($CX$3,0,0,'Données projet'!$E$13+1,1))-AVERAGE(OFFSET($H$3,0,0,'Données projet'!$E$13+1,1))</f>
        <v>294.94331863127815</v>
      </c>
      <c r="CZ52" s="59">
        <f t="shared" si="42"/>
        <v>218.36990036643977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211.7999999999999</v>
      </c>
      <c r="DP52" s="17">
        <f>DO52*VLOOKUP('Données projet'!$B$14,Paramètres!$A$1:$I$89,3,0)*VLOOKUP('Données projet'!$B$14,Paramètres!$A$1:$I$89,5,0)</f>
        <v>155.29175999999993</v>
      </c>
      <c r="DQ52" s="13">
        <f t="shared" si="43"/>
        <v>39.778719769696814</v>
      </c>
      <c r="DR52" s="20">
        <f t="shared" si="16"/>
        <v>339.74775226555511</v>
      </c>
      <c r="DS52" s="59">
        <f t="shared" si="17"/>
        <v>633.08108559888842</v>
      </c>
      <c r="DT52" s="59">
        <f ca="1">AVERAGE(OFFSET($DS$3,0,0,'Données projet'!$E$14+1,1))-AVERAGE(OFFSET($H$3,0,0,'Données projet'!$E$14+1,1))</f>
        <v>278.45534008146865</v>
      </c>
      <c r="DU52" s="59">
        <f t="shared" si="44"/>
        <v>272.97841038165217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8.9631229664458747</v>
      </c>
      <c r="EB52" s="21">
        <f>EXP(-LN(2)/25)*EB51+(1-EXP(-LN(2)/25))/(LN(2)/25)*Calculateur!DW52*Calculateur!DY52*VLOOKUP('Données projet'!$B$14,Paramètres!$A$1:$I$89,3,0)*0.475*44/12</f>
        <v>9.6488764974442525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18.611999463890129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8.8736263736263741</v>
      </c>
      <c r="EJ52" s="12">
        <f>IF('Données projet'!$A$192&gt;35,EJ51+EI52-ER51,IF(A52&lt;'Données projet'!$A$192,$EG$205^A52,IF(A52='Données projet'!$A$192,'Données projet'!$B$192,EJ51+EI52-ER51)))</f>
        <v>145.20054945054954</v>
      </c>
      <c r="EK52" s="17">
        <f>EJ52*VLOOKUP('Données projet'!$B$15,Paramètres!$A$1:$I$89,3,0)*VLOOKUP('Données projet'!$B$15,Paramètres!$A$1:$I$89,5,0)</f>
        <v>156.29387142857152</v>
      </c>
      <c r="EL52" s="13">
        <f t="shared" si="45"/>
        <v>40.005451010101218</v>
      </c>
      <c r="EM52" s="20">
        <f t="shared" si="19"/>
        <v>341.88798658068828</v>
      </c>
      <c r="EN52" s="59">
        <f t="shared" si="20"/>
        <v>635.22131991402159</v>
      </c>
      <c r="EO52" s="59">
        <f ca="1">AVERAGE(OFFSET($EN$3,0,0,'Données projet'!$E$15+1,1))-AVERAGE(OFFSET($H$3,0,0,'Données projet'!$E$15+1,1))</f>
        <v>449.09332781196957</v>
      </c>
      <c r="EP52" s="59">
        <f t="shared" si="46"/>
        <v>324.85904971519432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8.8736263736263741</v>
      </c>
      <c r="FE52" s="12">
        <f>IF('Données projet'!$A$218&gt;35,FE51+FD52-FM51,IF(A52&lt;'Données projet'!$A$218,$FB$205^A52,IF(A52='Données projet'!$A$218,'Données projet'!$B$218,FE51+FD52-FM51)))</f>
        <v>145.20054945054954</v>
      </c>
      <c r="FF52" s="17">
        <f>FE52*VLOOKUP('Données projet'!$B$16,Paramètres!$A$1:$I$89,3,0)*VLOOKUP('Données projet'!$B$16,Paramètres!$A$1:$I$89,5,0)</f>
        <v>147.23335714285724</v>
      </c>
      <c r="FG52" s="13">
        <f t="shared" si="47"/>
        <v>37.949176511309943</v>
      </c>
      <c r="FH52" s="20">
        <f t="shared" si="22"/>
        <v>322.52624611434112</v>
      </c>
      <c r="FI52" s="59">
        <f t="shared" si="23"/>
        <v>615.85957944767438</v>
      </c>
      <c r="FJ52" s="59">
        <f ca="1">AVERAGE(OFFSET($FI$3,0,0,'Données projet'!$E$16+1,1))-AVERAGE(OFFSET($H$3,0,0,'Données projet'!$E$16+1,1))</f>
        <v>419.51168383014721</v>
      </c>
      <c r="FK52" s="59">
        <f t="shared" si="48"/>
        <v>213.44145308833384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7.2</v>
      </c>
      <c r="FZ52" s="12">
        <f>IF('Données projet'!$A$244&gt;35,FZ51+FY52-GH51,IF(A52&lt;'Données projet'!$A$244,$FW$205^A52,IF(A52='Données projet'!$A$244,'Données projet'!$B$244,FZ51+FY52-GH51)))</f>
        <v>211.7999999999999</v>
      </c>
      <c r="GA52" s="17">
        <f>FZ52*VLOOKUP('Données projet'!$B$17,Paramètres!$A$1:$I$89,3,0)*VLOOKUP('Données projet'!$B$17,Paramètres!$A$1:$I$89,5,0)</f>
        <v>185.02847999999992</v>
      </c>
      <c r="GB52" s="13">
        <f t="shared" si="49"/>
        <v>46.439130018745807</v>
      </c>
      <c r="GC52" s="20">
        <f t="shared" si="25"/>
        <v>403.13942078264876</v>
      </c>
      <c r="GD52" s="59">
        <f t="shared" si="26"/>
        <v>696.47275411598207</v>
      </c>
      <c r="GE52" s="59">
        <f ca="1">AVERAGE(OFFSET($GD$3,0,0,'Données projet'!$E$17+1,1))-AVERAGE(OFFSET($H$3,0,0,'Données projet'!$E$17+1,1))</f>
        <v>324.86930206492627</v>
      </c>
      <c r="GF52" s="59">
        <f t="shared" si="50"/>
        <v>317.03005098025352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13.163062327764155</v>
      </c>
      <c r="GM52" s="21">
        <f>EXP(-LN(2)/25)*GM51+(1-EXP(-LN(2)/25))/(LN(2)/25)*Calculateur!GH52*Calculateur!GJ52*VLOOKUP('Données projet'!$B$17,Paramètres!$A$1:$I$89,3,0)*0.475*44/12</f>
        <v>14.170146187241246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27.333208515005403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8.8736263736263741</v>
      </c>
      <c r="GU52" s="12">
        <f>IF('Données projet'!$A$270&gt;35,GU51+GT52-HC51,IF(A52&lt;'Données projet'!$A$270,$GR$205^A52,IF(A52='Données projet'!$A$270,'Données projet'!$B$270,GU51+GT52-HC51)))</f>
        <v>145.20054945054954</v>
      </c>
      <c r="GV52" s="17">
        <f>GU52*VLOOKUP('Données projet'!$B$18,Paramètres!$A$1:$I$89,3,0)*VLOOKUP('Données projet'!$B$18,Paramètres!$A$1:$I$89,5,0)</f>
        <v>138.17284285714297</v>
      </c>
      <c r="GW52" s="13">
        <f t="shared" si="51"/>
        <v>35.878109956420083</v>
      </c>
      <c r="GX52" s="20">
        <f t="shared" si="28"/>
        <v>303.13874281695564</v>
      </c>
      <c r="GY52" s="59">
        <f t="shared" si="29"/>
        <v>596.47207615028901</v>
      </c>
      <c r="GZ52" s="59">
        <f ca="1">AVERAGE(OFFSET($GY$3,0,0,'Données projet'!$E$18+1,1))-AVERAGE(OFFSET($H$3,0,0,'Données projet'!$E$18+1,1))</f>
        <v>401.81944956556271</v>
      </c>
      <c r="HA52" s="59">
        <f t="shared" si="52"/>
        <v>292.20785523952651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0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154.07417582417591</v>
      </c>
      <c r="O53" s="13">
        <f>N53*VLOOKUP('Données projet'!$B$9,Paramètres!$A$1:$I$89,3,0)*VLOOKUP('Données projet'!$B$9,Paramètres!$A$1:$I$89,5,0)</f>
        <v>139.40631428571436</v>
      </c>
      <c r="P53" s="13">
        <f t="shared" si="33"/>
        <v>36.160966815041384</v>
      </c>
      <c r="Q53" s="20">
        <f t="shared" si="53"/>
        <v>305.77968125048289</v>
      </c>
      <c r="R53" s="59">
        <f t="shared" si="0"/>
        <v>599.11301458381627</v>
      </c>
      <c r="S53" s="59">
        <f ca="1">AVERAGE(OFFSET($R$3,0,0,'Données projet'!$E$9+1,1))-AVERAGE(OFFSET($H$3,0,0,'Données projet'!$E$9+1,1))</f>
        <v>384.05928630855732</v>
      </c>
      <c r="T53" s="59">
        <f t="shared" si="34"/>
        <v>279.93992813630513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20.507692307692299</v>
      </c>
      <c r="AI53" s="13">
        <f>IF('Données projet'!$A$62&gt;35,AI52+AH53-AQ52,IF(A53&lt;'Données projet'!$A$62,$AF$205^A53,IF(A53='Données projet'!$A$62,'Données projet'!$B$62,AI52+AH53-AQ52)))</f>
        <v>484.76923076923066</v>
      </c>
      <c r="AJ53" s="13">
        <f>AI53*VLOOKUP('Données projet'!$B$10,Paramètres!$A$1:$I$89,3,0)*VLOOKUP('Données projet'!$B$10,Paramètres!$A$1:$I$89,5,0)</f>
        <v>270.98599999999993</v>
      </c>
      <c r="AK53" s="13">
        <f t="shared" si="35"/>
        <v>65.058478958733772</v>
      </c>
      <c r="AL53" s="20">
        <f t="shared" si="4"/>
        <v>585.27746751979453</v>
      </c>
      <c r="AM53" s="59">
        <f t="shared" si="5"/>
        <v>878.61080085312778</v>
      </c>
      <c r="AN53" s="59">
        <f ca="1">AVERAGE(OFFSET($AM$3,0,0,'Données projet'!$E$10+1,1))-AVERAGE(OFFSET($H$3,0,0,'Données projet'!$E$10+1,1))</f>
        <v>335.04906256888819</v>
      </c>
      <c r="AO53" s="59">
        <f t="shared" si="36"/>
        <v>440.84111898279554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75.090019175960848</v>
      </c>
      <c r="AV53" s="21">
        <f>EXP(-LN(2)/25)*AV52+(1-EXP(-LN(2)/25))/(LN(2)/25)*Calculateur!AQ53*Calculateur!AS53*VLOOKUP('Données projet'!$B$10,Paramètres!$A$1:$I$89,3,0)*0.475*44/12</f>
        <v>22.952986289534177</v>
      </c>
      <c r="AW53" s="21">
        <f>EXP(-LN(2)/2)*AW52+(1-EXP(-LN(2)/2))/(LN(2)/2)*AQ53*AT53*VLOOKUP('Données projet'!$B$10,Paramètres!$A$1:$I$89,3,0)*0.475*44/12</f>
        <v>3.8319382951861205</v>
      </c>
      <c r="AX53" s="21">
        <f t="shared" si="6"/>
        <v>101.87494376068115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312.55384615384617</v>
      </c>
      <c r="BB53" s="12">
        <f>VLOOKUP(A53,'Données projet'!$A$87:$I$107,9,0)</f>
        <v>10.386813186813185</v>
      </c>
      <c r="BC53" s="12">
        <f t="array" ref="BC53">INDEX(BB:BB,MIN(IF(ISNUMBER(BB53:BB249),ROW(BB53:BB249),"")))</f>
        <v>10.386813186813185</v>
      </c>
      <c r="BD53" s="12">
        <f>IF('Données projet'!$A$88&gt;35,BD52+BC53-BL52,IF(A53&lt;'Données projet'!$A$88,$BA$205^A53,IF(A53='Données projet'!$A$88,'Données projet'!$B$88,BD52+BC53-BL52)))</f>
        <v>312.55384615384617</v>
      </c>
      <c r="BE53" s="13">
        <f>BD53*VLOOKUP('Données projet'!$B$11,Paramètres!$A$1:$I$89,3,0)*VLOOKUP('Données projet'!$B$11,Paramètres!$A$1:$I$89,5,0)</f>
        <v>178.7808</v>
      </c>
      <c r="BF53" s="13">
        <f t="shared" si="37"/>
        <v>45.050829429760697</v>
      </c>
      <c r="BG53" s="20">
        <f t="shared" si="7"/>
        <v>389.84008792349988</v>
      </c>
      <c r="BH53" s="59">
        <f t="shared" si="8"/>
        <v>683.17342125683319</v>
      </c>
      <c r="BI53" s="59">
        <f ca="1">AVERAGE(OFFSET($BH$3,0,0,'Données projet'!$E$11+1,1))-AVERAGE(OFFSET($H$3,0,0,'Données projet'!$E$11+1,1))</f>
        <v>320.76883487964511</v>
      </c>
      <c r="BJ53" s="59">
        <f t="shared" si="38"/>
        <v>290.51177680335746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43.4</v>
      </c>
      <c r="BM53" s="16">
        <f>IF(ISNA(VLOOKUP(A53,'Données projet'!$A$87:$I$107,5,0)),0%,VLOOKUP(A53,'Données projet'!$A$87:$I$107,5,0)*VLOOKUP('Données projet'!$B$11,Paramètres!$A$1:$I$89,7,0))</f>
        <v>0.315</v>
      </c>
      <c r="BN53" s="16">
        <f>IF(ISNA(VLOOKUP(A53,'Données projet'!$A$87:$I$107,6,0)),0%,VLOOKUP(A53,'Données projet'!$A$87:$I$107,6,0)*VLOOKUP('Données projet'!$B$11,Paramètres!$A$1:$I$89,7,0))</f>
        <v>7.6500000000000012E-2</v>
      </c>
      <c r="BO53" s="16">
        <f>IF(ISNA(VLOOKUP(A53,'Données projet'!$A$87:$I$107,7,0)),0%,VLOOKUP(A53,'Données projet'!$A$87:$I$107,7,0))</f>
        <v>0.13</v>
      </c>
      <c r="BP53" s="21">
        <f>EXP(-LN(2)/35)*BP52+(1-EXP(-LN(2)/35))/(LN(2)/35)*BL53*BM53*VLOOKUP('Données projet'!$B$11,Paramètres!$A$1:$I$89,3,0)*0.475*44/12</f>
        <v>31.47928459668816</v>
      </c>
      <c r="BQ53" s="21">
        <f>EXP(-LN(2)/25)*BQ52+(1-EXP(-LN(2)/25))/(LN(2)/25)*Calculateur!BL53*Calculateur!BN53*VLOOKUP('Données projet'!$B$11,Paramètres!$A$1:$I$89,3,0)*0.475*44/12</f>
        <v>14.671936875813991</v>
      </c>
      <c r="BR53" s="21">
        <f>EXP(-LN(2)/2)*BR52+(1-EXP(-LN(2)/2))/(LN(2)/2)*BL53*BO53*VLOOKUP('Données projet'!$B$11,Paramètres!$A$1:$I$89,3,0)*0.475*44/12</f>
        <v>4.0051765287966372</v>
      </c>
      <c r="BS53" s="22">
        <f t="shared" si="9"/>
        <v>50.15639800129879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304.99999999999983</v>
      </c>
      <c r="BZ53" s="13">
        <f>BY53*VLOOKUP('Données projet'!$B$12,Paramètres!$A$1:$I$89,3,0)*VLOOKUP('Données projet'!$B$12,Paramètres!$A$1:$I$89,5,0)</f>
        <v>275.96399999999983</v>
      </c>
      <c r="CA53" s="13">
        <f t="shared" si="39"/>
        <v>66.113366665488854</v>
      </c>
      <c r="CB53" s="20">
        <f t="shared" si="10"/>
        <v>595.78474694239264</v>
      </c>
      <c r="CC53" s="59">
        <f t="shared" si="11"/>
        <v>889.11808027572602</v>
      </c>
      <c r="CD53" s="59">
        <f ca="1">AVERAGE(OFFSET($CC$3,0,0,'Données projet'!$E$12+1,1))-AVERAGE(OFFSET($H$3,0,0,'Données projet'!$E$12+1,1))</f>
        <v>366.69125512029831</v>
      </c>
      <c r="CE53" s="59">
        <f t="shared" si="40"/>
        <v>513.80016421153414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1.0876668531053237</v>
      </c>
      <c r="CL53" s="21">
        <f>EXP(-LN(2)/25)*CL52+(1-EXP(-LN(2)/25))/(LN(2)/25)*Calculateur!CG53*Calculateur!CI53*VLOOKUP('Données projet'!$B$12,Paramètres!$A$1:$I$89,3,0)*0.475*44/12</f>
        <v>4.2404224783937439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5.3280893314990676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8.8736263736263741</v>
      </c>
      <c r="CT53" s="12">
        <f>IF('Données projet'!$A$140&gt;35,CT52+CS53-DB52,IF(A53&lt;'Données projet'!$A$140,$CQ$205^A53,IF(A53='Données projet'!$A$140,'Données projet'!$B$140,CT52+CS53-DB52)))</f>
        <v>154.07417582417591</v>
      </c>
      <c r="CU53" s="17">
        <f>CT53*VLOOKUP('Données projet'!$B$13,Paramètres!$A$1:$I$89,3,0)*VLOOKUP('Données projet'!$B$13,Paramètres!$A$1:$I$89,5,0)</f>
        <v>103.35295714285721</v>
      </c>
      <c r="CV53" s="13">
        <f t="shared" si="41"/>
        <v>27.759253676258403</v>
      </c>
      <c r="CW53" s="20">
        <f t="shared" si="13"/>
        <v>228.35376717662632</v>
      </c>
      <c r="CX53" s="59">
        <f t="shared" si="14"/>
        <v>521.68710050995969</v>
      </c>
      <c r="CY53" s="59">
        <f ca="1">AVERAGE(OFFSET($CX$3,0,0,'Données projet'!$E$13+1,1))-AVERAGE(OFFSET($H$3,0,0,'Données projet'!$E$13+1,1))</f>
        <v>294.94331863127815</v>
      </c>
      <c r="CZ53" s="59">
        <f t="shared" si="42"/>
        <v>218.36990036643977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218.99999999999989</v>
      </c>
      <c r="DP53" s="17">
        <f>DO53*VLOOKUP('Données projet'!$B$14,Paramètres!$A$1:$I$89,3,0)*VLOOKUP('Données projet'!$B$14,Paramètres!$A$1:$I$89,5,0)</f>
        <v>160.57079999999991</v>
      </c>
      <c r="DQ53" s="13">
        <f t="shared" si="43"/>
        <v>40.97123424416818</v>
      </c>
      <c r="DR53" s="20">
        <f t="shared" si="16"/>
        <v>351.01904297525942</v>
      </c>
      <c r="DS53" s="59">
        <f t="shared" si="17"/>
        <v>644.35237630859274</v>
      </c>
      <c r="DT53" s="59">
        <f ca="1">AVERAGE(OFFSET($DS$3,0,0,'Données projet'!$E$14+1,1))-AVERAGE(OFFSET($H$3,0,0,'Données projet'!$E$14+1,1))</f>
        <v>278.45534008146865</v>
      </c>
      <c r="DU53" s="59">
        <f t="shared" si="44"/>
        <v>272.97841038165217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0.30529999999999996</v>
      </c>
      <c r="DY53" s="16">
        <f>IF(ISNA(VLOOKUP(A53,'Données projet'!$A$165:$I$185,6,0)),0%,VLOOKUP(A53,'Données projet'!$A$165:$I$185,6,0)*VLOOKUP('Données projet'!$B$14,Paramètres!$A$1:$I$89,7,0))</f>
        <v>7.7399999999999997E-2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12.994097924127059</v>
      </c>
      <c r="EB53" s="21">
        <f>EXP(-LN(2)/25)*EB52+(1-EXP(-LN(2)/25))/(LN(2)/25)*Calculateur!DW53*Calculateur!DY53*VLOOKUP('Données projet'!$B$14,Paramètres!$A$1:$I$89,3,0)*0.475*44/12</f>
        <v>10.447324793879904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23.441422718006962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8.8736263736263741</v>
      </c>
      <c r="EJ53" s="12">
        <f>IF('Données projet'!$A$192&gt;35,EJ52+EI53-ER52,IF(A53&lt;'Données projet'!$A$192,$EG$205^A53,IF(A53='Données projet'!$A$192,'Données projet'!$B$192,EJ52+EI53-ER52)))</f>
        <v>154.07417582417591</v>
      </c>
      <c r="EK53" s="17">
        <f>EJ53*VLOOKUP('Données projet'!$B$15,Paramètres!$A$1:$I$89,3,0)*VLOOKUP('Données projet'!$B$15,Paramètres!$A$1:$I$89,5,0)</f>
        <v>165.84544285714293</v>
      </c>
      <c r="EL53" s="13">
        <f t="shared" si="45"/>
        <v>42.158205346797551</v>
      </c>
      <c r="EM53" s="20">
        <f t="shared" si="19"/>
        <v>362.273020621863</v>
      </c>
      <c r="EN53" s="59">
        <f t="shared" si="20"/>
        <v>655.60635395519625</v>
      </c>
      <c r="EO53" s="59">
        <f ca="1">AVERAGE(OFFSET($EN$3,0,0,'Données projet'!$E$15+1,1))-AVERAGE(OFFSET($H$3,0,0,'Données projet'!$E$15+1,1))</f>
        <v>449.09332781196957</v>
      </c>
      <c r="EP53" s="59">
        <f t="shared" si="46"/>
        <v>324.85904971519432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8.8736263736263741</v>
      </c>
      <c r="FE53" s="12">
        <f>IF('Données projet'!$A$218&gt;35,FE52+FD53-FM52,IF(A53&lt;'Données projet'!$A$218,$FB$205^A53,IF(A53='Données projet'!$A$218,'Données projet'!$B$218,FE52+FD53-FM52)))</f>
        <v>154.07417582417591</v>
      </c>
      <c r="FF53" s="17">
        <f>FE53*VLOOKUP('Données projet'!$B$16,Paramètres!$A$1:$I$89,3,0)*VLOOKUP('Données projet'!$B$16,Paramètres!$A$1:$I$89,5,0)</f>
        <v>156.23121428571437</v>
      </c>
      <c r="FG53" s="13">
        <f t="shared" si="47"/>
        <v>39.991279580917869</v>
      </c>
      <c r="FH53" s="20">
        <f t="shared" si="22"/>
        <v>341.75417681771779</v>
      </c>
      <c r="FI53" s="59">
        <f t="shared" si="23"/>
        <v>635.08751015105111</v>
      </c>
      <c r="FJ53" s="59">
        <f ca="1">AVERAGE(OFFSET($FI$3,0,0,'Données projet'!$E$16+1,1))-AVERAGE(OFFSET($H$3,0,0,'Données projet'!$E$16+1,1))</f>
        <v>419.51168383014721</v>
      </c>
      <c r="FK53" s="59">
        <f t="shared" si="48"/>
        <v>213.44145308833384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219</v>
      </c>
      <c r="FX53" s="12">
        <f>VLOOKUP(A53,'Données projet'!$A$243:$I$263,9,0)</f>
        <v>7.2</v>
      </c>
      <c r="FY53" s="12">
        <f t="array" ref="FY53">INDEX(FX:FX,MIN(IF(ISNUMBER(FX53:FX249),ROW(FX53:FX249),"")))</f>
        <v>7.2</v>
      </c>
      <c r="FZ53" s="12">
        <f>IF('Données projet'!$A$244&gt;35,FZ52+FY53-GH52,IF(A53&lt;'Données projet'!$A$244,$FW$205^A53,IF(A53='Données projet'!$A$244,'Données projet'!$B$244,FZ52+FY53-GH52)))</f>
        <v>218.99999999999989</v>
      </c>
      <c r="GA53" s="17">
        <f>FZ53*VLOOKUP('Données projet'!$B$17,Paramètres!$A$1:$I$89,3,0)*VLOOKUP('Données projet'!$B$17,Paramètres!$A$1:$I$89,5,0)</f>
        <v>191.31839999999991</v>
      </c>
      <c r="GB53" s="13">
        <f t="shared" si="49"/>
        <v>47.831314962098354</v>
      </c>
      <c r="GC53" s="20">
        <f t="shared" si="25"/>
        <v>416.51908689232118</v>
      </c>
      <c r="GD53" s="59">
        <f t="shared" si="26"/>
        <v>709.85242022565444</v>
      </c>
      <c r="GE53" s="59">
        <f ca="1">AVERAGE(OFFSET($GD$3,0,0,'Données projet'!$E$17+1,1))-AVERAGE(OFFSET($H$3,0,0,'Données projet'!$E$17+1,1))</f>
        <v>324.86930206492627</v>
      </c>
      <c r="GF53" s="59">
        <f t="shared" si="50"/>
        <v>317.03005098025352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17</v>
      </c>
      <c r="GI53" s="16">
        <f>IF(ISNA(VLOOKUP(A53,'Données projet'!$A$243:$I$263,5,0)),0%,VLOOKUP(A53,'Données projet'!$A$243:$I$263,5,0)*VLOOKUP('Données projet'!$B$17,Paramètres!$A$1:$I$89,7,0))</f>
        <v>0.37630000000000002</v>
      </c>
      <c r="GJ53" s="16">
        <f>IF(ISNA(VLOOKUP(A53,'Données projet'!$A$243:$I$263,6,0)),0%,VLOOKUP(A53,'Données projet'!$A$243:$I$263,6,0)*VLOOKUP('Données projet'!$B$17,Paramètres!$A$1:$I$89,7,0))</f>
        <v>9.5399999999999999E-2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19.082871172097537</v>
      </c>
      <c r="GM53" s="21">
        <f>EXP(-LN(2)/25)*GM52+(1-EXP(-LN(2)/25))/(LN(2)/25)*Calculateur!GH53*Calculateur!GJ53*VLOOKUP('Données projet'!$B$17,Paramètres!$A$1:$I$89,3,0)*0.475*44/12</f>
        <v>15.342731315307063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34.425602487404603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8.8736263736263741</v>
      </c>
      <c r="GU53" s="12">
        <f>IF('Données projet'!$A$270&gt;35,GU52+GT53-HC52,IF(A53&lt;'Données projet'!$A$270,$GR$205^A53,IF(A53='Données projet'!$A$270,'Données projet'!$B$270,GU52+GT53-HC52)))</f>
        <v>154.07417582417591</v>
      </c>
      <c r="GV53" s="17">
        <f>GU53*VLOOKUP('Données projet'!$B$18,Paramètres!$A$1:$I$89,3,0)*VLOOKUP('Données projet'!$B$18,Paramètres!$A$1:$I$89,5,0)</f>
        <v>146.61698571428579</v>
      </c>
      <c r="GW53" s="13">
        <f t="shared" si="51"/>
        <v>37.808765775839525</v>
      </c>
      <c r="GX53" s="20">
        <f t="shared" si="28"/>
        <v>321.20818384530156</v>
      </c>
      <c r="GY53" s="59">
        <f t="shared" si="29"/>
        <v>614.54151717863488</v>
      </c>
      <c r="GZ53" s="59">
        <f ca="1">AVERAGE(OFFSET($GY$3,0,0,'Données projet'!$E$18+1,1))-AVERAGE(OFFSET($H$3,0,0,'Données projet'!$E$18+1,1))</f>
        <v>401.81944956556271</v>
      </c>
      <c r="HA53" s="59">
        <f t="shared" si="52"/>
        <v>292.20785523952651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0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162.94780219780228</v>
      </c>
      <c r="O54" s="13">
        <f>N54*VLOOKUP('Données projet'!$B$9,Paramètres!$A$1:$I$89,3,0)*VLOOKUP('Données projet'!$B$9,Paramètres!$A$1:$I$89,5,0)</f>
        <v>147.43517142857149</v>
      </c>
      <c r="P54" s="13">
        <f t="shared" si="33"/>
        <v>37.995135358244994</v>
      </c>
      <c r="Q54" s="20">
        <f t="shared" si="53"/>
        <v>322.95778432037201</v>
      </c>
      <c r="R54" s="59">
        <f t="shared" si="0"/>
        <v>616.29111765370533</v>
      </c>
      <c r="S54" s="59">
        <f ca="1">AVERAGE(OFFSET($R$3,0,0,'Données projet'!$E$9+1,1))-AVERAGE(OFFSET($H$3,0,0,'Données projet'!$E$9+1,1))</f>
        <v>384.05928630855732</v>
      </c>
      <c r="T54" s="59">
        <f t="shared" si="34"/>
        <v>279.93992813630513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20.507692307692299</v>
      </c>
      <c r="AI54" s="13">
        <f>IF('Données projet'!$A$62&gt;35,AI53+AH54-AQ53,IF(A54&lt;'Données projet'!$A$62,$AF$205^A54,IF(A54='Données projet'!$A$62,'Données projet'!$B$62,AI53+AH54-AQ53)))</f>
        <v>505.27692307692297</v>
      </c>
      <c r="AJ54" s="13">
        <f>AI54*VLOOKUP('Données projet'!$B$10,Paramètres!$A$1:$I$89,3,0)*VLOOKUP('Données projet'!$B$10,Paramètres!$A$1:$I$89,5,0)</f>
        <v>282.44979999999998</v>
      </c>
      <c r="AK54" s="13">
        <f t="shared" si="35"/>
        <v>67.484459274997945</v>
      </c>
      <c r="AL54" s="20">
        <f t="shared" si="4"/>
        <v>609.46883490395464</v>
      </c>
      <c r="AM54" s="59">
        <f t="shared" si="5"/>
        <v>902.80216823728802</v>
      </c>
      <c r="AN54" s="59">
        <f ca="1">AVERAGE(OFFSET($AM$3,0,0,'Données projet'!$E$10+1,1))-AVERAGE(OFFSET($H$3,0,0,'Données projet'!$E$10+1,1))</f>
        <v>335.04906256888819</v>
      </c>
      <c r="AO54" s="59">
        <f t="shared" si="36"/>
        <v>440.84111898279554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73.617549700309539</v>
      </c>
      <c r="AV54" s="21">
        <f>EXP(-LN(2)/25)*AV53+(1-EXP(-LN(2)/25))/(LN(2)/25)*Calculateur!AQ54*Calculateur!AS54*VLOOKUP('Données projet'!$B$10,Paramètres!$A$1:$I$89,3,0)*0.475*44/12</f>
        <v>22.325335672401774</v>
      </c>
      <c r="AW54" s="21">
        <f>EXP(-LN(2)/2)*AW53+(1-EXP(-LN(2)/2))/(LN(2)/2)*AQ54*AT54*VLOOKUP('Données projet'!$B$10,Paramètres!$A$1:$I$89,3,0)*0.475*44/12</f>
        <v>2.7095895536145242</v>
      </c>
      <c r="AX54" s="21">
        <f t="shared" si="6"/>
        <v>98.652474926325837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9.2076923076923052</v>
      </c>
      <c r="BD54" s="12">
        <f>IF('Données projet'!$A$88&gt;35,BD53+BC54-BL53,IF(A54&lt;'Données projet'!$A$88,$BA$205^A54,IF(A54='Données projet'!$A$88,'Données projet'!$B$88,BD53+BC54-BL53)))</f>
        <v>278.36153846153849</v>
      </c>
      <c r="BE54" s="13">
        <f>BD54*VLOOKUP('Données projet'!$B$11,Paramètres!$A$1:$I$89,3,0)*VLOOKUP('Données projet'!$B$11,Paramètres!$A$1:$I$89,5,0)</f>
        <v>159.22280000000001</v>
      </c>
      <c r="BF54" s="13">
        <f t="shared" si="37"/>
        <v>40.667166129112324</v>
      </c>
      <c r="BG54" s="20">
        <f t="shared" si="7"/>
        <v>348.14169100820396</v>
      </c>
      <c r="BH54" s="59">
        <f t="shared" si="8"/>
        <v>641.47502434153728</v>
      </c>
      <c r="BI54" s="59">
        <f ca="1">AVERAGE(OFFSET($BH$3,0,0,'Données projet'!$E$11+1,1))-AVERAGE(OFFSET($H$3,0,0,'Données projet'!$E$11+1,1))</f>
        <v>320.76883487964511</v>
      </c>
      <c r="BJ54" s="59">
        <f t="shared" si="38"/>
        <v>290.51177680335746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30.861995026214821</v>
      </c>
      <c r="BQ54" s="21">
        <f>EXP(-LN(2)/25)*BQ53+(1-EXP(-LN(2)/25))/(LN(2)/25)*Calculateur!BL54*Calculateur!BN54*VLOOKUP('Données projet'!$B$11,Paramètres!$A$1:$I$89,3,0)*0.475*44/12</f>
        <v>14.270731990381231</v>
      </c>
      <c r="BR54" s="21">
        <f>EXP(-LN(2)/2)*BR53+(1-EXP(-LN(2)/2))/(LN(2)/2)*BL54*BO54*VLOOKUP('Données projet'!$B$11,Paramètres!$A$1:$I$89,3,0)*0.475*44/12</f>
        <v>2.8320874833612999</v>
      </c>
      <c r="BS54" s="22">
        <f t="shared" si="9"/>
        <v>47.964814499957349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304.99999999999983</v>
      </c>
      <c r="BZ54" s="13">
        <f>BY54*VLOOKUP('Données projet'!$B$12,Paramètres!$A$1:$I$89,3,0)*VLOOKUP('Données projet'!$B$12,Paramètres!$A$1:$I$89,5,0)</f>
        <v>275.96399999999983</v>
      </c>
      <c r="CA54" s="13">
        <f t="shared" si="39"/>
        <v>66.113366665488854</v>
      </c>
      <c r="CB54" s="20">
        <f t="shared" si="10"/>
        <v>595.78474694239264</v>
      </c>
      <c r="CC54" s="59">
        <f t="shared" si="11"/>
        <v>889.11808027572602</v>
      </c>
      <c r="CD54" s="59">
        <f ca="1">AVERAGE(OFFSET($CC$3,0,0,'Données projet'!$E$12+1,1))-AVERAGE(OFFSET($H$3,0,0,'Données projet'!$E$12+1,1))</f>
        <v>366.69125512029831</v>
      </c>
      <c r="CE54" s="59">
        <f t="shared" si="40"/>
        <v>513.80016421153414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1.0663383695272024</v>
      </c>
      <c r="CL54" s="21">
        <f>EXP(-LN(2)/25)*CL53+(1-EXP(-LN(2)/25))/(LN(2)/25)*Calculateur!CG54*Calculateur!CI54*VLOOKUP('Données projet'!$B$12,Paramètres!$A$1:$I$89,3,0)*0.475*44/12</f>
        <v>4.1244679027279405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5.1908062722551431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8.8736263736263741</v>
      </c>
      <c r="CT54" s="12">
        <f>IF('Données projet'!$A$140&gt;35,CT53+CS54-DB53,IF(A54&lt;'Données projet'!$A$140,$CQ$205^A54,IF(A54='Données projet'!$A$140,'Données projet'!$B$140,CT53+CS54-DB53)))</f>
        <v>162.94780219780228</v>
      </c>
      <c r="CU54" s="17">
        <f>CT54*VLOOKUP('Données projet'!$B$13,Paramètres!$A$1:$I$89,3,0)*VLOOKUP('Données projet'!$B$13,Paramètres!$A$1:$I$89,5,0)</f>
        <v>109.30538571428578</v>
      </c>
      <c r="CV54" s="13">
        <f t="shared" si="41"/>
        <v>29.167267741154031</v>
      </c>
      <c r="CW54" s="20">
        <f t="shared" si="13"/>
        <v>241.17320476822431</v>
      </c>
      <c r="CX54" s="59">
        <f t="shared" si="14"/>
        <v>534.50653810155768</v>
      </c>
      <c r="CY54" s="59">
        <f ca="1">AVERAGE(OFFSET($CX$3,0,0,'Données projet'!$E$13+1,1))-AVERAGE(OFFSET($H$3,0,0,'Données projet'!$E$13+1,1))</f>
        <v>294.94331863127815</v>
      </c>
      <c r="CZ54" s="59">
        <f t="shared" si="42"/>
        <v>218.36990036643977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207.99999999999989</v>
      </c>
      <c r="DP54" s="17">
        <f>DO54*VLOOKUP('Données projet'!$B$14,Paramètres!$A$1:$I$89,3,0)*VLOOKUP('Données projet'!$B$14,Paramètres!$A$1:$I$89,5,0)</f>
        <v>152.5055999999999</v>
      </c>
      <c r="DQ54" s="13">
        <f t="shared" si="43"/>
        <v>39.147442061162181</v>
      </c>
      <c r="DR54" s="20">
        <f t="shared" si="16"/>
        <v>333.79571492319059</v>
      </c>
      <c r="DS54" s="59">
        <f t="shared" si="17"/>
        <v>627.1290482565239</v>
      </c>
      <c r="DT54" s="59">
        <f ca="1">AVERAGE(OFFSET($DS$3,0,0,'Données projet'!$E$14+1,1))-AVERAGE(OFFSET($H$3,0,0,'Données projet'!$E$14+1,1))</f>
        <v>278.45534008146865</v>
      </c>
      <c r="DU54" s="59">
        <f t="shared" si="44"/>
        <v>272.97841038165217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12.739291589452071</v>
      </c>
      <c r="EB54" s="21">
        <f>EXP(-LN(2)/25)*EB53+(1-EXP(-LN(2)/25))/(LN(2)/25)*Calculateur!DW54*Calculateur!DY54*VLOOKUP('Données projet'!$B$14,Paramètres!$A$1:$I$89,3,0)*0.475*44/12</f>
        <v>10.161642147990325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22.900933737442394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8.8736263736263741</v>
      </c>
      <c r="EJ54" s="12">
        <f>IF('Données projet'!$A$192&gt;35,EJ53+EI54-ER53,IF(A54&lt;'Données projet'!$A$192,$EG$205^A54,IF(A54='Données projet'!$A$192,'Données projet'!$B$192,EJ53+EI54-ER53)))</f>
        <v>162.94780219780228</v>
      </c>
      <c r="EK54" s="17">
        <f>EJ54*VLOOKUP('Données projet'!$B$15,Paramètres!$A$1:$I$89,3,0)*VLOOKUP('Données projet'!$B$15,Paramètres!$A$1:$I$89,5,0)</f>
        <v>175.39701428571436</v>
      </c>
      <c r="EL54" s="13">
        <f t="shared" si="45"/>
        <v>44.296567810404312</v>
      </c>
      <c r="EM54" s="20">
        <f t="shared" si="19"/>
        <v>382.63298881740667</v>
      </c>
      <c r="EN54" s="59">
        <f t="shared" si="20"/>
        <v>675.96632215073998</v>
      </c>
      <c r="EO54" s="59">
        <f ca="1">AVERAGE(OFFSET($EN$3,0,0,'Données projet'!$E$15+1,1))-AVERAGE(OFFSET($H$3,0,0,'Données projet'!$E$15+1,1))</f>
        <v>449.09332781196957</v>
      </c>
      <c r="EP54" s="59">
        <f t="shared" si="46"/>
        <v>324.85904971519432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8.8736263736263741</v>
      </c>
      <c r="FE54" s="12">
        <f>IF('Données projet'!$A$218&gt;35,FE53+FD54-FM53,IF(A54&lt;'Données projet'!$A$218,$FB$205^A54,IF(A54='Données projet'!$A$218,'Données projet'!$B$218,FE53+FD54-FM53)))</f>
        <v>162.94780219780228</v>
      </c>
      <c r="FF54" s="17">
        <f>FE54*VLOOKUP('Données projet'!$B$16,Paramètres!$A$1:$I$89,3,0)*VLOOKUP('Données projet'!$B$16,Paramètres!$A$1:$I$89,5,0)</f>
        <v>165.22907142857153</v>
      </c>
      <c r="FG54" s="13">
        <f t="shared" si="47"/>
        <v>42.019730517668535</v>
      </c>
      <c r="FH54" s="20">
        <f t="shared" si="22"/>
        <v>360.95833005636814</v>
      </c>
      <c r="FI54" s="59">
        <f t="shared" si="23"/>
        <v>654.2916633897014</v>
      </c>
      <c r="FJ54" s="59">
        <f ca="1">AVERAGE(OFFSET($FI$3,0,0,'Données projet'!$E$16+1,1))-AVERAGE(OFFSET($H$3,0,0,'Données projet'!$E$16+1,1))</f>
        <v>419.51168383014721</v>
      </c>
      <c r="FK54" s="59">
        <f t="shared" si="48"/>
        <v>213.44145308833384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6</v>
      </c>
      <c r="FZ54" s="12">
        <f>IF('Données projet'!$A$244&gt;35,FZ53+FY54-GH53,IF(A54&lt;'Données projet'!$A$244,$FW$205^A54,IF(A54='Données projet'!$A$244,'Données projet'!$B$244,FZ53+FY54-GH53)))</f>
        <v>207.99999999999989</v>
      </c>
      <c r="GA54" s="17">
        <f>FZ54*VLOOKUP('Données projet'!$B$17,Paramètres!$A$1:$I$89,3,0)*VLOOKUP('Données projet'!$B$17,Paramètres!$A$1:$I$89,5,0)</f>
        <v>181.70879999999991</v>
      </c>
      <c r="GB54" s="13">
        <f t="shared" si="49"/>
        <v>45.702153370067769</v>
      </c>
      <c r="GC54" s="20">
        <f t="shared" si="25"/>
        <v>396.07407711953448</v>
      </c>
      <c r="GD54" s="59">
        <f t="shared" si="26"/>
        <v>689.40741045286779</v>
      </c>
      <c r="GE54" s="59">
        <f ca="1">AVERAGE(OFFSET($GD$3,0,0,'Données projet'!$E$17+1,1))-AVERAGE(OFFSET($H$3,0,0,'Données projet'!$E$17+1,1))</f>
        <v>324.86930206492627</v>
      </c>
      <c r="GF54" s="59">
        <f t="shared" si="50"/>
        <v>317.03005098025352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18.708667707814826</v>
      </c>
      <c r="GM54" s="21">
        <f>EXP(-LN(2)/25)*GM53+(1-EXP(-LN(2)/25))/(LN(2)/25)*Calculateur!GH54*Calculateur!GJ54*VLOOKUP('Données projet'!$B$17,Paramètres!$A$1:$I$89,3,0)*0.475*44/12</f>
        <v>14.923183520650818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33.631851228465642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8.8736263736263741</v>
      </c>
      <c r="GU54" s="12">
        <f>IF('Données projet'!$A$270&gt;35,GU53+GT54-HC53,IF(A54&lt;'Données projet'!$A$270,$GR$205^A54,IF(A54='Données projet'!$A$270,'Données projet'!$B$270,GU53+GT54-HC53)))</f>
        <v>162.94780219780228</v>
      </c>
      <c r="GV54" s="17">
        <f>GU54*VLOOKUP('Données projet'!$B$18,Paramètres!$A$1:$I$89,3,0)*VLOOKUP('Données projet'!$B$18,Paramètres!$A$1:$I$89,5,0)</f>
        <v>155.06112857142867</v>
      </c>
      <c r="GW54" s="13">
        <f t="shared" si="51"/>
        <v>39.726514524043694</v>
      </c>
      <c r="GX54" s="20">
        <f t="shared" si="28"/>
        <v>339.25514505794769</v>
      </c>
      <c r="GY54" s="59">
        <f t="shared" si="29"/>
        <v>632.588478391281</v>
      </c>
      <c r="GZ54" s="59">
        <f ca="1">AVERAGE(OFFSET($GY$3,0,0,'Données projet'!$E$18+1,1))-AVERAGE(OFFSET($H$3,0,0,'Données projet'!$E$18+1,1))</f>
        <v>401.81944956556271</v>
      </c>
      <c r="HA54" s="59">
        <f t="shared" si="52"/>
        <v>292.20785523952651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0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171.82142857142864</v>
      </c>
      <c r="O55" s="13">
        <f>N55*VLOOKUP('Données projet'!$B$9,Paramètres!$A$1:$I$89,3,0)*VLOOKUP('Données projet'!$B$9,Paramètres!$A$1:$I$89,5,0)</f>
        <v>155.46402857142863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633.44902493476923</v>
      </c>
      <c r="S55" s="59">
        <f ca="1">AVERAGE(OFFSET($R$3,0,0,'Données projet'!$E$9+1,1))-AVERAGE(OFFSET($H$3,0,0,'Données projet'!$E$9+1,1))</f>
        <v>384.05928630855732</v>
      </c>
      <c r="T55" s="59">
        <f t="shared" si="34"/>
        <v>279.93992813630513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20.507692307692299</v>
      </c>
      <c r="AI55" s="13">
        <f>IF('Données projet'!$A$62&gt;35,AI54+AH55-AQ54,IF(A55&lt;'Données projet'!$A$62,$AF$205^A55,IF(A55='Données projet'!$A$62,'Données projet'!$B$62,AI54+AH55-AQ54)))</f>
        <v>525.78461538461522</v>
      </c>
      <c r="AJ55" s="13">
        <f>AI55*VLOOKUP('Données projet'!$B$10,Paramètres!$A$1:$I$89,3,0)*VLOOKUP('Données projet'!$B$10,Paramètres!$A$1:$I$89,5,0)</f>
        <v>293.91359999999992</v>
      </c>
      <c r="AK55" s="13">
        <f t="shared" si="35"/>
        <v>69.899002171586702</v>
      </c>
      <c r="AL55" s="20">
        <f t="shared" si="4"/>
        <v>633.64028211551329</v>
      </c>
      <c r="AM55" s="59">
        <f t="shared" si="5"/>
        <v>926.97361544884666</v>
      </c>
      <c r="AN55" s="59">
        <f ca="1">AVERAGE(OFFSET($AM$3,0,0,'Données projet'!$E$10+1,1))-AVERAGE(OFFSET($H$3,0,0,'Données projet'!$E$10+1,1))</f>
        <v>335.04906256888819</v>
      </c>
      <c r="AO55" s="59">
        <f t="shared" si="36"/>
        <v>440.84111898279554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72.173954452958057</v>
      </c>
      <c r="AV55" s="21">
        <f>EXP(-LN(2)/25)*AV54+(1-EXP(-LN(2)/25))/(LN(2)/25)*Calculateur!AQ55*Calculateur!AS55*VLOOKUP('Données projet'!$B$10,Paramètres!$A$1:$I$89,3,0)*0.475*44/12</f>
        <v>21.714848194401569</v>
      </c>
      <c r="AW55" s="21">
        <f>EXP(-LN(2)/2)*AW54+(1-EXP(-LN(2)/2))/(LN(2)/2)*AQ55*AT55*VLOOKUP('Données projet'!$B$10,Paramètres!$A$1:$I$89,3,0)*0.475*44/12</f>
        <v>1.9159691475930605</v>
      </c>
      <c r="AX55" s="21">
        <f t="shared" si="6"/>
        <v>95.804771794952686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9.2076923076923052</v>
      </c>
      <c r="BD55" s="12">
        <f>IF('Données projet'!$A$88&gt;35,BD54+BC55-BL54,IF(A55&lt;'Données projet'!$A$88,$BA$205^A55,IF(A55='Données projet'!$A$88,'Données projet'!$B$88,BD54+BC55-BL54)))</f>
        <v>287.56923076923078</v>
      </c>
      <c r="BE55" s="13">
        <f>BD55*VLOOKUP('Données projet'!$B$11,Paramètres!$A$1:$I$89,3,0)*VLOOKUP('Données projet'!$B$11,Paramètres!$A$1:$I$89,5,0)</f>
        <v>164.48960000000002</v>
      </c>
      <c r="BF55" s="13">
        <f t="shared" si="37"/>
        <v>41.853520497873085</v>
      </c>
      <c r="BG55" s="20">
        <f t="shared" si="7"/>
        <v>359.38093486712893</v>
      </c>
      <c r="BH55" s="59">
        <f t="shared" si="8"/>
        <v>652.71426820046224</v>
      </c>
      <c r="BI55" s="59">
        <f ca="1">AVERAGE(OFFSET($BH$3,0,0,'Données projet'!$E$11+1,1))-AVERAGE(OFFSET($H$3,0,0,'Données projet'!$E$11+1,1))</f>
        <v>320.76883487964511</v>
      </c>
      <c r="BJ55" s="59">
        <f t="shared" si="38"/>
        <v>290.51177680335746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30.256810127709002</v>
      </c>
      <c r="BQ55" s="21">
        <f>EXP(-LN(2)/25)*BQ54+(1-EXP(-LN(2)/25))/(LN(2)/25)*Calculateur!BL55*Calculateur!BN55*VLOOKUP('Données projet'!$B$11,Paramètres!$A$1:$I$89,3,0)*0.475*44/12</f>
        <v>13.880498073639076</v>
      </c>
      <c r="BR55" s="21">
        <f>EXP(-LN(2)/2)*BR54+(1-EXP(-LN(2)/2))/(LN(2)/2)*BL55*BO55*VLOOKUP('Données projet'!$B$11,Paramètres!$A$1:$I$89,3,0)*0.475*44/12</f>
        <v>2.0025882643983191</v>
      </c>
      <c r="BS55" s="22">
        <f t="shared" si="9"/>
        <v>46.139896465746396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304.99999999999983</v>
      </c>
      <c r="BZ55" s="13">
        <f>BY55*VLOOKUP('Données projet'!$B$12,Paramètres!$A$1:$I$89,3,0)*VLOOKUP('Données projet'!$B$12,Paramètres!$A$1:$I$89,5,0)</f>
        <v>275.96399999999983</v>
      </c>
      <c r="CA55" s="13">
        <f t="shared" si="39"/>
        <v>66.113366665488854</v>
      </c>
      <c r="CB55" s="20">
        <f t="shared" si="10"/>
        <v>595.78474694239264</v>
      </c>
      <c r="CC55" s="59">
        <f t="shared" si="11"/>
        <v>889.11808027572602</v>
      </c>
      <c r="CD55" s="59">
        <f ca="1">AVERAGE(OFFSET($CC$3,0,0,'Données projet'!$E$12+1,1))-AVERAGE(OFFSET($H$3,0,0,'Données projet'!$E$12+1,1))</f>
        <v>366.69125512029831</v>
      </c>
      <c r="CE55" s="59">
        <f t="shared" si="40"/>
        <v>513.80016421153414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1.0454281245029575</v>
      </c>
      <c r="CL55" s="21">
        <f>EXP(-LN(2)/25)*CL54+(1-EXP(-LN(2)/25))/(LN(2)/25)*Calculateur!CG55*Calculateur!CI55*VLOOKUP('Données projet'!$B$12,Paramètres!$A$1:$I$89,3,0)*0.475*44/12</f>
        <v>4.0116841110315047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5.0571122355344622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8.8736263736263741</v>
      </c>
      <c r="CT55" s="12">
        <f>IF('Données projet'!$A$140&gt;35,CT54+CS55-DB54,IF(A55&lt;'Données projet'!$A$140,$CQ$205^A55,IF(A55='Données projet'!$A$140,'Données projet'!$B$140,CT54+CS55-DB54)))</f>
        <v>171.82142857142864</v>
      </c>
      <c r="CU55" s="17">
        <f>CT55*VLOOKUP('Données projet'!$B$13,Paramètres!$A$1:$I$89,3,0)*VLOOKUP('Données projet'!$B$13,Paramètres!$A$1:$I$89,5,0)</f>
        <v>115.25781428571433</v>
      </c>
      <c r="CV55" s="13">
        <f t="shared" si="41"/>
        <v>30.566380299144438</v>
      </c>
      <c r="CW55" s="20">
        <f t="shared" si="13"/>
        <v>253.97713890196232</v>
      </c>
      <c r="CX55" s="59">
        <f t="shared" si="14"/>
        <v>547.31047223529561</v>
      </c>
      <c r="CY55" s="59">
        <f ca="1">AVERAGE(OFFSET($CX$3,0,0,'Données projet'!$E$13+1,1))-AVERAGE(OFFSET($H$3,0,0,'Données projet'!$E$13+1,1))</f>
        <v>294.94331863127815</v>
      </c>
      <c r="CZ55" s="59">
        <f t="shared" si="42"/>
        <v>218.36990036643977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213.99999999999989</v>
      </c>
      <c r="DP55" s="17">
        <f>DO55*VLOOKUP('Données projet'!$B$14,Paramètres!$A$1:$I$89,3,0)*VLOOKUP('Données projet'!$B$14,Paramètres!$A$1:$I$89,5,0)</f>
        <v>156.90479999999991</v>
      </c>
      <c r="DQ55" s="13">
        <f t="shared" si="43"/>
        <v>40.143592678874334</v>
      </c>
      <c r="DR55" s="20">
        <f t="shared" si="16"/>
        <v>343.1926172490393</v>
      </c>
      <c r="DS55" s="59">
        <f t="shared" si="17"/>
        <v>636.52595058237262</v>
      </c>
      <c r="DT55" s="59">
        <f ca="1">AVERAGE(OFFSET($DS$3,0,0,'Données projet'!$E$14+1,1))-AVERAGE(OFFSET($H$3,0,0,'Données projet'!$E$14+1,1))</f>
        <v>278.45534008146865</v>
      </c>
      <c r="DU55" s="59">
        <f t="shared" si="44"/>
        <v>272.97841038165217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12.489481851583541</v>
      </c>
      <c r="EB55" s="21">
        <f>EXP(-LN(2)/25)*EB54+(1-EXP(-LN(2)/25))/(LN(2)/25)*Calculateur!DW55*Calculateur!DY55*VLOOKUP('Données projet'!$B$14,Paramètres!$A$1:$I$89,3,0)*0.475*44/12</f>
        <v>9.8837715090759932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22.373253360659533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8.8736263736263741</v>
      </c>
      <c r="EJ55" s="12">
        <f>IF('Données projet'!$A$192&gt;35,EJ54+EI55-ER54,IF(A55&lt;'Données projet'!$A$192,$EG$205^A55,IF(A55='Données projet'!$A$192,'Données projet'!$B$192,EJ54+EI55-ER54)))</f>
        <v>171.82142857142864</v>
      </c>
      <c r="EK55" s="17">
        <f>EJ55*VLOOKUP('Données projet'!$B$15,Paramètres!$A$1:$I$89,3,0)*VLOOKUP('Données projet'!$B$15,Paramètres!$A$1:$I$89,5,0)</f>
        <v>184.94858571428577</v>
      </c>
      <c r="EL55" s="13">
        <f t="shared" si="45"/>
        <v>46.42141148275023</v>
      </c>
      <c r="EM55" s="20">
        <f t="shared" si="19"/>
        <v>402.96941178483775</v>
      </c>
      <c r="EN55" s="59">
        <f t="shared" si="20"/>
        <v>696.30274511817106</v>
      </c>
      <c r="EO55" s="59">
        <f ca="1">AVERAGE(OFFSET($EN$3,0,0,'Données projet'!$E$15+1,1))-AVERAGE(OFFSET($H$3,0,0,'Données projet'!$E$15+1,1))</f>
        <v>449.09332781196957</v>
      </c>
      <c r="EP55" s="59">
        <f t="shared" si="46"/>
        <v>324.85904971519432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8.8736263736263741</v>
      </c>
      <c r="FE55" s="12">
        <f>IF('Données projet'!$A$218&gt;35,FE54+FD55-FM54,IF(A55&lt;'Données projet'!$A$218,$FB$205^A55,IF(A55='Données projet'!$A$218,'Données projet'!$B$218,FE54+FD55-FM54)))</f>
        <v>171.82142857142864</v>
      </c>
      <c r="FF55" s="17">
        <f>FE55*VLOOKUP('Données projet'!$B$16,Paramètres!$A$1:$I$89,3,0)*VLOOKUP('Données projet'!$B$16,Paramètres!$A$1:$I$89,5,0)</f>
        <v>174.22692857142866</v>
      </c>
      <c r="FG55" s="13">
        <f t="shared" si="47"/>
        <v>44.035357527108694</v>
      </c>
      <c r="FH55" s="20">
        <f t="shared" si="22"/>
        <v>380.1401482882859</v>
      </c>
      <c r="FI55" s="59">
        <f t="shared" si="23"/>
        <v>673.47348162161916</v>
      </c>
      <c r="FJ55" s="59">
        <f ca="1">AVERAGE(OFFSET($FI$3,0,0,'Données projet'!$E$16+1,1))-AVERAGE(OFFSET($H$3,0,0,'Données projet'!$E$16+1,1))</f>
        <v>419.51168383014721</v>
      </c>
      <c r="FK55" s="59">
        <f t="shared" si="48"/>
        <v>213.44145308833384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6</v>
      </c>
      <c r="FZ55" s="12">
        <f>IF('Données projet'!$A$244&gt;35,FZ54+FY55-GH54,IF(A55&lt;'Données projet'!$A$244,$FW$205^A55,IF(A55='Données projet'!$A$244,'Données projet'!$B$244,FZ54+FY55-GH54)))</f>
        <v>213.99999999999989</v>
      </c>
      <c r="GA55" s="17">
        <f>FZ55*VLOOKUP('Données projet'!$B$17,Paramètres!$A$1:$I$89,3,0)*VLOOKUP('Données projet'!$B$17,Paramètres!$A$1:$I$89,5,0)</f>
        <v>186.95039999999992</v>
      </c>
      <c r="GB55" s="13">
        <f t="shared" si="49"/>
        <v>46.86509597661761</v>
      </c>
      <c r="GC55" s="20">
        <f t="shared" si="25"/>
        <v>407.22865549260882</v>
      </c>
      <c r="GD55" s="59">
        <f t="shared" si="26"/>
        <v>700.56198882594208</v>
      </c>
      <c r="GE55" s="59">
        <f ca="1">AVERAGE(OFFSET($GD$3,0,0,'Données projet'!$E$17+1,1))-AVERAGE(OFFSET($H$3,0,0,'Données projet'!$E$17+1,1))</f>
        <v>324.86930206492627</v>
      </c>
      <c r="GF55" s="59">
        <f t="shared" si="50"/>
        <v>317.03005098025352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18.34180214522512</v>
      </c>
      <c r="GM55" s="21">
        <f>EXP(-LN(2)/25)*GM54+(1-EXP(-LN(2)/25))/(LN(2)/25)*Calculateur!GH55*Calculateur!GJ55*VLOOKUP('Données projet'!$B$17,Paramètres!$A$1:$I$89,3,0)*0.475*44/12</f>
        <v>14.515108282502508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32.856910427727627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8.8736263736263741</v>
      </c>
      <c r="GU55" s="12">
        <f>IF('Données projet'!$A$270&gt;35,GU54+GT55-HC54,IF(A55&lt;'Données projet'!$A$270,$GR$205^A55,IF(A55='Données projet'!$A$270,'Données projet'!$B$270,GU54+GT55-HC54)))</f>
        <v>171.82142857142864</v>
      </c>
      <c r="GV55" s="17">
        <f>GU55*VLOOKUP('Données projet'!$B$18,Paramètres!$A$1:$I$89,3,0)*VLOOKUP('Données projet'!$B$18,Paramètres!$A$1:$I$89,5,0)</f>
        <v>163.50527142857149</v>
      </c>
      <c r="GW55" s="13">
        <f t="shared" si="51"/>
        <v>41.632139207474445</v>
      </c>
      <c r="GX55" s="20">
        <f t="shared" si="28"/>
        <v>357.28099019111329</v>
      </c>
      <c r="GY55" s="59">
        <f t="shared" si="29"/>
        <v>650.6143235244466</v>
      </c>
      <c r="GZ55" s="59">
        <f ca="1">AVERAGE(OFFSET($GY$3,0,0,'Données projet'!$E$18+1,1))-AVERAGE(OFFSET($H$3,0,0,'Données projet'!$E$18+1,1))</f>
        <v>401.81944956556271</v>
      </c>
      <c r="HA55" s="59">
        <f t="shared" si="52"/>
        <v>292.20785523952651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0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180.69505494505501</v>
      </c>
      <c r="O56" s="13">
        <f>N56*VLOOKUP('Données projet'!$B$9,Paramètres!$A$1:$I$89,3,0)*VLOOKUP('Données projet'!$B$9,Paramètres!$A$1:$I$89,5,0)</f>
        <v>163.49288571428576</v>
      </c>
      <c r="P56" s="13">
        <f t="shared" si="33"/>
        <v>41.629352600963465</v>
      </c>
      <c r="Q56" s="20">
        <f t="shared" si="53"/>
        <v>357.25456506572573</v>
      </c>
      <c r="R56" s="59">
        <f t="shared" si="0"/>
        <v>650.58789839905899</v>
      </c>
      <c r="S56" s="59">
        <f ca="1">AVERAGE(OFFSET($R$3,0,0,'Données projet'!$E$9+1,1))-AVERAGE(OFFSET($H$3,0,0,'Données projet'!$E$9+1,1))</f>
        <v>384.05928630855732</v>
      </c>
      <c r="T56" s="59">
        <f t="shared" si="34"/>
        <v>279.93992813630513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20.507692307692299</v>
      </c>
      <c r="AI56" s="13">
        <f>IF('Données projet'!$A$62&gt;35,AI55+AH56-AQ55,IF(A56&lt;'Données projet'!$A$62,$AF$205^A56,IF(A56='Données projet'!$A$62,'Données projet'!$B$62,AI55+AH56-AQ55)))</f>
        <v>546.29230769230753</v>
      </c>
      <c r="AJ56" s="13">
        <f>AI56*VLOOKUP('Données projet'!$B$10,Paramètres!$A$1:$I$89,3,0)*VLOOKUP('Données projet'!$B$10,Paramètres!$A$1:$I$89,5,0)</f>
        <v>305.37739999999991</v>
      </c>
      <c r="AK56" s="13">
        <f t="shared" si="35"/>
        <v>72.302604807906476</v>
      </c>
      <c r="AL56" s="20">
        <f t="shared" si="4"/>
        <v>657.79267504043685</v>
      </c>
      <c r="AM56" s="59">
        <f t="shared" si="5"/>
        <v>951.12600837377022</v>
      </c>
      <c r="AN56" s="59">
        <f ca="1">AVERAGE(OFFSET($AM$3,0,0,'Données projet'!$E$10+1,1))-AVERAGE(OFFSET($H$3,0,0,'Données projet'!$E$10+1,1))</f>
        <v>335.04906256888819</v>
      </c>
      <c r="AO56" s="59">
        <f t="shared" si="36"/>
        <v>440.84111898279554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70.758667227900972</v>
      </c>
      <c r="AV56" s="21">
        <f>EXP(-LN(2)/25)*AV55+(1-EXP(-LN(2)/25))/(LN(2)/25)*Calculateur!AQ56*Calculateur!AS56*VLOOKUP('Données projet'!$B$10,Paramètres!$A$1:$I$89,3,0)*0.475*44/12</f>
        <v>21.121054528591422</v>
      </c>
      <c r="AW56" s="21">
        <f>EXP(-LN(2)/2)*AW55+(1-EXP(-LN(2)/2))/(LN(2)/2)*AQ56*AT56*VLOOKUP('Données projet'!$B$10,Paramètres!$A$1:$I$89,3,0)*0.475*44/12</f>
        <v>1.3547947768072623</v>
      </c>
      <c r="AX56" s="21">
        <f t="shared" si="6"/>
        <v>93.234516533299654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9.2076923076923052</v>
      </c>
      <c r="BD56" s="12">
        <f>IF('Données projet'!$A$88&gt;35,BD55+BC56-BL55,IF(A56&lt;'Données projet'!$A$88,$BA$205^A56,IF(A56='Données projet'!$A$88,'Données projet'!$B$88,BD55+BC56-BL55)))</f>
        <v>296.77692307692308</v>
      </c>
      <c r="BE56" s="13">
        <f>BD56*VLOOKUP('Données projet'!$B$11,Paramètres!$A$1:$I$89,3,0)*VLOOKUP('Données projet'!$B$11,Paramètres!$A$1:$I$89,5,0)</f>
        <v>169.75640000000001</v>
      </c>
      <c r="BF56" s="13">
        <f t="shared" si="37"/>
        <v>43.03546073638779</v>
      </c>
      <c r="BG56" s="20">
        <f t="shared" si="7"/>
        <v>370.61249078254201</v>
      </c>
      <c r="BH56" s="59">
        <f t="shared" si="8"/>
        <v>663.94582411587533</v>
      </c>
      <c r="BI56" s="59">
        <f ca="1">AVERAGE(OFFSET($BH$3,0,0,'Données projet'!$E$11+1,1))-AVERAGE(OFFSET($H$3,0,0,'Données projet'!$E$11+1,1))</f>
        <v>320.76883487964511</v>
      </c>
      <c r="BJ56" s="59">
        <f t="shared" si="38"/>
        <v>290.51177680335746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29.663492535936545</v>
      </c>
      <c r="BQ56" s="21">
        <f>EXP(-LN(2)/25)*BQ55+(1-EXP(-LN(2)/25))/(LN(2)/25)*Calculateur!BL56*Calculateur!BN56*VLOOKUP('Données projet'!$B$11,Paramètres!$A$1:$I$89,3,0)*0.475*44/12</f>
        <v>13.500935123871747</v>
      </c>
      <c r="BR56" s="21">
        <f>EXP(-LN(2)/2)*BR55+(1-EXP(-LN(2)/2))/(LN(2)/2)*BL56*BO56*VLOOKUP('Données projet'!$B$11,Paramètres!$A$1:$I$89,3,0)*0.475*44/12</f>
        <v>1.4160437416806502</v>
      </c>
      <c r="BS56" s="22">
        <f t="shared" si="9"/>
        <v>44.580471401488943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304.99999999999983</v>
      </c>
      <c r="BZ56" s="13">
        <f>BY56*VLOOKUP('Données projet'!$B$12,Paramètres!$A$1:$I$89,3,0)*VLOOKUP('Données projet'!$B$12,Paramètres!$A$1:$I$89,5,0)</f>
        <v>275.96399999999983</v>
      </c>
      <c r="CA56" s="13">
        <f t="shared" si="39"/>
        <v>66.113366665488854</v>
      </c>
      <c r="CB56" s="20">
        <f t="shared" si="10"/>
        <v>595.78474694239264</v>
      </c>
      <c r="CC56" s="59">
        <f t="shared" si="11"/>
        <v>889.11808027572602</v>
      </c>
      <c r="CD56" s="59">
        <f ca="1">AVERAGE(OFFSET($CC$3,0,0,'Données projet'!$E$12+1,1))-AVERAGE(OFFSET($H$3,0,0,'Données projet'!$E$12+1,1))</f>
        <v>366.69125512029831</v>
      </c>
      <c r="CE56" s="59">
        <f t="shared" si="40"/>
        <v>513.80016421153414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1.0249279166296479</v>
      </c>
      <c r="CL56" s="21">
        <f>EXP(-LN(2)/25)*CL55+(1-EXP(-LN(2)/25))/(LN(2)/25)*Calculateur!CG56*Calculateur!CI56*VLOOKUP('Données projet'!$B$12,Paramètres!$A$1:$I$89,3,0)*0.475*44/12</f>
        <v>3.9019843980500495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4.9269123146796971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8.8736263736263741</v>
      </c>
      <c r="CT56" s="12">
        <f>IF('Données projet'!$A$140&gt;35,CT55+CS56-DB55,IF(A56&lt;'Données projet'!$A$140,$CQ$205^A56,IF(A56='Données projet'!$A$140,'Données projet'!$B$140,CT55+CS56-DB55)))</f>
        <v>180.69505494505501</v>
      </c>
      <c r="CU56" s="17">
        <f>CT56*VLOOKUP('Données projet'!$B$13,Paramètres!$A$1:$I$89,3,0)*VLOOKUP('Données projet'!$B$13,Paramètres!$A$1:$I$89,5,0)</f>
        <v>121.2102428571429</v>
      </c>
      <c r="CV56" s="13">
        <f t="shared" si="41"/>
        <v>31.957103501665042</v>
      </c>
      <c r="CW56" s="20">
        <f t="shared" si="13"/>
        <v>266.76646157492382</v>
      </c>
      <c r="CX56" s="59">
        <f t="shared" si="14"/>
        <v>560.09979490825708</v>
      </c>
      <c r="CY56" s="59">
        <f ca="1">AVERAGE(OFFSET($CX$3,0,0,'Données projet'!$E$13+1,1))-AVERAGE(OFFSET($H$3,0,0,'Données projet'!$E$13+1,1))</f>
        <v>294.94331863127815</v>
      </c>
      <c r="CZ56" s="59">
        <f t="shared" si="42"/>
        <v>218.36990036643977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219.99999999999989</v>
      </c>
      <c r="DP56" s="17">
        <f>DO56*VLOOKUP('Données projet'!$B$14,Paramètres!$A$1:$I$89,3,0)*VLOOKUP('Données projet'!$B$14,Paramètres!$A$1:$I$89,5,0)</f>
        <v>161.30399999999992</v>
      </c>
      <c r="DQ56" s="13">
        <f t="shared" si="43"/>
        <v>41.136497157560363</v>
      </c>
      <c r="DR56" s="20">
        <f t="shared" si="16"/>
        <v>352.58386588275084</v>
      </c>
      <c r="DS56" s="59">
        <f t="shared" si="17"/>
        <v>645.9171992160841</v>
      </c>
      <c r="DT56" s="59">
        <f ca="1">AVERAGE(OFFSET($DS$3,0,0,'Données projet'!$E$14+1,1))-AVERAGE(OFFSET($H$3,0,0,'Données projet'!$E$14+1,1))</f>
        <v>278.45534008146865</v>
      </c>
      <c r="DU56" s="59">
        <f t="shared" si="44"/>
        <v>272.97841038165217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12.244570730305719</v>
      </c>
      <c r="EB56" s="21">
        <f>EXP(-LN(2)/25)*EB55+(1-EXP(-LN(2)/25))/(LN(2)/25)*Calculateur!DW56*Calculateur!DY56*VLOOKUP('Données projet'!$B$14,Paramètres!$A$1:$I$89,3,0)*0.475*44/12</f>
        <v>9.6134992573953557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21.858069987701075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8.8736263736263741</v>
      </c>
      <c r="EJ56" s="12">
        <f>IF('Données projet'!$A$192&gt;35,EJ55+EI56-ER55,IF(A56&lt;'Données projet'!$A$192,$EG$205^A56,IF(A56='Données projet'!$A$192,'Données projet'!$B$192,EJ55+EI56-ER55)))</f>
        <v>180.69505494505501</v>
      </c>
      <c r="EK56" s="17">
        <f>EJ56*VLOOKUP('Données projet'!$B$15,Paramètres!$A$1:$I$89,3,0)*VLOOKUP('Données projet'!$B$15,Paramètres!$A$1:$I$89,5,0)</f>
        <v>194.5001571428572</v>
      </c>
      <c r="EL56" s="13">
        <f t="shared" si="45"/>
        <v>48.533514172404466</v>
      </c>
      <c r="EM56" s="20">
        <f t="shared" si="19"/>
        <v>423.283644207414</v>
      </c>
      <c r="EN56" s="59">
        <f t="shared" si="20"/>
        <v>716.61697754074726</v>
      </c>
      <c r="EO56" s="59">
        <f ca="1">AVERAGE(OFFSET($EN$3,0,0,'Données projet'!$E$15+1,1))-AVERAGE(OFFSET($H$3,0,0,'Données projet'!$E$15+1,1))</f>
        <v>449.09332781196957</v>
      </c>
      <c r="EP56" s="59">
        <f t="shared" si="46"/>
        <v>324.85904971519432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8.8736263736263741</v>
      </c>
      <c r="FE56" s="12">
        <f>IF('Données projet'!$A$218&gt;35,FE55+FD56-FM55,IF(A56&lt;'Données projet'!$A$218,$FB$205^A56,IF(A56='Données projet'!$A$218,'Données projet'!$B$218,FE55+FD56-FM55)))</f>
        <v>180.69505494505501</v>
      </c>
      <c r="FF56" s="17">
        <f>FE56*VLOOKUP('Données projet'!$B$16,Paramètres!$A$1:$I$89,3,0)*VLOOKUP('Données projet'!$B$16,Paramètres!$A$1:$I$89,5,0)</f>
        <v>183.22478571428579</v>
      </c>
      <c r="FG56" s="13">
        <f t="shared" si="47"/>
        <v>46.038898438557553</v>
      </c>
      <c r="FH56" s="20">
        <f t="shared" si="22"/>
        <v>399.30091656620215</v>
      </c>
      <c r="FI56" s="59">
        <f t="shared" si="23"/>
        <v>692.63424989953546</v>
      </c>
      <c r="FJ56" s="59">
        <f ca="1">AVERAGE(OFFSET($FI$3,0,0,'Données projet'!$E$16+1,1))-AVERAGE(OFFSET($H$3,0,0,'Données projet'!$E$16+1,1))</f>
        <v>419.51168383014721</v>
      </c>
      <c r="FK56" s="59">
        <f t="shared" si="48"/>
        <v>213.44145308833384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6</v>
      </c>
      <c r="FZ56" s="12">
        <f>IF('Données projet'!$A$244&gt;35,FZ55+FY56-GH55,IF(A56&lt;'Données projet'!$A$244,$FW$205^A56,IF(A56='Données projet'!$A$244,'Données projet'!$B$244,FZ55+FY56-GH55)))</f>
        <v>219.99999999999989</v>
      </c>
      <c r="GA56" s="17">
        <f>FZ56*VLOOKUP('Données projet'!$B$17,Paramètres!$A$1:$I$89,3,0)*VLOOKUP('Données projet'!$B$17,Paramètres!$A$1:$I$89,5,0)</f>
        <v>192.19199999999992</v>
      </c>
      <c r="GB56" s="13">
        <f t="shared" si="49"/>
        <v>48.02424892193244</v>
      </c>
      <c r="GC56" s="20">
        <f t="shared" si="25"/>
        <v>418.37663353903218</v>
      </c>
      <c r="GD56" s="59">
        <f t="shared" si="26"/>
        <v>711.7099668723655</v>
      </c>
      <c r="GE56" s="59">
        <f ca="1">AVERAGE(OFFSET($GD$3,0,0,'Données projet'!$E$17+1,1))-AVERAGE(OFFSET($H$3,0,0,'Données projet'!$E$17+1,1))</f>
        <v>324.86930206492627</v>
      </c>
      <c r="GF56" s="59">
        <f t="shared" si="50"/>
        <v>317.03005098025352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17.982130592551901</v>
      </c>
      <c r="GM56" s="21">
        <f>EXP(-LN(2)/25)*GM55+(1-EXP(-LN(2)/25))/(LN(2)/25)*Calculateur!GH56*Calculateur!GJ56*VLOOKUP('Données projet'!$B$17,Paramètres!$A$1:$I$89,3,0)*0.475*44/12</f>
        <v>14.118191883201106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32.100322475753003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8.8736263736263741</v>
      </c>
      <c r="GU56" s="12">
        <f>IF('Données projet'!$A$270&gt;35,GU55+GT56-HC55,IF(A56&lt;'Données projet'!$A$270,$GR$205^A56,IF(A56='Données projet'!$A$270,'Données projet'!$B$270,GU55+GT56-HC55)))</f>
        <v>180.69505494505501</v>
      </c>
      <c r="GV56" s="17">
        <f>GU56*VLOOKUP('Données projet'!$B$18,Paramètres!$A$1:$I$89,3,0)*VLOOKUP('Données projet'!$B$18,Paramètres!$A$1:$I$89,5,0)</f>
        <v>171.94941428571437</v>
      </c>
      <c r="GW56" s="13">
        <f t="shared" si="51"/>
        <v>43.526337388605633</v>
      </c>
      <c r="GX56" s="20">
        <f t="shared" si="28"/>
        <v>375.28693416610736</v>
      </c>
      <c r="GY56" s="59">
        <f t="shared" si="29"/>
        <v>668.62026749944062</v>
      </c>
      <c r="GZ56" s="59">
        <f ca="1">AVERAGE(OFFSET($GY$3,0,0,'Données projet'!$E$18+1,1))-AVERAGE(OFFSET($H$3,0,0,'Données projet'!$E$18+1,1))</f>
        <v>401.81944956556271</v>
      </c>
      <c r="HA56" s="59">
        <f t="shared" si="52"/>
        <v>292.20785523952651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0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189.56868131868137</v>
      </c>
      <c r="O57" s="13">
        <f>N57*VLOOKUP('Données projet'!$B$9,Paramètres!$A$1:$I$89,3,0)*VLOOKUP('Données projet'!$B$9,Paramètres!$A$1:$I$89,5,0)</f>
        <v>171.5217428571429</v>
      </c>
      <c r="P57" s="13">
        <f t="shared" si="33"/>
        <v>43.430666394282092</v>
      </c>
      <c r="Q57" s="20">
        <f t="shared" si="53"/>
        <v>374.37544611289854</v>
      </c>
      <c r="R57" s="59">
        <f t="shared" si="0"/>
        <v>667.7087794462318</v>
      </c>
      <c r="S57" s="59">
        <f ca="1">AVERAGE(OFFSET($R$3,0,0,'Données projet'!$E$9+1,1))-AVERAGE(OFFSET($H$3,0,0,'Données projet'!$E$9+1,1))</f>
        <v>384.05928630855732</v>
      </c>
      <c r="T57" s="59">
        <f t="shared" si="34"/>
        <v>279.93992813630513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566.79999999999995</v>
      </c>
      <c r="AG57" s="12">
        <f>VLOOKUP(A57,'Données projet'!$A$61:$I$81,9,0)</f>
        <v>20.507692307692299</v>
      </c>
      <c r="AH57" s="12">
        <f t="array" ref="AH57">INDEX(AG:AG,MIN(IF(ISNUMBER(AG57:AG253),ROW(AG57:AG253),"")))</f>
        <v>20.507692307692299</v>
      </c>
      <c r="AI57" s="13">
        <f>IF('Données projet'!$A$62&gt;35,AI56+AH57-AQ56,IF(A57&lt;'Données projet'!$A$62,$AF$205^A57,IF(A57='Données projet'!$A$62,'Données projet'!$B$62,AI56+AH57-AQ56)))</f>
        <v>566.79999999999984</v>
      </c>
      <c r="AJ57" s="13">
        <f>AI57*VLOOKUP('Données projet'!$B$10,Paramètres!$A$1:$I$89,3,0)*VLOOKUP('Données projet'!$B$10,Paramètres!$A$1:$I$89,5,0)</f>
        <v>316.8411999999999</v>
      </c>
      <c r="AK57" s="13">
        <f t="shared" si="35"/>
        <v>74.695724902330795</v>
      </c>
      <c r="AL57" s="20">
        <f t="shared" si="4"/>
        <v>681.92681087155927</v>
      </c>
      <c r="AM57" s="59">
        <f t="shared" si="5"/>
        <v>975.26014420489264</v>
      </c>
      <c r="AN57" s="59">
        <f ca="1">AVERAGE(OFFSET($AM$3,0,0,'Données projet'!$E$10+1,1))-AVERAGE(OFFSET($H$3,0,0,'Données projet'!$E$10+1,1))</f>
        <v>335.04906256888819</v>
      </c>
      <c r="AO57" s="59">
        <f t="shared" si="36"/>
        <v>440.84111898279554</v>
      </c>
      <c r="AP57" s="15">
        <f>IF(ISNA(VLOOKUP(A57,'Données projet'!$A$61:$I$81,3,0)),0,VLOOKUP(A57,'Données projet'!$A$61:$I$81,3,0))</f>
        <v>7</v>
      </c>
      <c r="AQ57" s="15">
        <f>IF(ISNA(VLOOKUP(A57,'Données projet'!$A$61:$I$81,4,0)),0,VLOOKUP(A57,'Données projet'!$A$61:$I$81,4,0))</f>
        <v>566.79999999999995</v>
      </c>
      <c r="AR57" s="16">
        <f>IF(ISNA(VLOOKUP(A57,'Données projet'!$A$61:$I$81,5,0)),0%,VLOOKUP(A57,'Données projet'!$A$61:$I$81,5,0)*VLOOKUP('Données projet'!$B$10,Paramètres!$A$1:$I$89,7,0))</f>
        <v>0.38500000000000001</v>
      </c>
      <c r="AS57" s="16">
        <f>IF(ISNA(VLOOKUP(A57,'Données projet'!$A$61:$I$81,6,0)),0%,VLOOKUP(A57,'Données projet'!$A$61:$I$81,6,0)*VLOOKUP('Données projet'!$B$10,Paramètres!$A$1:$I$89,7,0))</f>
        <v>9.240000000000001E-2</v>
      </c>
      <c r="AT57" s="16">
        <f>IF(ISNA(VLOOKUP(A57,'Données projet'!$A$61:$I$81,7,0)),0%,VLOOKUP(A57,'Données projet'!$A$61:$I$81,7,0))</f>
        <v>0.13200000000000001</v>
      </c>
      <c r="AU57" s="21">
        <f>EXP(-LN(2)/35)*AU56+(1-EXP(-LN(2)/35))/(LN(2)/35)*AQ57*AR57*VLOOKUP('Données projet'!$B$10,Paramètres!$A$1:$I$89,3,0)*0.475*44/12</f>
        <v>231.19058838852931</v>
      </c>
      <c r="AV57" s="21">
        <f>EXP(-LN(2)/25)*AV56+(1-EXP(-LN(2)/25))/(LN(2)/25)*Calculateur!AQ57*Calculateur!AS57*VLOOKUP('Données projet'!$B$10,Paramètres!$A$1:$I$89,3,0)*0.475*44/12</f>
        <v>59.227252728732921</v>
      </c>
      <c r="AW57" s="21">
        <f>EXP(-LN(2)/2)*AW56+(1-EXP(-LN(2)/2))/(LN(2)/2)*AQ57*AT57*VLOOKUP('Données projet'!$B$10,Paramètres!$A$1:$I$89,3,0)*0.475*44/12</f>
        <v>48.311379430966142</v>
      </c>
      <c r="AX57" s="21">
        <f t="shared" si="6"/>
        <v>338.7292205482284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9.2076923076923052</v>
      </c>
      <c r="BD57" s="12">
        <f>IF('Données projet'!$A$88&gt;35,BD56+BC57-BL56,IF(A57&lt;'Données projet'!$A$88,$BA$205^A57,IF(A57='Données projet'!$A$88,'Données projet'!$B$88,BD56+BC57-BL56)))</f>
        <v>305.98461538461538</v>
      </c>
      <c r="BE57" s="13">
        <f>BD57*VLOOKUP('Données projet'!$B$11,Paramètres!$A$1:$I$89,3,0)*VLOOKUP('Données projet'!$B$11,Paramètres!$A$1:$I$89,5,0)</f>
        <v>175.02320000000003</v>
      </c>
      <c r="BF57" s="13">
        <f t="shared" si="37"/>
        <v>44.213139510914147</v>
      </c>
      <c r="BG57" s="20">
        <f t="shared" si="7"/>
        <v>381.83662464817547</v>
      </c>
      <c r="BH57" s="59">
        <f t="shared" si="8"/>
        <v>675.16995798150879</v>
      </c>
      <c r="BI57" s="59">
        <f ca="1">AVERAGE(OFFSET($BH$3,0,0,'Données projet'!$E$11+1,1))-AVERAGE(OFFSET($H$3,0,0,'Données projet'!$E$11+1,1))</f>
        <v>320.76883487964511</v>
      </c>
      <c r="BJ57" s="59">
        <f t="shared" si="38"/>
        <v>290.51177680335746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29.081809540250745</v>
      </c>
      <c r="BQ57" s="21">
        <f>EXP(-LN(2)/25)*BQ56+(1-EXP(-LN(2)/25))/(LN(2)/25)*Calculateur!BL57*Calculateur!BN57*VLOOKUP('Données projet'!$B$11,Paramètres!$A$1:$I$89,3,0)*0.475*44/12</f>
        <v>13.131751342926153</v>
      </c>
      <c r="BR57" s="21">
        <f>EXP(-LN(2)/2)*BR56+(1-EXP(-LN(2)/2))/(LN(2)/2)*BL57*BO57*VLOOKUP('Données projet'!$B$11,Paramètres!$A$1:$I$89,3,0)*0.475*44/12</f>
        <v>1.0012941321991595</v>
      </c>
      <c r="BS57" s="22">
        <f t="shared" si="9"/>
        <v>43.214855015376052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304.99999999999983</v>
      </c>
      <c r="BZ57" s="13">
        <f>BY57*VLOOKUP('Données projet'!$B$12,Paramètres!$A$1:$I$89,3,0)*VLOOKUP('Données projet'!$B$12,Paramètres!$A$1:$I$89,5,0)</f>
        <v>275.96399999999983</v>
      </c>
      <c r="CA57" s="13">
        <f t="shared" si="39"/>
        <v>66.113366665488854</v>
      </c>
      <c r="CB57" s="20">
        <f t="shared" si="10"/>
        <v>595.78474694239264</v>
      </c>
      <c r="CC57" s="59">
        <f t="shared" si="11"/>
        <v>889.11808027572602</v>
      </c>
      <c r="CD57" s="59">
        <f ca="1">AVERAGE(OFFSET($CC$3,0,0,'Données projet'!$E$12+1,1))-AVERAGE(OFFSET($H$3,0,0,'Données projet'!$E$12+1,1))</f>
        <v>366.69125512029831</v>
      </c>
      <c r="CE57" s="59">
        <f t="shared" si="40"/>
        <v>513.80016421153414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1.0048297053288417</v>
      </c>
      <c r="CL57" s="21">
        <f>EXP(-LN(2)/25)*CL56+(1-EXP(-LN(2)/25))/(LN(2)/25)*Calculateur!CG57*Calculateur!CI57*VLOOKUP('Données projet'!$B$12,Paramètres!$A$1:$I$89,3,0)*0.475*44/12</f>
        <v>3.7952844294889294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4.8001141348177709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8.8736263736263741</v>
      </c>
      <c r="CT57" s="12">
        <f>IF('Données projet'!$A$140&gt;35,CT56+CS57-DB56,IF(A57&lt;'Données projet'!$A$140,$CQ$205^A57,IF(A57='Données projet'!$A$140,'Données projet'!$B$140,CT56+CS57-DB56)))</f>
        <v>189.56868131868137</v>
      </c>
      <c r="CU57" s="17">
        <f>CT57*VLOOKUP('Données projet'!$B$13,Paramètres!$A$1:$I$89,3,0)*VLOOKUP('Données projet'!$B$13,Paramètres!$A$1:$I$89,5,0)</f>
        <v>127.16267142857147</v>
      </c>
      <c r="CV57" s="13">
        <f t="shared" si="41"/>
        <v>33.339896356597151</v>
      </c>
      <c r="CW57" s="20">
        <f t="shared" si="13"/>
        <v>279.54197222583531</v>
      </c>
      <c r="CX57" s="59">
        <f t="shared" si="14"/>
        <v>572.87530555916862</v>
      </c>
      <c r="CY57" s="59">
        <f ca="1">AVERAGE(OFFSET($CX$3,0,0,'Données projet'!$E$13+1,1))-AVERAGE(OFFSET($H$3,0,0,'Données projet'!$E$13+1,1))</f>
        <v>294.94331863127815</v>
      </c>
      <c r="CZ57" s="59">
        <f t="shared" si="42"/>
        <v>218.36990036643977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225.99999999999989</v>
      </c>
      <c r="DP57" s="17">
        <f>DO57*VLOOKUP('Données projet'!$B$14,Paramètres!$A$1:$I$89,3,0)*VLOOKUP('Données projet'!$B$14,Paramètres!$A$1:$I$89,5,0)</f>
        <v>165.70319999999992</v>
      </c>
      <c r="DQ57" s="13">
        <f t="shared" si="43"/>
        <v>42.126254201367267</v>
      </c>
      <c r="DR57" s="20">
        <f t="shared" si="16"/>
        <v>361.96963273404782</v>
      </c>
      <c r="DS57" s="59">
        <f t="shared" si="17"/>
        <v>655.30296606738113</v>
      </c>
      <c r="DT57" s="59">
        <f ca="1">AVERAGE(OFFSET($DS$3,0,0,'Données projet'!$E$14+1,1))-AVERAGE(OFFSET($H$3,0,0,'Données projet'!$E$14+1,1))</f>
        <v>278.45534008146865</v>
      </c>
      <c r="DU57" s="59">
        <f t="shared" si="44"/>
        <v>272.97841038165217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12.004462166735122</v>
      </c>
      <c r="EB57" s="21">
        <f>EXP(-LN(2)/25)*EB56+(1-EXP(-LN(2)/25))/(LN(2)/25)*Calculateur!DW57*Calculateur!DY57*VLOOKUP('Données projet'!$B$14,Paramètres!$A$1:$I$89,3,0)*0.475*44/12</f>
        <v>9.3506176146499254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21.355079781385047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8.8736263736263741</v>
      </c>
      <c r="EJ57" s="12">
        <f>IF('Données projet'!$A$192&gt;35,EJ56+EI57-ER56,IF(A57&lt;'Données projet'!$A$192,$EG$205^A57,IF(A57='Données projet'!$A$192,'Données projet'!$B$192,EJ56+EI57-ER56)))</f>
        <v>189.56868131868137</v>
      </c>
      <c r="EK57" s="17">
        <f>EJ57*VLOOKUP('Données projet'!$B$15,Paramètres!$A$1:$I$89,3,0)*VLOOKUP('Données projet'!$B$15,Paramètres!$A$1:$I$89,5,0)</f>
        <v>204.05172857142861</v>
      </c>
      <c r="EL57" s="13">
        <f t="shared" si="45"/>
        <v>50.633572978386375</v>
      </c>
      <c r="EM57" s="20">
        <f t="shared" si="19"/>
        <v>443.57690019926105</v>
      </c>
      <c r="EN57" s="59">
        <f t="shared" si="20"/>
        <v>736.91023353259436</v>
      </c>
      <c r="EO57" s="59">
        <f ca="1">AVERAGE(OFFSET($EN$3,0,0,'Données projet'!$E$15+1,1))-AVERAGE(OFFSET($H$3,0,0,'Données projet'!$E$15+1,1))</f>
        <v>449.09332781196957</v>
      </c>
      <c r="EP57" s="59">
        <f t="shared" si="46"/>
        <v>324.85904971519432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8.8736263736263741</v>
      </c>
      <c r="FE57" s="12">
        <f>IF('Données projet'!$A$218&gt;35,FE56+FD57-FM56,IF(A57&lt;'Données projet'!$A$218,$FB$205^A57,IF(A57='Données projet'!$A$218,'Données projet'!$B$218,FE56+FD57-FM56)))</f>
        <v>189.56868131868137</v>
      </c>
      <c r="FF57" s="17">
        <f>FE57*VLOOKUP('Données projet'!$B$16,Paramètres!$A$1:$I$89,3,0)*VLOOKUP('Données projet'!$B$16,Paramètres!$A$1:$I$89,5,0)</f>
        <v>192.22264285714294</v>
      </c>
      <c r="FG57" s="13">
        <f t="shared" si="47"/>
        <v>48.031014520243914</v>
      </c>
      <c r="FH57" s="20">
        <f t="shared" si="22"/>
        <v>418.44178659894874</v>
      </c>
      <c r="FI57" s="59">
        <f t="shared" si="23"/>
        <v>711.775119932282</v>
      </c>
      <c r="FJ57" s="59">
        <f ca="1">AVERAGE(OFFSET($FI$3,0,0,'Données projet'!$E$16+1,1))-AVERAGE(OFFSET($H$3,0,0,'Données projet'!$E$16+1,1))</f>
        <v>419.51168383014721</v>
      </c>
      <c r="FK57" s="59">
        <f t="shared" si="48"/>
        <v>213.44145308833384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6</v>
      </c>
      <c r="FZ57" s="12">
        <f>IF('Données projet'!$A$244&gt;35,FZ56+FY57-GH56,IF(A57&lt;'Données projet'!$A$244,$FW$205^A57,IF(A57='Données projet'!$A$244,'Données projet'!$B$244,FZ56+FY57-GH56)))</f>
        <v>225.99999999999989</v>
      </c>
      <c r="GA57" s="17">
        <f>FZ57*VLOOKUP('Données projet'!$B$17,Paramètres!$A$1:$I$89,3,0)*VLOOKUP('Données projet'!$B$17,Paramètres!$A$1:$I$89,5,0)</f>
        <v>197.43359999999993</v>
      </c>
      <c r="GB57" s="13">
        <f t="shared" si="49"/>
        <v>49.179727436837609</v>
      </c>
      <c r="GC57" s="20">
        <f t="shared" si="25"/>
        <v>429.51821195249204</v>
      </c>
      <c r="GD57" s="59">
        <f t="shared" si="26"/>
        <v>722.8515452858253</v>
      </c>
      <c r="GE57" s="59">
        <f ca="1">AVERAGE(OFFSET($GD$3,0,0,'Données projet'!$E$17+1,1))-AVERAGE(OFFSET($H$3,0,0,'Données projet'!$E$17+1,1))</f>
        <v>324.86930206492627</v>
      </c>
      <c r="GF57" s="59">
        <f t="shared" si="50"/>
        <v>317.03005098025352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17.629511979648619</v>
      </c>
      <c r="GM57" s="21">
        <f>EXP(-LN(2)/25)*GM56+(1-EXP(-LN(2)/25))/(LN(2)/25)*Calculateur!GH57*Calculateur!GJ57*VLOOKUP('Données projet'!$B$17,Paramètres!$A$1:$I$89,3,0)*0.475*44/12</f>
        <v>13.732129183711528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31.361641163360147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8.8736263736263741</v>
      </c>
      <c r="GU57" s="12">
        <f>IF('Données projet'!$A$270&gt;35,GU56+GT57-HC56,IF(A57&lt;'Données projet'!$A$270,$GR$205^A57,IF(A57='Données projet'!$A$270,'Données projet'!$B$270,GU56+GT57-HC56)))</f>
        <v>189.56868131868137</v>
      </c>
      <c r="GV57" s="17">
        <f>GU57*VLOOKUP('Données projet'!$B$18,Paramètres!$A$1:$I$89,3,0)*VLOOKUP('Données projet'!$B$18,Paramètres!$A$1:$I$89,5,0)</f>
        <v>180.39355714285719</v>
      </c>
      <c r="GW57" s="13">
        <f t="shared" si="51"/>
        <v>45.409734247122266</v>
      </c>
      <c r="GX57" s="20">
        <f t="shared" si="28"/>
        <v>393.27406583754754</v>
      </c>
      <c r="GY57" s="59">
        <f t="shared" si="29"/>
        <v>686.60739917088085</v>
      </c>
      <c r="GZ57" s="59">
        <f ca="1">AVERAGE(OFFSET($GY$3,0,0,'Données projet'!$E$18+1,1))-AVERAGE(OFFSET($H$3,0,0,'Données projet'!$E$18+1,1))</f>
        <v>401.81944956556271</v>
      </c>
      <c r="HA57" s="59">
        <f t="shared" si="52"/>
        <v>292.20785523952651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0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198.44230769230774</v>
      </c>
      <c r="O58" s="13">
        <f>N58*VLOOKUP('Données projet'!$B$9,Paramètres!$A$1:$I$89,3,0)*VLOOKUP('Données projet'!$B$9,Paramètres!$A$1:$I$89,5,0)</f>
        <v>179.55060000000003</v>
      </c>
      <c r="P58" s="13">
        <f t="shared" si="33"/>
        <v>45.22218840459005</v>
      </c>
      <c r="Q58" s="20">
        <f t="shared" si="53"/>
        <v>391.47927313799437</v>
      </c>
      <c r="R58" s="59">
        <f t="shared" si="0"/>
        <v>684.81260647132763</v>
      </c>
      <c r="S58" s="59">
        <f ca="1">AVERAGE(OFFSET($R$3,0,0,'Données projet'!$E$9+1,1))-AVERAGE(OFFSET($H$3,0,0,'Données projet'!$E$9+1,1))</f>
        <v>384.05928630855732</v>
      </c>
      <c r="T58" s="59">
        <f t="shared" si="34"/>
        <v>279.93992813630513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-1.1368683772161603E-13</v>
      </c>
      <c r="AJ58" s="13">
        <f>AI58*VLOOKUP('Données projet'!$B$10,Paramètres!$A$1:$I$89,3,0)*VLOOKUP('Données projet'!$B$10,Paramètres!$A$1:$I$89,5,0)</f>
        <v>-6.3550942286383367E-14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335.04906256888819</v>
      </c>
      <c r="AO58" s="59">
        <f t="shared" si="36"/>
        <v>440.84111898279554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226.65708196256534</v>
      </c>
      <c r="AV58" s="21">
        <f>EXP(-LN(2)/25)*AV57+(1-EXP(-LN(2)/25))/(LN(2)/25)*Calculateur!AQ58*Calculateur!AS58*VLOOKUP('Données projet'!$B$10,Paramètres!$A$1:$I$89,3,0)*0.475*44/12</f>
        <v>57.607680388239864</v>
      </c>
      <c r="AW58" s="21">
        <f>EXP(-LN(2)/2)*AW57+(1-EXP(-LN(2)/2))/(LN(2)/2)*AQ58*AT58*VLOOKUP('Données projet'!$B$10,Paramètres!$A$1:$I$89,3,0)*0.475*44/12</f>
        <v>34.161304004112452</v>
      </c>
      <c r="AX58" s="21">
        <f t="shared" si="6"/>
        <v>318.42606635491768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9.2076923076923052</v>
      </c>
      <c r="BD58" s="12">
        <f>IF('Données projet'!$A$88&gt;35,BD57+BC58-BL57,IF(A58&lt;'Données projet'!$A$88,$BA$205^A58,IF(A58='Données projet'!$A$88,'Données projet'!$B$88,BD57+BC58-BL57)))</f>
        <v>315.19230769230768</v>
      </c>
      <c r="BE58" s="13">
        <f>BD58*VLOOKUP('Données projet'!$B$11,Paramètres!$A$1:$I$89,3,0)*VLOOKUP('Données projet'!$B$11,Paramètres!$A$1:$I$89,5,0)</f>
        <v>180.29</v>
      </c>
      <c r="BF58" s="13">
        <f t="shared" si="37"/>
        <v>45.386699777461899</v>
      </c>
      <c r="BG58" s="20">
        <f t="shared" si="7"/>
        <v>393.05358544574614</v>
      </c>
      <c r="BH58" s="59">
        <f t="shared" si="8"/>
        <v>686.38691877907945</v>
      </c>
      <c r="BI58" s="59">
        <f ca="1">AVERAGE(OFFSET($BH$3,0,0,'Données projet'!$E$11+1,1))-AVERAGE(OFFSET($H$3,0,0,'Données projet'!$E$11+1,1))</f>
        <v>320.76883487964511</v>
      </c>
      <c r="BJ58" s="59">
        <f t="shared" si="38"/>
        <v>290.51177680335746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28.511532993318749</v>
      </c>
      <c r="BQ58" s="21">
        <f>EXP(-LN(2)/25)*BQ57+(1-EXP(-LN(2)/25))/(LN(2)/25)*Calculateur!BL58*Calculateur!BN58*VLOOKUP('Données projet'!$B$11,Paramètres!$A$1:$I$89,3,0)*0.475*44/12</f>
        <v>12.772662911885048</v>
      </c>
      <c r="BR58" s="21">
        <f>EXP(-LN(2)/2)*BR57+(1-EXP(-LN(2)/2))/(LN(2)/2)*BL58*BO58*VLOOKUP('Données projet'!$B$11,Paramètres!$A$1:$I$89,3,0)*0.475*44/12</f>
        <v>0.70802187084032508</v>
      </c>
      <c r="BS58" s="22">
        <f t="shared" si="9"/>
        <v>41.992217776044122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304.99999999999983</v>
      </c>
      <c r="BZ58" s="13">
        <f>BY58*VLOOKUP('Données projet'!$B$12,Paramètres!$A$1:$I$89,3,0)*VLOOKUP('Données projet'!$B$12,Paramètres!$A$1:$I$89,5,0)</f>
        <v>275.96399999999983</v>
      </c>
      <c r="CA58" s="13">
        <f t="shared" si="39"/>
        <v>66.113366665488854</v>
      </c>
      <c r="CB58" s="20">
        <f t="shared" si="10"/>
        <v>595.78474694239264</v>
      </c>
      <c r="CC58" s="59">
        <f t="shared" si="11"/>
        <v>889.11808027572602</v>
      </c>
      <c r="CD58" s="59">
        <f ca="1">AVERAGE(OFFSET($CC$3,0,0,'Données projet'!$E$12+1,1))-AVERAGE(OFFSET($H$3,0,0,'Données projet'!$E$12+1,1))</f>
        <v>366.69125512029831</v>
      </c>
      <c r="CE58" s="59">
        <f t="shared" si="40"/>
        <v>513.80016421153414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0.98512560769294599</v>
      </c>
      <c r="CL58" s="21">
        <f>EXP(-LN(2)/25)*CL57+(1-EXP(-LN(2)/25))/(LN(2)/25)*Calculateur!CG58*Calculateur!CI58*VLOOKUP('Données projet'!$B$12,Paramètres!$A$1:$I$89,3,0)*0.475*44/12</f>
        <v>3.6915021771792209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4.6766277848721671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198.44230769230768</v>
      </c>
      <c r="CR58" s="12">
        <f>VLOOKUP(A58,'Données projet'!$A$139:$I$159,9,0)</f>
        <v>8.8736263736263741</v>
      </c>
      <c r="CS58" s="12">
        <f t="array" ref="CS58">INDEX(CR:CR,MIN(IF(ISNUMBER(CR58:CR254),ROW(CR58:CR254),"")))</f>
        <v>8.8736263736263741</v>
      </c>
      <c r="CT58" s="12">
        <f>IF('Données projet'!$A$140&gt;35,CT57+CS58-DB57,IF(A58&lt;'Données projet'!$A$140,$CQ$205^A58,IF(A58='Données projet'!$A$140,'Données projet'!$B$140,CT57+CS58-DB57)))</f>
        <v>198.44230769230774</v>
      </c>
      <c r="CU58" s="17">
        <f>CT58*VLOOKUP('Données projet'!$B$13,Paramètres!$A$1:$I$89,3,0)*VLOOKUP('Données projet'!$B$13,Paramètres!$A$1:$I$89,5,0)</f>
        <v>133.11510000000004</v>
      </c>
      <c r="CV58" s="13">
        <f t="shared" si="41"/>
        <v>34.715172471450721</v>
      </c>
      <c r="CW58" s="20">
        <f t="shared" si="13"/>
        <v>292.30439122111011</v>
      </c>
      <c r="CX58" s="59">
        <f t="shared" si="14"/>
        <v>585.63772455444337</v>
      </c>
      <c r="CY58" s="59">
        <f ca="1">AVERAGE(OFFSET($CX$3,0,0,'Données projet'!$E$13+1,1))-AVERAGE(OFFSET($H$3,0,0,'Données projet'!$E$13+1,1))</f>
        <v>294.94331863127815</v>
      </c>
      <c r="CZ58" s="59">
        <f t="shared" si="42"/>
        <v>218.36990036643977</v>
      </c>
      <c r="DA58" s="15">
        <f>IF(ISNA(VLOOKUP(A58,'Données projet'!$A$139:$I$159,3,0)),0,VLOOKUP(A58,'Données projet'!$A$139:$I$159,3,0))</f>
        <v>4</v>
      </c>
      <c r="DB58" s="15">
        <f>IF(ISNA(VLOOKUP(A58,'Données projet'!$A$139:$I$159,4,0)),0,VLOOKUP(A58,'Données projet'!$A$139:$I$159,4,0))</f>
        <v>45.147435897435898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232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231.99999999999989</v>
      </c>
      <c r="DP58" s="17">
        <f>DO58*VLOOKUP('Données projet'!$B$14,Paramètres!$A$1:$I$89,3,0)*VLOOKUP('Données projet'!$B$14,Paramètres!$A$1:$I$89,5,0)</f>
        <v>170.1023999999999</v>
      </c>
      <c r="DQ58" s="13">
        <f t="shared" si="43"/>
        <v>43.112956975087329</v>
      </c>
      <c r="DR58" s="20">
        <f t="shared" si="16"/>
        <v>371.35008006494354</v>
      </c>
      <c r="DS58" s="59">
        <f t="shared" si="17"/>
        <v>664.6834133982768</v>
      </c>
      <c r="DT58" s="59">
        <f ca="1">AVERAGE(OFFSET($DS$3,0,0,'Données projet'!$E$14+1,1))-AVERAGE(OFFSET($H$3,0,0,'Données projet'!$E$14+1,1))</f>
        <v>278.45534008146865</v>
      </c>
      <c r="DU58" s="59">
        <f t="shared" si="44"/>
        <v>272.97841038165217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0.33110000000000001</v>
      </c>
      <c r="DY58" s="16">
        <f>IF(ISNA(VLOOKUP(A58,'Données projet'!$A$165:$I$185,6,0)),0%,VLOOKUP(A58,'Données projet'!$A$165:$I$185,6,0)*VLOOKUP('Données projet'!$B$14,Paramètres!$A$1:$I$89,7,0))</f>
        <v>6.4500000000000002E-2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15.257830062214461</v>
      </c>
      <c r="EB58" s="21">
        <f>EXP(-LN(2)/25)*EB57+(1-EXP(-LN(2)/25))/(LN(2)/25)*Calculateur!DW58*Calculateur!DY58*VLOOKUP('Données projet'!$B$14,Paramètres!$A$1:$I$89,3,0)*0.475*44/12</f>
        <v>9.7718786661966828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25.029708728411144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198.44230769230768</v>
      </c>
      <c r="EH58" s="12">
        <f>VLOOKUP(A58,'Données projet'!$A$191:$I$211,9,0)</f>
        <v>8.8736263736263741</v>
      </c>
      <c r="EI58" s="12">
        <f t="array" ref="EI58">INDEX(EH:EH,MIN(IF(ISNUMBER(EH58:EH254),ROW(EH58:EH254),"")))</f>
        <v>8.8736263736263741</v>
      </c>
      <c r="EJ58" s="12">
        <f>IF('Données projet'!$A$192&gt;35,EJ57+EI58-ER57,IF(A58&lt;'Données projet'!$A$192,$EG$205^A58,IF(A58='Données projet'!$A$192,'Données projet'!$B$192,EJ57+EI58-ER57)))</f>
        <v>198.44230769230774</v>
      </c>
      <c r="EK58" s="17">
        <f>EJ58*VLOOKUP('Données projet'!$B$15,Paramètres!$A$1:$I$89,3,0)*VLOOKUP('Données projet'!$B$15,Paramètres!$A$1:$I$89,5,0)</f>
        <v>213.60330000000005</v>
      </c>
      <c r="EL58" s="13">
        <f t="shared" si="45"/>
        <v>52.722216049800402</v>
      </c>
      <c r="EM58" s="20">
        <f t="shared" si="19"/>
        <v>463.85027378673584</v>
      </c>
      <c r="EN58" s="59">
        <f t="shared" si="20"/>
        <v>757.18360712006915</v>
      </c>
      <c r="EO58" s="59">
        <f ca="1">AVERAGE(OFFSET($EN$3,0,0,'Données projet'!$E$15+1,1))-AVERAGE(OFFSET($H$3,0,0,'Données projet'!$E$15+1,1))</f>
        <v>449.09332781196957</v>
      </c>
      <c r="EP58" s="59">
        <f t="shared" si="46"/>
        <v>324.85904971519432</v>
      </c>
      <c r="EQ58" s="15">
        <f>IF(ISNA(VLOOKUP(A58,'Données projet'!$A$191:$I$211,3,0)),0,VLOOKUP(A58,'Données projet'!$A$191:$I$211,3,0))</f>
        <v>4</v>
      </c>
      <c r="ER58" s="15">
        <f>IF(ISNA(VLOOKUP(A58,'Données projet'!$A$191:$I$211,4,0)),0,VLOOKUP(A58,'Données projet'!$A$191:$I$211,4,0))</f>
        <v>45.147435897435898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198.44230769230768</v>
      </c>
      <c r="FC58" s="12">
        <f>VLOOKUP(A58,'Données projet'!$A$217:$I$237,9,0)</f>
        <v>8.8736263736263741</v>
      </c>
      <c r="FD58" s="12">
        <f t="array" ref="FD58">INDEX(FC:FC,MIN(IF(ISNUMBER(FC58:FC254),ROW(FC58:FC254),"")))</f>
        <v>8.8736263736263741</v>
      </c>
      <c r="FE58" s="12">
        <f>IF('Données projet'!$A$218&gt;35,FE57+FD58-FM57,IF(A58&lt;'Données projet'!$A$218,$FB$205^A58,IF(A58='Données projet'!$A$218,'Données projet'!$B$218,FE57+FD58-FM57)))</f>
        <v>198.44230769230774</v>
      </c>
      <c r="FF58" s="17">
        <f>FE58*VLOOKUP('Données projet'!$B$16,Paramètres!$A$1:$I$89,3,0)*VLOOKUP('Données projet'!$B$16,Paramètres!$A$1:$I$89,5,0)</f>
        <v>201.22050000000007</v>
      </c>
      <c r="FG58" s="13">
        <f t="shared" si="47"/>
        <v>50.012301634497518</v>
      </c>
      <c r="FH58" s="20">
        <f t="shared" si="22"/>
        <v>437.56379618008327</v>
      </c>
      <c r="FI58" s="59">
        <f t="shared" si="23"/>
        <v>730.89712951341653</v>
      </c>
      <c r="FJ58" s="59">
        <f ca="1">AVERAGE(OFFSET($FI$3,0,0,'Données projet'!$E$16+1,1))-AVERAGE(OFFSET($H$3,0,0,'Données projet'!$E$16+1,1))</f>
        <v>419.51168383014721</v>
      </c>
      <c r="FK58" s="59">
        <f t="shared" si="48"/>
        <v>213.44145308833384</v>
      </c>
      <c r="FL58" s="15">
        <f>IF(ISNA(VLOOKUP(A58,'Données projet'!$A$217:$I$237,3,0)),0,VLOOKUP(A58,'Données projet'!$A$217:$I$237,3,0))</f>
        <v>4</v>
      </c>
      <c r="FM58" s="15">
        <f>IF(ISNA(VLOOKUP(A58,'Données projet'!$A$217:$I$237,4,0)),0,VLOOKUP(A58,'Données projet'!$A$217:$I$237,4,0))</f>
        <v>45.147435897435898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232</v>
      </c>
      <c r="FX58" s="12">
        <f>VLOOKUP(A58,'Données projet'!$A$243:$I$263,9,0)</f>
        <v>6</v>
      </c>
      <c r="FY58" s="12">
        <f t="array" ref="FY58">INDEX(FX:FX,MIN(IF(ISNUMBER(FX58:FX254),ROW(FX58:FX254),"")))</f>
        <v>6</v>
      </c>
      <c r="FZ58" s="12">
        <f>IF('Données projet'!$A$244&gt;35,FZ57+FY58-GH57,IF(A58&lt;'Données projet'!$A$244,$FW$205^A58,IF(A58='Données projet'!$A$244,'Données projet'!$B$244,FZ57+FY58-GH57)))</f>
        <v>231.99999999999989</v>
      </c>
      <c r="GA58" s="17">
        <f>FZ58*VLOOKUP('Données projet'!$B$17,Paramètres!$A$1:$I$89,3,0)*VLOOKUP('Données projet'!$B$17,Paramètres!$A$1:$I$89,5,0)</f>
        <v>202.67519999999993</v>
      </c>
      <c r="GB58" s="13">
        <f t="shared" si="49"/>
        <v>50.33164028531364</v>
      </c>
      <c r="GC58" s="20">
        <f t="shared" si="25"/>
        <v>440.65358016358778</v>
      </c>
      <c r="GD58" s="59">
        <f t="shared" si="26"/>
        <v>733.98691349692103</v>
      </c>
      <c r="GE58" s="59">
        <f ca="1">AVERAGE(OFFSET($GD$3,0,0,'Données projet'!$E$17+1,1))-AVERAGE(OFFSET($H$3,0,0,'Données projet'!$E$17+1,1))</f>
        <v>324.86930206492627</v>
      </c>
      <c r="GF58" s="59">
        <f t="shared" si="50"/>
        <v>317.03005098025352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13</v>
      </c>
      <c r="GI58" s="16">
        <f>IF(ISNA(VLOOKUP(A58,'Données projet'!$A$243:$I$263,5,0)),0%,VLOOKUP(A58,'Données projet'!$A$243:$I$263,5,0)*VLOOKUP('Données projet'!$B$17,Paramètres!$A$1:$I$89,7,0))</f>
        <v>0.40810000000000002</v>
      </c>
      <c r="GJ58" s="16">
        <f>IF(ISNA(VLOOKUP(A58,'Données projet'!$A$243:$I$263,6,0)),0%,VLOOKUP(A58,'Données projet'!$A$243:$I$263,6,0)*VLOOKUP('Données projet'!$B$17,Paramètres!$A$1:$I$89,7,0))</f>
        <v>7.9500000000000001E-2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22.407342713831042</v>
      </c>
      <c r="GM58" s="21">
        <f>EXP(-LN(2)/25)*GM57+(1-EXP(-LN(2)/25))/(LN(2)/25)*Calculateur!GH58*Calculateur!GJ58*VLOOKUP('Données projet'!$B$17,Paramètres!$A$1:$I$89,3,0)*0.475*44/12</f>
        <v>14.350784701272524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36.758127415103566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198.44230769230768</v>
      </c>
      <c r="GS58" s="12">
        <f>VLOOKUP(A58,'Données projet'!$A$269:$I$289,9,0)</f>
        <v>8.8736263736263741</v>
      </c>
      <c r="GT58" s="12">
        <f t="array" ref="GT58">INDEX(GS:GS,MIN(IF(ISNUMBER(GS58:GS254),ROW(GS58:GS254),"")))</f>
        <v>8.8736263736263741</v>
      </c>
      <c r="GU58" s="12">
        <f>IF('Données projet'!$A$270&gt;35,GU57+GT58-HC57,IF(A58&lt;'Données projet'!$A$270,$GR$205^A58,IF(A58='Données projet'!$A$270,'Données projet'!$B$270,GU57+GT58-HC57)))</f>
        <v>198.44230769230774</v>
      </c>
      <c r="GV58" s="17">
        <f>GU58*VLOOKUP('Données projet'!$B$18,Paramètres!$A$1:$I$89,3,0)*VLOOKUP('Données projet'!$B$18,Paramètres!$A$1:$I$89,5,0)</f>
        <v>188.83770000000004</v>
      </c>
      <c r="GW58" s="13">
        <f t="shared" si="51"/>
        <v>47.282893126320744</v>
      </c>
      <c r="GX58" s="20">
        <f t="shared" si="28"/>
        <v>411.24336636167533</v>
      </c>
      <c r="GY58" s="59">
        <f t="shared" si="29"/>
        <v>704.57669969500864</v>
      </c>
      <c r="GZ58" s="59">
        <f ca="1">AVERAGE(OFFSET($GY$3,0,0,'Données projet'!$E$18+1,1))-AVERAGE(OFFSET($H$3,0,0,'Données projet'!$E$18+1,1))</f>
        <v>401.81944956556271</v>
      </c>
      <c r="HA58" s="59">
        <f t="shared" si="52"/>
        <v>292.20785523952651</v>
      </c>
      <c r="HB58" s="15">
        <f>IF(ISNA(VLOOKUP(A58,'Données projet'!$A$269:$I$289,3,0)),0,VLOOKUP(A58,'Données projet'!$A$269:$I$289,3,0))</f>
        <v>4</v>
      </c>
      <c r="HC58" s="15">
        <f>IF(ISNA(VLOOKUP(A58,'Données projet'!$A$269:$I$289,4,0)),0,VLOOKUP(A58,'Données projet'!$A$269:$I$289,4,0))</f>
        <v>45.147435897435898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0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161.66907051282055</v>
      </c>
      <c r="O59" s="13">
        <f>N59*VLOOKUP('Données projet'!$B$9,Paramètres!$A$1:$I$89,3,0)*VLOOKUP('Données projet'!$B$9,Paramètres!$A$1:$I$89,5,0)</f>
        <v>146.27817500000003</v>
      </c>
      <c r="P59" s="13">
        <f t="shared" si="33"/>
        <v>37.731554716297467</v>
      </c>
      <c r="Q59" s="20">
        <f t="shared" si="53"/>
        <v>320.48361258921813</v>
      </c>
      <c r="R59" s="59">
        <f t="shared" si="0"/>
        <v>613.81694592255144</v>
      </c>
      <c r="S59" s="59">
        <f ca="1">AVERAGE(OFFSET($R$3,0,0,'Données projet'!$E$9+1,1))-AVERAGE(OFFSET($H$3,0,0,'Données projet'!$E$9+1,1))</f>
        <v>384.05928630855732</v>
      </c>
      <c r="T59" s="59">
        <f t="shared" si="34"/>
        <v>279.93992813630513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-1.1368683772161603E-13</v>
      </c>
      <c r="AJ59" s="13">
        <f>AI59*VLOOKUP('Données projet'!$B$10,Paramètres!$A$1:$I$89,3,0)*VLOOKUP('Données projet'!$B$10,Paramètres!$A$1:$I$89,5,0)</f>
        <v>-6.3550942286383367E-14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335.04906256888819</v>
      </c>
      <c r="AO59" s="59">
        <f t="shared" si="36"/>
        <v>440.84111898279554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222.21247483244866</v>
      </c>
      <c r="AV59" s="21">
        <f>EXP(-LN(2)/25)*AV58+(1-EXP(-LN(2)/25))/(LN(2)/25)*Calculateur!AQ59*Calculateur!AS59*VLOOKUP('Données projet'!$B$10,Paramètres!$A$1:$I$89,3,0)*0.475*44/12</f>
        <v>56.032395338567198</v>
      </c>
      <c r="AW59" s="21">
        <f>EXP(-LN(2)/2)*AW58+(1-EXP(-LN(2)/2))/(LN(2)/2)*AQ59*AT59*VLOOKUP('Données projet'!$B$10,Paramètres!$A$1:$I$89,3,0)*0.475*44/12</f>
        <v>24.155689715483074</v>
      </c>
      <c r="AX59" s="21">
        <f t="shared" si="6"/>
        <v>302.40055988649891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9.2076923076923052</v>
      </c>
      <c r="BD59" s="12">
        <f>IF('Données projet'!$A$88&gt;35,BD58+BC59-BL58,IF(A59&lt;'Données projet'!$A$88,$BA$205^A59,IF(A59='Données projet'!$A$88,'Données projet'!$B$88,BD58+BC59-BL58)))</f>
        <v>324.39999999999998</v>
      </c>
      <c r="BE59" s="13">
        <f>BD59*VLOOKUP('Données projet'!$B$11,Paramètres!$A$1:$I$89,3,0)*VLOOKUP('Données projet'!$B$11,Paramètres!$A$1:$I$89,5,0)</f>
        <v>185.55679999999998</v>
      </c>
      <c r="BF59" s="13">
        <f t="shared" si="37"/>
        <v>46.556275664814912</v>
      </c>
      <c r="BG59" s="20">
        <f t="shared" si="7"/>
        <v>404.26360678288592</v>
      </c>
      <c r="BH59" s="59">
        <f t="shared" si="8"/>
        <v>697.59694011621923</v>
      </c>
      <c r="BI59" s="59">
        <f ca="1">AVERAGE(OFFSET($BH$3,0,0,'Données projet'!$E$11+1,1))-AVERAGE(OFFSET($H$3,0,0,'Données projet'!$E$11+1,1))</f>
        <v>320.76883487964511</v>
      </c>
      <c r="BJ59" s="59">
        <f t="shared" si="38"/>
        <v>290.51177680335746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27.952439221637743</v>
      </c>
      <c r="BQ59" s="21">
        <f>EXP(-LN(2)/25)*BQ58+(1-EXP(-LN(2)/25))/(LN(2)/25)*Calculateur!BL59*Calculateur!BN59*VLOOKUP('Données projet'!$B$11,Paramètres!$A$1:$I$89,3,0)*0.475*44/12</f>
        <v>12.423393772874402</v>
      </c>
      <c r="BR59" s="21">
        <f>EXP(-LN(2)/2)*BR58+(1-EXP(-LN(2)/2))/(LN(2)/2)*BL59*BO59*VLOOKUP('Données projet'!$B$11,Paramètres!$A$1:$I$89,3,0)*0.475*44/12</f>
        <v>0.50064706609957976</v>
      </c>
      <c r="BS59" s="22">
        <f t="shared" si="9"/>
        <v>40.876480060611726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304.99999999999983</v>
      </c>
      <c r="BZ59" s="13">
        <f>BY59*VLOOKUP('Données projet'!$B$12,Paramètres!$A$1:$I$89,3,0)*VLOOKUP('Données projet'!$B$12,Paramètres!$A$1:$I$89,5,0)</f>
        <v>275.96399999999983</v>
      </c>
      <c r="CA59" s="13">
        <f t="shared" si="39"/>
        <v>66.113366665488854</v>
      </c>
      <c r="CB59" s="20">
        <f t="shared" si="10"/>
        <v>595.78474694239264</v>
      </c>
      <c r="CC59" s="59">
        <f t="shared" si="11"/>
        <v>889.11808027572602</v>
      </c>
      <c r="CD59" s="59">
        <f ca="1">AVERAGE(OFFSET($CC$3,0,0,'Données projet'!$E$12+1,1))-AVERAGE(OFFSET($H$3,0,0,'Données projet'!$E$12+1,1))</f>
        <v>366.69125512029831</v>
      </c>
      <c r="CE59" s="59">
        <f t="shared" si="40"/>
        <v>513.80016421153414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0.9658078953933773</v>
      </c>
      <c r="CL59" s="21">
        <f>EXP(-LN(2)/25)*CL58+(1-EXP(-LN(2)/25))/(LN(2)/25)*Calculateur!CG59*Calculateur!CI59*VLOOKUP('Données projet'!$B$12,Paramètres!$A$1:$I$89,3,0)*0.475*44/12</f>
        <v>3.5905578560165927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4.5563657514099702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8.374198717948719</v>
      </c>
      <c r="CT59" s="12">
        <f>IF('Données projet'!$A$140&gt;35,CT58+CS59-DB58,IF(A59&lt;'Données projet'!$A$140,$CQ$205^A59,IF(A59='Données projet'!$A$140,'Données projet'!$B$140,CT58+CS59-DB58)))</f>
        <v>161.66907051282055</v>
      </c>
      <c r="CU59" s="17">
        <f>CT59*VLOOKUP('Données projet'!$B$13,Paramètres!$A$1:$I$89,3,0)*VLOOKUP('Données projet'!$B$13,Paramètres!$A$1:$I$89,5,0)</f>
        <v>108.44761250000002</v>
      </c>
      <c r="CV59" s="13">
        <f t="shared" si="41"/>
        <v>28.964927965743797</v>
      </c>
      <c r="CW59" s="20">
        <f t="shared" si="13"/>
        <v>239.32684131117045</v>
      </c>
      <c r="CX59" s="59">
        <f t="shared" si="14"/>
        <v>532.66017464450374</v>
      </c>
      <c r="CY59" s="59">
        <f ca="1">AVERAGE(OFFSET($CX$3,0,0,'Données projet'!$E$13+1,1))-AVERAGE(OFFSET($H$3,0,0,'Données projet'!$E$13+1,1))</f>
        <v>294.94331863127815</v>
      </c>
      <c r="CZ59" s="59">
        <f t="shared" si="42"/>
        <v>218.36990036643977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224.19999999999987</v>
      </c>
      <c r="DP59" s="17">
        <f>DO59*VLOOKUP('Données projet'!$B$14,Paramètres!$A$1:$I$89,3,0)*VLOOKUP('Données projet'!$B$14,Paramètres!$A$1:$I$89,5,0)</f>
        <v>164.38343999999992</v>
      </c>
      <c r="DQ59" s="13">
        <f t="shared" si="43"/>
        <v>41.82965192331919</v>
      </c>
      <c r="DR59" s="20">
        <f t="shared" si="16"/>
        <v>359.15446843311406</v>
      </c>
      <c r="DS59" s="59">
        <f t="shared" si="17"/>
        <v>652.48780176644732</v>
      </c>
      <c r="DT59" s="59">
        <f ca="1">AVERAGE(OFFSET($DS$3,0,0,'Données projet'!$E$14+1,1))-AVERAGE(OFFSET($H$3,0,0,'Données projet'!$E$14+1,1))</f>
        <v>278.45534008146865</v>
      </c>
      <c r="DU59" s="59">
        <f t="shared" si="44"/>
        <v>272.97841038165217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14.958633321051847</v>
      </c>
      <c r="EB59" s="21">
        <f>EXP(-LN(2)/25)*EB58+(1-EXP(-LN(2)/25))/(LN(2)/25)*Calculateur!DW59*Calculateur!DY59*VLOOKUP('Données projet'!$B$14,Paramètres!$A$1:$I$89,3,0)*0.475*44/12</f>
        <v>9.5046661301887685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24.463299451240616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8.374198717948719</v>
      </c>
      <c r="EJ59" s="12">
        <f>IF('Données projet'!$A$192&gt;35,EJ58+EI59-ER58,IF(A59&lt;'Données projet'!$A$192,$EG$205^A59,IF(A59='Données projet'!$A$192,'Données projet'!$B$192,EJ58+EI59-ER58)))</f>
        <v>161.66907051282055</v>
      </c>
      <c r="EK59" s="17">
        <f>EJ59*VLOOKUP('Données projet'!$B$15,Paramètres!$A$1:$I$89,3,0)*VLOOKUP('Données projet'!$B$15,Paramètres!$A$1:$I$89,5,0)</f>
        <v>174.02058750000003</v>
      </c>
      <c r="EL59" s="13">
        <f t="shared" si="45"/>
        <v>43.989272740405184</v>
      </c>
      <c r="EM59" s="20">
        <f t="shared" si="19"/>
        <v>379.70050658537235</v>
      </c>
      <c r="EN59" s="59">
        <f t="shared" si="20"/>
        <v>673.03383991870567</v>
      </c>
      <c r="EO59" s="59">
        <f ca="1">AVERAGE(OFFSET($EN$3,0,0,'Données projet'!$E$15+1,1))-AVERAGE(OFFSET($H$3,0,0,'Données projet'!$E$15+1,1))</f>
        <v>449.09332781196957</v>
      </c>
      <c r="EP59" s="59">
        <f t="shared" si="46"/>
        <v>324.85904971519432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8.374198717948719</v>
      </c>
      <c r="FE59" s="12">
        <f>IF('Données projet'!$A$218&gt;35,FE58+FD59-FM58,IF(A59&lt;'Données projet'!$A$218,$FB$205^A59,IF(A59='Données projet'!$A$218,'Données projet'!$B$218,FE58+FD59-FM58)))</f>
        <v>161.66907051282055</v>
      </c>
      <c r="FF59" s="17">
        <f>FE59*VLOOKUP('Données projet'!$B$16,Paramètres!$A$1:$I$89,3,0)*VLOOKUP('Données projet'!$B$16,Paramètres!$A$1:$I$89,5,0)</f>
        <v>163.93243750000005</v>
      </c>
      <c r="FG59" s="13">
        <f t="shared" si="47"/>
        <v>41.728230370613375</v>
      </c>
      <c r="FH59" s="20">
        <f t="shared" si="22"/>
        <v>358.1923298746517</v>
      </c>
      <c r="FI59" s="59">
        <f t="shared" si="23"/>
        <v>651.52566320798496</v>
      </c>
      <c r="FJ59" s="59">
        <f ca="1">AVERAGE(OFFSET($FI$3,0,0,'Données projet'!$E$16+1,1))-AVERAGE(OFFSET($H$3,0,0,'Données projet'!$E$16+1,1))</f>
        <v>419.51168383014721</v>
      </c>
      <c r="FK59" s="59">
        <f t="shared" si="48"/>
        <v>213.44145308833384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5.2</v>
      </c>
      <c r="FZ59" s="12">
        <f>IF('Données projet'!$A$244&gt;35,FZ58+FY59-GH58,IF(A59&lt;'Données projet'!$A$244,$FW$205^A59,IF(A59='Données projet'!$A$244,'Données projet'!$B$244,FZ58+FY59-GH58)))</f>
        <v>224.19999999999987</v>
      </c>
      <c r="GA59" s="17">
        <f>FZ59*VLOOKUP('Données projet'!$B$17,Paramètres!$A$1:$I$89,3,0)*VLOOKUP('Données projet'!$B$17,Paramètres!$A$1:$I$89,5,0)</f>
        <v>195.86111999999991</v>
      </c>
      <c r="GB59" s="13">
        <f t="shared" si="49"/>
        <v>48.833463106716422</v>
      </c>
      <c r="GC59" s="20">
        <f t="shared" si="25"/>
        <v>426.17639891086424</v>
      </c>
      <c r="GD59" s="59">
        <f t="shared" si="26"/>
        <v>719.50973224419749</v>
      </c>
      <c r="GE59" s="59">
        <f ca="1">AVERAGE(OFFSET($GD$3,0,0,'Données projet'!$E$17+1,1))-AVERAGE(OFFSET($H$3,0,0,'Données projet'!$E$17+1,1))</f>
        <v>324.86930206492627</v>
      </c>
      <c r="GF59" s="59">
        <f t="shared" si="50"/>
        <v>317.03005098025352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21.967948390342354</v>
      </c>
      <c r="GM59" s="21">
        <f>EXP(-LN(2)/25)*GM58+(1-EXP(-LN(2)/25))/(LN(2)/25)*Calculateur!GH59*Calculateur!GJ59*VLOOKUP('Données projet'!$B$17,Paramètres!$A$1:$I$89,3,0)*0.475*44/12</f>
        <v>13.958361738941258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35.926310129283614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8.374198717948719</v>
      </c>
      <c r="GU59" s="12">
        <f>IF('Données projet'!$A$270&gt;35,GU58+GT59-HC58,IF(A59&lt;'Données projet'!$A$270,$GR$205^A59,IF(A59='Données projet'!$A$270,'Données projet'!$B$270,GU58+GT59-HC58)))</f>
        <v>161.66907051282055</v>
      </c>
      <c r="GV59" s="17">
        <f>GU59*VLOOKUP('Données projet'!$B$18,Paramètres!$A$1:$I$89,3,0)*VLOOKUP('Données projet'!$B$18,Paramètres!$A$1:$I$89,5,0)</f>
        <v>153.84428750000004</v>
      </c>
      <c r="GW59" s="13">
        <f t="shared" si="51"/>
        <v>39.450922922596405</v>
      </c>
      <c r="GX59" s="20">
        <f t="shared" si="28"/>
        <v>336.65582481935542</v>
      </c>
      <c r="GY59" s="59">
        <f t="shared" si="29"/>
        <v>629.98915815268879</v>
      </c>
      <c r="GZ59" s="59">
        <f ca="1">AVERAGE(OFFSET($GY$3,0,0,'Données projet'!$E$18+1,1))-AVERAGE(OFFSET($H$3,0,0,'Données projet'!$E$18+1,1))</f>
        <v>401.81944956556271</v>
      </c>
      <c r="HA59" s="59">
        <f t="shared" si="52"/>
        <v>292.20785523952651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0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170.04326923076928</v>
      </c>
      <c r="O60" s="13">
        <f>N60*VLOOKUP('Données projet'!$B$9,Paramètres!$A$1:$I$89,3,0)*VLOOKUP('Données projet'!$B$9,Paramètres!$A$1:$I$89,5,0)</f>
        <v>153.85515000000004</v>
      </c>
      <c r="P60" s="13">
        <f t="shared" si="33"/>
        <v>39.453384193994481</v>
      </c>
      <c r="Q60" s="20">
        <f t="shared" si="53"/>
        <v>336.67903038787375</v>
      </c>
      <c r="R60" s="59">
        <f t="shared" si="0"/>
        <v>630.01236372120707</v>
      </c>
      <c r="S60" s="59">
        <f ca="1">AVERAGE(OFFSET($R$3,0,0,'Données projet'!$E$9+1,1))-AVERAGE(OFFSET($H$3,0,0,'Données projet'!$E$9+1,1))</f>
        <v>384.05928630855732</v>
      </c>
      <c r="T60" s="59">
        <f t="shared" si="34"/>
        <v>279.93992813630513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-1.1368683772161603E-13</v>
      </c>
      <c r="AJ60" s="13">
        <f>AI60*VLOOKUP('Données projet'!$B$10,Paramètres!$A$1:$I$89,3,0)*VLOOKUP('Données projet'!$B$10,Paramètres!$A$1:$I$89,5,0)</f>
        <v>-6.3550942286383367E-14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335.04906256888819</v>
      </c>
      <c r="AO60" s="59">
        <f t="shared" si="36"/>
        <v>440.84111898279554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217.8550237372109</v>
      </c>
      <c r="AV60" s="21">
        <f>EXP(-LN(2)/25)*AV59+(1-EXP(-LN(2)/25))/(LN(2)/25)*Calculateur!AQ60*Calculateur!AS60*VLOOKUP('Données projet'!$B$10,Paramètres!$A$1:$I$89,3,0)*0.475*44/12</f>
        <v>54.500186541418472</v>
      </c>
      <c r="AW60" s="21">
        <f>EXP(-LN(2)/2)*AW59+(1-EXP(-LN(2)/2))/(LN(2)/2)*AQ60*AT60*VLOOKUP('Données projet'!$B$10,Paramètres!$A$1:$I$89,3,0)*0.475*44/12</f>
        <v>17.08065200205623</v>
      </c>
      <c r="AX60" s="21">
        <f t="shared" si="6"/>
        <v>289.43586228068563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9.2076923076923052</v>
      </c>
      <c r="BD60" s="12">
        <f>IF('Données projet'!$A$88&gt;35,BD59+BC60-BL59,IF(A60&lt;'Données projet'!$A$88,$BA$205^A60,IF(A60='Données projet'!$A$88,'Données projet'!$B$88,BD59+BC60-BL59)))</f>
        <v>333.60769230769228</v>
      </c>
      <c r="BE60" s="13">
        <f>BD60*VLOOKUP('Données projet'!$B$11,Paramètres!$A$1:$I$89,3,0)*VLOOKUP('Données projet'!$B$11,Paramètres!$A$1:$I$89,5,0)</f>
        <v>190.8236</v>
      </c>
      <c r="BF60" s="13">
        <f t="shared" si="37"/>
        <v>47.721993254480594</v>
      </c>
      <c r="BG60" s="20">
        <f t="shared" si="7"/>
        <v>415.46690825155366</v>
      </c>
      <c r="BH60" s="59">
        <f t="shared" si="8"/>
        <v>708.80024158488698</v>
      </c>
      <c r="BI60" s="59">
        <f ca="1">AVERAGE(OFFSET($BH$3,0,0,'Données projet'!$E$11+1,1))-AVERAGE(OFFSET($H$3,0,0,'Données projet'!$E$11+1,1))</f>
        <v>320.76883487964511</v>
      </c>
      <c r="BJ60" s="59">
        <f t="shared" si="38"/>
        <v>290.51177680335746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27.404308937805872</v>
      </c>
      <c r="BQ60" s="21">
        <f>EXP(-LN(2)/25)*BQ59+(1-EXP(-LN(2)/25))/(LN(2)/25)*Calculateur!BL60*Calculateur!BN60*VLOOKUP('Données projet'!$B$11,Paramètres!$A$1:$I$89,3,0)*0.475*44/12</f>
        <v>12.083675416837266</v>
      </c>
      <c r="BR60" s="21">
        <f>EXP(-LN(2)/2)*BR59+(1-EXP(-LN(2)/2))/(LN(2)/2)*BL60*BO60*VLOOKUP('Données projet'!$B$11,Paramètres!$A$1:$I$89,3,0)*0.475*44/12</f>
        <v>0.35401093542016254</v>
      </c>
      <c r="BS60" s="22">
        <f t="shared" si="9"/>
        <v>39.841995290063302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304.99999999999983</v>
      </c>
      <c r="BZ60" s="13">
        <f>BY60*VLOOKUP('Données projet'!$B$12,Paramètres!$A$1:$I$89,3,0)*VLOOKUP('Données projet'!$B$12,Paramètres!$A$1:$I$89,5,0)</f>
        <v>275.96399999999983</v>
      </c>
      <c r="CA60" s="13">
        <f t="shared" si="39"/>
        <v>66.113366665488854</v>
      </c>
      <c r="CB60" s="20">
        <f t="shared" si="10"/>
        <v>595.78474694239264</v>
      </c>
      <c r="CC60" s="59">
        <f t="shared" si="11"/>
        <v>889.11808027572602</v>
      </c>
      <c r="CD60" s="59">
        <f ca="1">AVERAGE(OFFSET($CC$3,0,0,'Données projet'!$E$12+1,1))-AVERAGE(OFFSET($H$3,0,0,'Données projet'!$E$12+1,1))</f>
        <v>366.69125512029831</v>
      </c>
      <c r="CE60" s="59">
        <f t="shared" si="40"/>
        <v>513.80016421153414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0.94686899164936211</v>
      </c>
      <c r="CL60" s="21">
        <f>EXP(-LN(2)/25)*CL59+(1-EXP(-LN(2)/25))/(LN(2)/25)*Calculateur!CG60*Calculateur!CI60*VLOOKUP('Données projet'!$B$12,Paramètres!$A$1:$I$89,3,0)*0.475*44/12</f>
        <v>3.4923738626245875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4.4392428542739495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8.374198717948719</v>
      </c>
      <c r="CT60" s="12">
        <f>IF('Données projet'!$A$140&gt;35,CT59+CS60-DB59,IF(A60&lt;'Données projet'!$A$140,$CQ$205^A60,IF(A60='Données projet'!$A$140,'Données projet'!$B$140,CT59+CS60-DB59)))</f>
        <v>170.04326923076928</v>
      </c>
      <c r="CU60" s="17">
        <f>CT60*VLOOKUP('Données projet'!$B$13,Paramètres!$A$1:$I$89,3,0)*VLOOKUP('Données projet'!$B$13,Paramètres!$A$1:$I$89,5,0)</f>
        <v>114.06502500000005</v>
      </c>
      <c r="CV60" s="13">
        <f t="shared" si="41"/>
        <v>30.286704053842485</v>
      </c>
      <c r="CW60" s="20">
        <f t="shared" si="13"/>
        <v>251.41259476877573</v>
      </c>
      <c r="CX60" s="59">
        <f t="shared" si="14"/>
        <v>544.74592810210902</v>
      </c>
      <c r="CY60" s="59">
        <f ca="1">AVERAGE(OFFSET($CX$3,0,0,'Données projet'!$E$13+1,1))-AVERAGE(OFFSET($H$3,0,0,'Données projet'!$E$13+1,1))</f>
        <v>294.94331863127815</v>
      </c>
      <c r="CZ60" s="59">
        <f t="shared" si="42"/>
        <v>218.36990036643977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229.39999999999986</v>
      </c>
      <c r="DP60" s="17">
        <f>DO60*VLOOKUP('Données projet'!$B$14,Paramètres!$A$1:$I$89,3,0)*VLOOKUP('Données projet'!$B$14,Paramètres!$A$1:$I$89,5,0)</f>
        <v>168.19607999999988</v>
      </c>
      <c r="DQ60" s="13">
        <f t="shared" si="43"/>
        <v>42.685755010634267</v>
      </c>
      <c r="DR60" s="20">
        <f t="shared" si="16"/>
        <v>367.28586264352111</v>
      </c>
      <c r="DS60" s="59">
        <f t="shared" si="17"/>
        <v>660.61919597685437</v>
      </c>
      <c r="DT60" s="59">
        <f ca="1">AVERAGE(OFFSET($DS$3,0,0,'Données projet'!$E$14+1,1))-AVERAGE(OFFSET($H$3,0,0,'Données projet'!$E$14+1,1))</f>
        <v>278.45534008146865</v>
      </c>
      <c r="DU60" s="59">
        <f t="shared" si="44"/>
        <v>272.97841038165217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14.66530364549144</v>
      </c>
      <c r="EB60" s="21">
        <f>EXP(-LN(2)/25)*EB59+(1-EXP(-LN(2)/25))/(LN(2)/25)*Calculateur!DW60*Calculateur!DY60*VLOOKUP('Données projet'!$B$14,Paramètres!$A$1:$I$89,3,0)*0.475*44/12</f>
        <v>9.2447605350300872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23.910064180521527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8.374198717948719</v>
      </c>
      <c r="EJ60" s="12">
        <f>IF('Données projet'!$A$192&gt;35,EJ59+EI60-ER59,IF(A60&lt;'Données projet'!$A$192,$EG$205^A60,IF(A60='Données projet'!$A$192,'Données projet'!$B$192,EJ59+EI60-ER59)))</f>
        <v>170.04326923076928</v>
      </c>
      <c r="EK60" s="17">
        <f>EJ60*VLOOKUP('Données projet'!$B$15,Paramètres!$A$1:$I$89,3,0)*VLOOKUP('Données projet'!$B$15,Paramètres!$A$1:$I$89,5,0)</f>
        <v>183.03457500000005</v>
      </c>
      <c r="EL60" s="13">
        <f t="shared" si="45"/>
        <v>45.99666488409995</v>
      </c>
      <c r="EM60" s="20">
        <f t="shared" si="19"/>
        <v>398.8960761314741</v>
      </c>
      <c r="EN60" s="59">
        <f t="shared" si="20"/>
        <v>692.22940946480742</v>
      </c>
      <c r="EO60" s="59">
        <f ca="1">AVERAGE(OFFSET($EN$3,0,0,'Données projet'!$E$15+1,1))-AVERAGE(OFFSET($H$3,0,0,'Données projet'!$E$15+1,1))</f>
        <v>449.09332781196957</v>
      </c>
      <c r="EP60" s="59">
        <f t="shared" si="46"/>
        <v>324.85904971519432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8.374198717948719</v>
      </c>
      <c r="FE60" s="12">
        <f>IF('Données projet'!$A$218&gt;35,FE59+FD60-FM59,IF(A60&lt;'Données projet'!$A$218,$FB$205^A60,IF(A60='Données projet'!$A$218,'Données projet'!$B$218,FE59+FD60-FM59)))</f>
        <v>170.04326923076928</v>
      </c>
      <c r="FF60" s="17">
        <f>FE60*VLOOKUP('Données projet'!$B$16,Paramètres!$A$1:$I$89,3,0)*VLOOKUP('Données projet'!$B$16,Paramètres!$A$1:$I$89,5,0)</f>
        <v>172.42387500000007</v>
      </c>
      <c r="FG60" s="13">
        <f t="shared" si="47"/>
        <v>43.632442843290029</v>
      </c>
      <c r="FH60" s="20">
        <f t="shared" si="22"/>
        <v>376.29808691039688</v>
      </c>
      <c r="FI60" s="59">
        <f t="shared" si="23"/>
        <v>669.63142024373019</v>
      </c>
      <c r="FJ60" s="59">
        <f ca="1">AVERAGE(OFFSET($FI$3,0,0,'Données projet'!$E$16+1,1))-AVERAGE(OFFSET($H$3,0,0,'Données projet'!$E$16+1,1))</f>
        <v>419.51168383014721</v>
      </c>
      <c r="FK60" s="59">
        <f t="shared" si="48"/>
        <v>213.44145308833384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5.2</v>
      </c>
      <c r="FZ60" s="12">
        <f>IF('Données projet'!$A$244&gt;35,FZ59+FY60-GH59,IF(A60&lt;'Données projet'!$A$244,$FW$205^A60,IF(A60='Données projet'!$A$244,'Données projet'!$B$244,FZ59+FY60-GH59)))</f>
        <v>229.39999999999986</v>
      </c>
      <c r="GA60" s="17">
        <f>FZ60*VLOOKUP('Données projet'!$B$17,Paramètres!$A$1:$I$89,3,0)*VLOOKUP('Données projet'!$B$17,Paramètres!$A$1:$I$89,5,0)</f>
        <v>200.40383999999992</v>
      </c>
      <c r="GB60" s="13">
        <f t="shared" si="49"/>
        <v>49.832909112305636</v>
      </c>
      <c r="GC60" s="20">
        <f t="shared" si="25"/>
        <v>435.82900470393218</v>
      </c>
      <c r="GD60" s="59">
        <f t="shared" si="26"/>
        <v>729.1623380372655</v>
      </c>
      <c r="GE60" s="59">
        <f ca="1">AVERAGE(OFFSET($GD$3,0,0,'Données projet'!$E$17+1,1))-AVERAGE(OFFSET($H$3,0,0,'Données projet'!$E$17+1,1))</f>
        <v>324.86930206492627</v>
      </c>
      <c r="GF60" s="59">
        <f t="shared" si="50"/>
        <v>317.03005098025352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21.537170321533203</v>
      </c>
      <c r="GM60" s="21">
        <f>EXP(-LN(2)/25)*GM59+(1-EXP(-LN(2)/25))/(LN(2)/25)*Calculateur!GH60*Calculateur!GJ60*VLOOKUP('Données projet'!$B$17,Paramètres!$A$1:$I$89,3,0)*0.475*44/12</f>
        <v>13.576669603151569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35.113839924684768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8.374198717948719</v>
      </c>
      <c r="GU60" s="12">
        <f>IF('Données projet'!$A$270&gt;35,GU59+GT60-HC59,IF(A60&lt;'Données projet'!$A$270,$GR$205^A60,IF(A60='Données projet'!$A$270,'Données projet'!$B$270,GU59+GT60-HC59)))</f>
        <v>170.04326923076928</v>
      </c>
      <c r="GV60" s="17">
        <f>GU60*VLOOKUP('Données projet'!$B$18,Paramètres!$A$1:$I$89,3,0)*VLOOKUP('Données projet'!$B$18,Paramètres!$A$1:$I$89,5,0)</f>
        <v>161.81317500000006</v>
      </c>
      <c r="GW60" s="13">
        <f t="shared" si="51"/>
        <v>41.251213488973178</v>
      </c>
      <c r="GX60" s="20">
        <f t="shared" si="28"/>
        <v>353.67047661829503</v>
      </c>
      <c r="GY60" s="59">
        <f t="shared" si="29"/>
        <v>647.00380995162834</v>
      </c>
      <c r="GZ60" s="59">
        <f ca="1">AVERAGE(OFFSET($GY$3,0,0,'Données projet'!$E$18+1,1))-AVERAGE(OFFSET($H$3,0,0,'Données projet'!$E$18+1,1))</f>
        <v>401.81944956556271</v>
      </c>
      <c r="HA60" s="59">
        <f t="shared" si="52"/>
        <v>292.20785523952651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0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178.41746794871801</v>
      </c>
      <c r="O61" s="13">
        <f>N61*VLOOKUP('Données projet'!$B$9,Paramètres!$A$1:$I$89,3,0)*VLOOKUP('Données projet'!$B$9,Paramètres!$A$1:$I$89,5,0)</f>
        <v>161.43212500000007</v>
      </c>
      <c r="P61" s="13">
        <f t="shared" si="33"/>
        <v>41.16536748337429</v>
      </c>
      <c r="Q61" s="20">
        <f t="shared" si="53"/>
        <v>352.85729940854367</v>
      </c>
      <c r="R61" s="59">
        <f t="shared" si="0"/>
        <v>646.19063274187693</v>
      </c>
      <c r="S61" s="59">
        <f ca="1">AVERAGE(OFFSET($R$3,0,0,'Données projet'!$E$9+1,1))-AVERAGE(OFFSET($H$3,0,0,'Données projet'!$E$9+1,1))</f>
        <v>384.05928630855732</v>
      </c>
      <c r="T61" s="59">
        <f t="shared" si="34"/>
        <v>279.93992813630513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-1.1368683772161603E-13</v>
      </c>
      <c r="AJ61" s="13">
        <f>AI61*VLOOKUP('Données projet'!$B$10,Paramètres!$A$1:$I$89,3,0)*VLOOKUP('Données projet'!$B$10,Paramètres!$A$1:$I$89,5,0)</f>
        <v>-6.3550942286383367E-14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335.04906256888819</v>
      </c>
      <c r="AO61" s="59">
        <f t="shared" si="36"/>
        <v>440.84111898279554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213.58301960016803</v>
      </c>
      <c r="AV61" s="21">
        <f>EXP(-LN(2)/25)*AV60+(1-EXP(-LN(2)/25))/(LN(2)/25)*Calculateur!AQ61*Calculateur!AS61*VLOOKUP('Données projet'!$B$10,Paramètres!$A$1:$I$89,3,0)*0.475*44/12</f>
        <v>53.009876074403138</v>
      </c>
      <c r="AW61" s="21">
        <f>EXP(-LN(2)/2)*AW60+(1-EXP(-LN(2)/2))/(LN(2)/2)*AQ61*AT61*VLOOKUP('Données projet'!$B$10,Paramètres!$A$1:$I$89,3,0)*0.475*44/12</f>
        <v>12.077844857741541</v>
      </c>
      <c r="AX61" s="21">
        <f t="shared" si="6"/>
        <v>278.67074053231272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342.81538461538463</v>
      </c>
      <c r="BB61" s="12">
        <f>VLOOKUP(A61,'Données projet'!$A$87:$I$107,9,0)</f>
        <v>9.2076923076923052</v>
      </c>
      <c r="BC61" s="12">
        <f t="array" ref="BC61">INDEX(BB:BB,MIN(IF(ISNUMBER(BB61:BB257),ROW(BB61:BB257),"")))</f>
        <v>9.2076923076923052</v>
      </c>
      <c r="BD61" s="12">
        <f>IF('Données projet'!$A$88&gt;35,BD60+BC61-BL60,IF(A61&lt;'Données projet'!$A$88,$BA$205^A61,IF(A61='Données projet'!$A$88,'Données projet'!$B$88,BD60+BC61-BL60)))</f>
        <v>342.81538461538457</v>
      </c>
      <c r="BE61" s="13">
        <f>BD61*VLOOKUP('Données projet'!$B$11,Paramètres!$A$1:$I$89,3,0)*VLOOKUP('Données projet'!$B$11,Paramètres!$A$1:$I$89,5,0)</f>
        <v>196.09039999999996</v>
      </c>
      <c r="BF61" s="13">
        <f t="shared" si="37"/>
        <v>48.883971272111502</v>
      </c>
      <c r="BG61" s="20">
        <f t="shared" si="7"/>
        <v>426.66369663226078</v>
      </c>
      <c r="BH61" s="59">
        <f t="shared" si="8"/>
        <v>719.99702996559404</v>
      </c>
      <c r="BI61" s="59">
        <f ca="1">AVERAGE(OFFSET($BH$3,0,0,'Données projet'!$E$11+1,1))-AVERAGE(OFFSET($H$3,0,0,'Données projet'!$E$11+1,1))</f>
        <v>320.76883487964511</v>
      </c>
      <c r="BJ61" s="59">
        <f t="shared" si="38"/>
        <v>290.51177680335746</v>
      </c>
      <c r="BK61" s="15">
        <f>IF(ISNA(VLOOKUP(A61,'Données projet'!$A$87:$I$107,3,0)),0,VLOOKUP(A61,'Données projet'!$A$87:$I$107,3,0))</f>
        <v>7</v>
      </c>
      <c r="BL61" s="15">
        <f>IF(ISNA(VLOOKUP(A61,'Données projet'!$A$87:$I$107,4,0)),0,VLOOKUP(A61,'Données projet'!$A$87:$I$107,4,0))</f>
        <v>45.669230769230765</v>
      </c>
      <c r="BM61" s="16">
        <f>IF(ISNA(VLOOKUP(A61,'Données projet'!$A$87:$I$107,5,0)),0%,VLOOKUP(A61,'Données projet'!$A$87:$I$107,5,0)*VLOOKUP('Données projet'!$B$11,Paramètres!$A$1:$I$89,7,0))</f>
        <v>0.315</v>
      </c>
      <c r="BN61" s="16">
        <f>IF(ISNA(VLOOKUP(A61,'Données projet'!$A$87:$I$107,6,0)),0%,VLOOKUP(A61,'Données projet'!$A$87:$I$107,6,0)*VLOOKUP('Données projet'!$B$11,Paramètres!$A$1:$I$89,7,0))</f>
        <v>7.6500000000000012E-2</v>
      </c>
      <c r="BO61" s="16">
        <f>IF(ISNA(VLOOKUP(A61,'Données projet'!$A$87:$I$107,7,0)),0%,VLOOKUP(A61,'Données projet'!$A$87:$I$107,7,0))</f>
        <v>0.13</v>
      </c>
      <c r="BP61" s="21">
        <f>EXP(-LN(2)/35)*BP60+(1-EXP(-LN(2)/35))/(LN(2)/35)*BL61*BM61*VLOOKUP('Données projet'!$B$11,Paramètres!$A$1:$I$89,3,0)*0.475*44/12</f>
        <v>37.78280421082863</v>
      </c>
      <c r="BQ61" s="21">
        <f>EXP(-LN(2)/25)*BQ60+(1-EXP(-LN(2)/25))/(LN(2)/25)*Calculateur!BL61*Calculateur!BN61*VLOOKUP('Données projet'!$B$11,Paramètres!$A$1:$I$89,3,0)*0.475*44/12</f>
        <v>14.393807398742069</v>
      </c>
      <c r="BR61" s="21">
        <f>EXP(-LN(2)/2)*BR60+(1-EXP(-LN(2)/2))/(LN(2)/2)*BL61*BO61*VLOOKUP('Données projet'!$B$11,Paramètres!$A$1:$I$89,3,0)*0.475*44/12</f>
        <v>4.095343655086956</v>
      </c>
      <c r="BS61" s="22">
        <f t="shared" si="9"/>
        <v>56.271955264657656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304.99999999999983</v>
      </c>
      <c r="BZ61" s="13">
        <f>BY61*VLOOKUP('Données projet'!$B$12,Paramètres!$A$1:$I$89,3,0)*VLOOKUP('Données projet'!$B$12,Paramètres!$A$1:$I$89,5,0)</f>
        <v>275.96399999999983</v>
      </c>
      <c r="CA61" s="13">
        <f t="shared" si="39"/>
        <v>66.113366665488854</v>
      </c>
      <c r="CB61" s="20">
        <f t="shared" si="10"/>
        <v>595.78474694239264</v>
      </c>
      <c r="CC61" s="59">
        <f t="shared" si="11"/>
        <v>889.11808027572602</v>
      </c>
      <c r="CD61" s="59">
        <f ca="1">AVERAGE(OFFSET($CC$3,0,0,'Données projet'!$E$12+1,1))-AVERAGE(OFFSET($H$3,0,0,'Données projet'!$E$12+1,1))</f>
        <v>366.69125512029831</v>
      </c>
      <c r="CE61" s="59">
        <f t="shared" si="40"/>
        <v>513.80016421153414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0.92830146825617632</v>
      </c>
      <c r="CL61" s="21">
        <f>EXP(-LN(2)/25)*CL60+(1-EXP(-LN(2)/25))/(LN(2)/25)*Calculateur!CG61*Calculateur!CI61*VLOOKUP('Données projet'!$B$12,Paramètres!$A$1:$I$89,3,0)*0.475*44/12</f>
        <v>3.3968747156951586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4.325176183951335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8.374198717948719</v>
      </c>
      <c r="CT61" s="12">
        <f>IF('Données projet'!$A$140&gt;35,CT60+CS61-DB60,IF(A61&lt;'Données projet'!$A$140,$CQ$205^A61,IF(A61='Données projet'!$A$140,'Données projet'!$B$140,CT60+CS61-DB60)))</f>
        <v>178.41746794871801</v>
      </c>
      <c r="CU61" s="17">
        <f>CT61*VLOOKUP('Données projet'!$B$13,Paramètres!$A$1:$I$89,3,0)*VLOOKUP('Données projet'!$B$13,Paramètres!$A$1:$I$89,5,0)</f>
        <v>119.68243750000005</v>
      </c>
      <c r="CV61" s="13">
        <f t="shared" si="41"/>
        <v>31.6009216371965</v>
      </c>
      <c r="CW61" s="20">
        <f t="shared" si="13"/>
        <v>263.4851838306173</v>
      </c>
      <c r="CX61" s="59">
        <f t="shared" si="14"/>
        <v>556.81851716395067</v>
      </c>
      <c r="CY61" s="59">
        <f ca="1">AVERAGE(OFFSET($CX$3,0,0,'Données projet'!$E$13+1,1))-AVERAGE(OFFSET($H$3,0,0,'Données projet'!$E$13+1,1))</f>
        <v>294.94331863127815</v>
      </c>
      <c r="CZ61" s="59">
        <f t="shared" si="42"/>
        <v>218.36990036643977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234.59999999999985</v>
      </c>
      <c r="DP61" s="17">
        <f>DO61*VLOOKUP('Données projet'!$B$14,Paramètres!$A$1:$I$89,3,0)*VLOOKUP('Données projet'!$B$14,Paramètres!$A$1:$I$89,5,0)</f>
        <v>172.0087199999999</v>
      </c>
      <c r="DQ61" s="13">
        <f t="shared" si="43"/>
        <v>43.539602012936164</v>
      </c>
      <c r="DR61" s="20">
        <f t="shared" si="16"/>
        <v>375.41332750586366</v>
      </c>
      <c r="DS61" s="59">
        <f t="shared" si="17"/>
        <v>668.74666083919692</v>
      </c>
      <c r="DT61" s="59">
        <f ca="1">AVERAGE(OFFSET($DS$3,0,0,'Données projet'!$E$14+1,1))-AVERAGE(OFFSET($H$3,0,0,'Données projet'!$E$14+1,1))</f>
        <v>278.45534008146865</v>
      </c>
      <c r="DU61" s="59">
        <f t="shared" si="44"/>
        <v>272.97841038165217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14.377725985955335</v>
      </c>
      <c r="EB61" s="21">
        <f>EXP(-LN(2)/25)*EB60+(1-EXP(-LN(2)/25))/(LN(2)/25)*Calculateur!DW61*Calculateur!DY61*VLOOKUP('Données projet'!$B$14,Paramètres!$A$1:$I$89,3,0)*0.475*44/12</f>
        <v>8.9919620720388629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23.369688057994196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8.374198717948719</v>
      </c>
      <c r="EJ61" s="12">
        <f>IF('Données projet'!$A$192&gt;35,EJ60+EI61-ER60,IF(A61&lt;'Données projet'!$A$192,$EG$205^A61,IF(A61='Données projet'!$A$192,'Données projet'!$B$192,EJ60+EI61-ER60)))</f>
        <v>178.41746794871801</v>
      </c>
      <c r="EK61" s="17">
        <f>EJ61*VLOOKUP('Données projet'!$B$15,Paramètres!$A$1:$I$89,3,0)*VLOOKUP('Données projet'!$B$15,Paramètres!$A$1:$I$89,5,0)</f>
        <v>192.04856250000006</v>
      </c>
      <c r="EL61" s="13">
        <f t="shared" si="45"/>
        <v>47.99257786488721</v>
      </c>
      <c r="EM61" s="20">
        <f t="shared" si="19"/>
        <v>418.07165280217868</v>
      </c>
      <c r="EN61" s="59">
        <f t="shared" si="20"/>
        <v>711.40498613551199</v>
      </c>
      <c r="EO61" s="59">
        <f ca="1">AVERAGE(OFFSET($EN$3,0,0,'Données projet'!$E$15+1,1))-AVERAGE(OFFSET($H$3,0,0,'Données projet'!$E$15+1,1))</f>
        <v>449.09332781196957</v>
      </c>
      <c r="EP61" s="59">
        <f t="shared" si="46"/>
        <v>324.85904971519432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8.374198717948719</v>
      </c>
      <c r="FE61" s="12">
        <f>IF('Données projet'!$A$218&gt;35,FE60+FD61-FM60,IF(A61&lt;'Données projet'!$A$218,$FB$205^A61,IF(A61='Données projet'!$A$218,'Données projet'!$B$218,FE60+FD61-FM60)))</f>
        <v>178.41746794871801</v>
      </c>
      <c r="FF61" s="17">
        <f>FE61*VLOOKUP('Données projet'!$B$16,Paramètres!$A$1:$I$89,3,0)*VLOOKUP('Données projet'!$B$16,Paramètres!$A$1:$I$89,5,0)</f>
        <v>180.91531250000008</v>
      </c>
      <c r="FG61" s="13">
        <f t="shared" si="47"/>
        <v>45.525766180401902</v>
      </c>
      <c r="FH61" s="20">
        <f t="shared" si="22"/>
        <v>394.38487870170007</v>
      </c>
      <c r="FI61" s="59">
        <f t="shared" si="23"/>
        <v>687.71821203503339</v>
      </c>
      <c r="FJ61" s="59">
        <f ca="1">AVERAGE(OFFSET($FI$3,0,0,'Données projet'!$E$16+1,1))-AVERAGE(OFFSET($H$3,0,0,'Données projet'!$E$16+1,1))</f>
        <v>419.51168383014721</v>
      </c>
      <c r="FK61" s="59">
        <f t="shared" si="48"/>
        <v>213.44145308833384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5.2</v>
      </c>
      <c r="FZ61" s="12">
        <f>IF('Données projet'!$A$244&gt;35,FZ60+FY61-GH60,IF(A61&lt;'Données projet'!$A$244,$FW$205^A61,IF(A61='Données projet'!$A$244,'Données projet'!$B$244,FZ60+FY61-GH60)))</f>
        <v>234.59999999999985</v>
      </c>
      <c r="GA61" s="17">
        <f>FZ61*VLOOKUP('Données projet'!$B$17,Paramètres!$A$1:$I$89,3,0)*VLOOKUP('Données projet'!$B$17,Paramètres!$A$1:$I$89,5,0)</f>
        <v>204.94655999999989</v>
      </c>
      <c r="GB61" s="13">
        <f t="shared" si="49"/>
        <v>50.829721281867236</v>
      </c>
      <c r="GC61" s="20">
        <f t="shared" si="25"/>
        <v>445.47702323258522</v>
      </c>
      <c r="GD61" s="59">
        <f t="shared" si="26"/>
        <v>738.81035656591848</v>
      </c>
      <c r="GE61" s="59">
        <f ca="1">AVERAGE(OFFSET($GD$3,0,0,'Données projet'!$E$17+1,1))-AVERAGE(OFFSET($H$3,0,0,'Données projet'!$E$17+1,1))</f>
        <v>324.86930206492627</v>
      </c>
      <c r="GF61" s="59">
        <f t="shared" si="50"/>
        <v>317.03005098025352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21.114839547904722</v>
      </c>
      <c r="GM61" s="21">
        <f>EXP(-LN(2)/25)*GM60+(1-EXP(-LN(2)/25))/(LN(2)/25)*Calculateur!GH61*Calculateur!GJ61*VLOOKUP('Données projet'!$B$17,Paramètres!$A$1:$I$89,3,0)*0.475*44/12</f>
        <v>13.205414858887364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34.320254406792088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8.374198717948719</v>
      </c>
      <c r="GU61" s="12">
        <f>IF('Données projet'!$A$270&gt;35,GU60+GT61-HC60,IF(A61&lt;'Données projet'!$A$270,$GR$205^A61,IF(A61='Données projet'!$A$270,'Données projet'!$B$270,GU60+GT61-HC60)))</f>
        <v>178.41746794871801</v>
      </c>
      <c r="GV61" s="17">
        <f>GU61*VLOOKUP('Données projet'!$B$18,Paramètres!$A$1:$I$89,3,0)*VLOOKUP('Données projet'!$B$18,Paramètres!$A$1:$I$89,5,0)</f>
        <v>169.78206250000005</v>
      </c>
      <c r="GW61" s="13">
        <f t="shared" si="51"/>
        <v>43.041209191560064</v>
      </c>
      <c r="GX61" s="20">
        <f t="shared" si="28"/>
        <v>370.66719819613382</v>
      </c>
      <c r="GY61" s="59">
        <f t="shared" si="29"/>
        <v>664.00053152946714</v>
      </c>
      <c r="GZ61" s="59">
        <f ca="1">AVERAGE(OFFSET($GY$3,0,0,'Données projet'!$E$18+1,1))-AVERAGE(OFFSET($H$3,0,0,'Données projet'!$E$18+1,1))</f>
        <v>401.81944956556271</v>
      </c>
      <c r="HA61" s="59">
        <f t="shared" si="52"/>
        <v>292.20785523952651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0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186.79166666666674</v>
      </c>
      <c r="O62" s="13">
        <f>N62*VLOOKUP('Données projet'!$B$9,Paramètres!$A$1:$I$89,3,0)*VLOOKUP('Données projet'!$B$9,Paramètres!$A$1:$I$89,5,0)</f>
        <v>169.00910000000005</v>
      </c>
      <c r="P62" s="13">
        <f t="shared" si="33"/>
        <v>42.868019497909927</v>
      </c>
      <c r="Q62" s="20">
        <f t="shared" si="53"/>
        <v>369.01931645885981</v>
      </c>
      <c r="R62" s="59">
        <f t="shared" si="0"/>
        <v>662.35264979219312</v>
      </c>
      <c r="S62" s="59">
        <f ca="1">AVERAGE(OFFSET($R$3,0,0,'Données projet'!$E$9+1,1))-AVERAGE(OFFSET($H$3,0,0,'Données projet'!$E$9+1,1))</f>
        <v>384.05928630855732</v>
      </c>
      <c r="T62" s="59">
        <f t="shared" si="34"/>
        <v>279.93992813630513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-1.1368683772161603E-13</v>
      </c>
      <c r="AJ62" s="13">
        <f>AI62*VLOOKUP('Données projet'!$B$10,Paramètres!$A$1:$I$89,3,0)*VLOOKUP('Données projet'!$B$10,Paramètres!$A$1:$I$89,5,0)</f>
        <v>-6.3550942286383367E-14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335.04906256888819</v>
      </c>
      <c r="AO62" s="59">
        <f t="shared" si="36"/>
        <v>440.84111898279554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209.39478685858731</v>
      </c>
      <c r="AV62" s="21">
        <f>EXP(-LN(2)/25)*AV61+(1-EXP(-LN(2)/25))/(LN(2)/25)*Calculateur!AQ62*Calculateur!AS62*VLOOKUP('Données projet'!$B$10,Paramètres!$A$1:$I$89,3,0)*0.475*44/12</f>
        <v>51.560318225480358</v>
      </c>
      <c r="AW62" s="21">
        <f>EXP(-LN(2)/2)*AW61+(1-EXP(-LN(2)/2))/(LN(2)/2)*AQ62*AT62*VLOOKUP('Données projet'!$B$10,Paramètres!$A$1:$I$89,3,0)*0.475*44/12</f>
        <v>8.5403260010281166</v>
      </c>
      <c r="AX62" s="21">
        <f t="shared" si="6"/>
        <v>269.49543108509579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8.0507692307692249</v>
      </c>
      <c r="BD62" s="12">
        <f>IF('Données projet'!$A$88&gt;35,BD61+BC62-BL61,IF(A62&lt;'Données projet'!$A$88,$BA$205^A62,IF(A62='Données projet'!$A$88,'Données projet'!$B$88,BD61+BC62-BL61)))</f>
        <v>305.19692307692304</v>
      </c>
      <c r="BE62" s="13">
        <f>BD62*VLOOKUP('Données projet'!$B$11,Paramètres!$A$1:$I$89,3,0)*VLOOKUP('Données projet'!$B$11,Paramètres!$A$1:$I$89,5,0)</f>
        <v>174.57263999999998</v>
      </c>
      <c r="BF62" s="13">
        <f t="shared" si="37"/>
        <v>44.112555441999305</v>
      </c>
      <c r="BG62" s="20">
        <f t="shared" si="7"/>
        <v>380.87671539481539</v>
      </c>
      <c r="BH62" s="59">
        <f t="shared" si="8"/>
        <v>674.21004872814865</v>
      </c>
      <c r="BI62" s="59">
        <f ca="1">AVERAGE(OFFSET($BH$3,0,0,'Données projet'!$E$11+1,1))-AVERAGE(OFFSET($H$3,0,0,'Données projet'!$E$11+1,1))</f>
        <v>320.76883487964511</v>
      </c>
      <c r="BJ62" s="59">
        <f t="shared" si="38"/>
        <v>290.51177680335746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37.041906465489319</v>
      </c>
      <c r="BQ62" s="21">
        <f>EXP(-LN(2)/25)*BQ61+(1-EXP(-LN(2)/25))/(LN(2)/25)*Calculateur!BL62*Calculateur!BN62*VLOOKUP('Données projet'!$B$11,Paramètres!$A$1:$I$89,3,0)*0.475*44/12</f>
        <v>14.000207978486033</v>
      </c>
      <c r="BR62" s="21">
        <f>EXP(-LN(2)/2)*BR61+(1-EXP(-LN(2)/2))/(LN(2)/2)*BL62*BO62*VLOOKUP('Données projet'!$B$11,Paramètres!$A$1:$I$89,3,0)*0.475*44/12</f>
        <v>2.895845269801288</v>
      </c>
      <c r="BS62" s="22">
        <f t="shared" si="9"/>
        <v>53.937959713776635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304.99999999999983</v>
      </c>
      <c r="BZ62" s="13">
        <f>BY62*VLOOKUP('Données projet'!$B$12,Paramètres!$A$1:$I$89,3,0)*VLOOKUP('Données projet'!$B$12,Paramètres!$A$1:$I$89,5,0)</f>
        <v>275.96399999999983</v>
      </c>
      <c r="CA62" s="13">
        <f t="shared" si="39"/>
        <v>66.113366665488854</v>
      </c>
      <c r="CB62" s="20">
        <f t="shared" si="10"/>
        <v>595.78474694239264</v>
      </c>
      <c r="CC62" s="59">
        <f t="shared" si="11"/>
        <v>889.11808027572602</v>
      </c>
      <c r="CD62" s="59">
        <f ca="1">AVERAGE(OFFSET($CC$3,0,0,'Données projet'!$E$12+1,1))-AVERAGE(OFFSET($H$3,0,0,'Données projet'!$E$12+1,1))</f>
        <v>366.69125512029831</v>
      </c>
      <c r="CE62" s="59">
        <f t="shared" si="40"/>
        <v>513.80016421153414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0.91009804267165995</v>
      </c>
      <c r="CL62" s="21">
        <f>EXP(-LN(2)/25)*CL61+(1-EXP(-LN(2)/25))/(LN(2)/25)*Calculateur!CG62*Calculateur!CI62*VLOOKUP('Données projet'!$B$12,Paramètres!$A$1:$I$89,3,0)*0.475*44/12</f>
        <v>3.3039869979605969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4.2140850406322565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8.374198717948719</v>
      </c>
      <c r="CT62" s="12">
        <f>IF('Données projet'!$A$140&gt;35,CT61+CS62-DB61,IF(A62&lt;'Données projet'!$A$140,$CQ$205^A62,IF(A62='Données projet'!$A$140,'Données projet'!$B$140,CT61+CS62-DB61)))</f>
        <v>186.79166666666674</v>
      </c>
      <c r="CU62" s="17">
        <f>CT62*VLOOKUP('Données projet'!$B$13,Paramètres!$A$1:$I$89,3,0)*VLOOKUP('Données projet'!$B$13,Paramètres!$A$1:$I$89,5,0)</f>
        <v>125.29985000000006</v>
      </c>
      <c r="CV62" s="13">
        <f t="shared" si="41"/>
        <v>32.907975993227389</v>
      </c>
      <c r="CW62" s="20">
        <f t="shared" si="13"/>
        <v>275.5452969382045</v>
      </c>
      <c r="CX62" s="59">
        <f t="shared" si="14"/>
        <v>568.87863027153776</v>
      </c>
      <c r="CY62" s="59">
        <f ca="1">AVERAGE(OFFSET($CX$3,0,0,'Données projet'!$E$13+1,1))-AVERAGE(OFFSET($H$3,0,0,'Données projet'!$E$13+1,1))</f>
        <v>294.94331863127815</v>
      </c>
      <c r="CZ62" s="59">
        <f t="shared" si="42"/>
        <v>218.36990036643977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239.79999999999984</v>
      </c>
      <c r="DP62" s="17">
        <f>DO62*VLOOKUP('Données projet'!$B$14,Paramètres!$A$1:$I$89,3,0)*VLOOKUP('Données projet'!$B$14,Paramètres!$A$1:$I$89,5,0)</f>
        <v>175.82135999999988</v>
      </c>
      <c r="DQ62" s="13">
        <f t="shared" si="43"/>
        <v>44.391248695306977</v>
      </c>
      <c r="DR62" s="20">
        <f t="shared" si="16"/>
        <v>383.53696014432609</v>
      </c>
      <c r="DS62" s="59">
        <f t="shared" si="17"/>
        <v>676.8702934776594</v>
      </c>
      <c r="DT62" s="59">
        <f ca="1">AVERAGE(OFFSET($DS$3,0,0,'Données projet'!$E$14+1,1))-AVERAGE(OFFSET($H$3,0,0,'Données projet'!$E$14+1,1))</f>
        <v>278.45534008146865</v>
      </c>
      <c r="DU62" s="59">
        <f t="shared" si="44"/>
        <v>272.97841038165217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14.095787548917681</v>
      </c>
      <c r="EB62" s="21">
        <f>EXP(-LN(2)/25)*EB61+(1-EXP(-LN(2)/25))/(LN(2)/25)*Calculateur!DW62*Calculateur!DY62*VLOOKUP('Données projet'!$B$14,Paramètres!$A$1:$I$89,3,0)*0.475*44/12</f>
        <v>8.7460763963122261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22.841863945229907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8.374198717948719</v>
      </c>
      <c r="EJ62" s="12">
        <f>IF('Données projet'!$A$192&gt;35,EJ61+EI62-ER61,IF(A62&lt;'Données projet'!$A$192,$EG$205^A62,IF(A62='Données projet'!$A$192,'Données projet'!$B$192,EJ61+EI62-ER61)))</f>
        <v>186.79166666666674</v>
      </c>
      <c r="EK62" s="17">
        <f>EJ62*VLOOKUP('Données projet'!$B$15,Paramètres!$A$1:$I$89,3,0)*VLOOKUP('Données projet'!$B$15,Paramètres!$A$1:$I$89,5,0)</f>
        <v>201.06255000000007</v>
      </c>
      <c r="EL62" s="13">
        <f t="shared" si="45"/>
        <v>49.977611993816417</v>
      </c>
      <c r="EM62" s="20">
        <f t="shared" si="19"/>
        <v>437.22828213923043</v>
      </c>
      <c r="EN62" s="59">
        <f t="shared" si="20"/>
        <v>730.56161547256374</v>
      </c>
      <c r="EO62" s="59">
        <f ca="1">AVERAGE(OFFSET($EN$3,0,0,'Données projet'!$E$15+1,1))-AVERAGE(OFFSET($H$3,0,0,'Données projet'!$E$15+1,1))</f>
        <v>449.09332781196957</v>
      </c>
      <c r="EP62" s="59">
        <f t="shared" si="46"/>
        <v>324.85904971519432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8.374198717948719</v>
      </c>
      <c r="FE62" s="12">
        <f>IF('Données projet'!$A$218&gt;35,FE61+FD62-FM61,IF(A62&lt;'Données projet'!$A$218,$FB$205^A62,IF(A62='Données projet'!$A$218,'Données projet'!$B$218,FE61+FD62-FM61)))</f>
        <v>186.79166666666674</v>
      </c>
      <c r="FF62" s="17">
        <f>FE62*VLOOKUP('Données projet'!$B$16,Paramètres!$A$1:$I$89,3,0)*VLOOKUP('Données projet'!$B$16,Paramètres!$A$1:$I$89,5,0)</f>
        <v>189.40675000000007</v>
      </c>
      <c r="FG62" s="13">
        <f t="shared" si="47"/>
        <v>47.408769837095797</v>
      </c>
      <c r="FH62" s="20">
        <f t="shared" si="22"/>
        <v>412.45369704960859</v>
      </c>
      <c r="FI62" s="59">
        <f t="shared" si="23"/>
        <v>705.78703038294191</v>
      </c>
      <c r="FJ62" s="59">
        <f ca="1">AVERAGE(OFFSET($FI$3,0,0,'Données projet'!$E$16+1,1))-AVERAGE(OFFSET($H$3,0,0,'Données projet'!$E$16+1,1))</f>
        <v>419.51168383014721</v>
      </c>
      <c r="FK62" s="59">
        <f t="shared" si="48"/>
        <v>213.44145308833384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5.2</v>
      </c>
      <c r="FZ62" s="12">
        <f>IF('Données projet'!$A$244&gt;35,FZ61+FY62-GH61,IF(A62&lt;'Données projet'!$A$244,$FW$205^A62,IF(A62='Données projet'!$A$244,'Données projet'!$B$244,FZ61+FY62-GH61)))</f>
        <v>239.79999999999984</v>
      </c>
      <c r="GA62" s="17">
        <f>FZ62*VLOOKUP('Données projet'!$B$17,Paramètres!$A$1:$I$89,3,0)*VLOOKUP('Données projet'!$B$17,Paramètres!$A$1:$I$89,5,0)</f>
        <v>209.48927999999989</v>
      </c>
      <c r="GB62" s="13">
        <f t="shared" si="49"/>
        <v>51.823964717594365</v>
      </c>
      <c r="GC62" s="20">
        <f t="shared" si="25"/>
        <v>455.12056788314334</v>
      </c>
      <c r="GD62" s="59">
        <f t="shared" si="26"/>
        <v>748.45390121647665</v>
      </c>
      <c r="GE62" s="59">
        <f ca="1">AVERAGE(OFFSET($GD$3,0,0,'Données projet'!$E$17+1,1))-AVERAGE(OFFSET($H$3,0,0,'Données projet'!$E$17+1,1))</f>
        <v>324.86930206492627</v>
      </c>
      <c r="GF62" s="59">
        <f t="shared" si="50"/>
        <v>317.03005098025352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20.70079042315076</v>
      </c>
      <c r="GM62" s="21">
        <f>EXP(-LN(2)/25)*GM61+(1-EXP(-LN(2)/25))/(LN(2)/25)*Calculateur!GH62*Calculateur!GJ62*VLOOKUP('Données projet'!$B$17,Paramètres!$A$1:$I$89,3,0)*0.475*44/12</f>
        <v>12.844312095128503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33.545102518279265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8.374198717948719</v>
      </c>
      <c r="GU62" s="12">
        <f>IF('Données projet'!$A$270&gt;35,GU61+GT62-HC61,IF(A62&lt;'Données projet'!$A$270,$GR$205^A62,IF(A62='Données projet'!$A$270,'Données projet'!$B$270,GU61+GT62-HC61)))</f>
        <v>186.79166666666674</v>
      </c>
      <c r="GV62" s="17">
        <f>GU62*VLOOKUP('Données projet'!$B$18,Paramètres!$A$1:$I$89,3,0)*VLOOKUP('Données projet'!$B$18,Paramètres!$A$1:$I$89,5,0)</f>
        <v>177.75095000000007</v>
      </c>
      <c r="GW62" s="13">
        <f t="shared" si="51"/>
        <v>44.821448407635543</v>
      </c>
      <c r="GX62" s="20">
        <f t="shared" si="28"/>
        <v>387.64692722663199</v>
      </c>
      <c r="GY62" s="59">
        <f t="shared" si="29"/>
        <v>680.98026055996525</v>
      </c>
      <c r="GZ62" s="59">
        <f ca="1">AVERAGE(OFFSET($GY$3,0,0,'Données projet'!$E$18+1,1))-AVERAGE(OFFSET($H$3,0,0,'Données projet'!$E$18+1,1))</f>
        <v>401.81944956556271</v>
      </c>
      <c r="HA62" s="59">
        <f t="shared" si="52"/>
        <v>292.20785523952651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0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195.16586538461547</v>
      </c>
      <c r="O63" s="13">
        <f>N63*VLOOKUP('Données projet'!$B$9,Paramètres!$A$1:$I$89,3,0)*VLOOKUP('Données projet'!$B$9,Paramètres!$A$1:$I$89,5,0)</f>
        <v>176.58607500000008</v>
      </c>
      <c r="P63" s="13">
        <f t="shared" si="33"/>
        <v>44.561806372041367</v>
      </c>
      <c r="Q63" s="20">
        <f t="shared" si="53"/>
        <v>385.16589338963877</v>
      </c>
      <c r="R63" s="59">
        <f t="shared" si="0"/>
        <v>678.49922672297203</v>
      </c>
      <c r="S63" s="59">
        <f ca="1">AVERAGE(OFFSET($R$3,0,0,'Données projet'!$E$9+1,1))-AVERAGE(OFFSET($H$3,0,0,'Données projet'!$E$9+1,1))</f>
        <v>384.05928630855732</v>
      </c>
      <c r="T63" s="59">
        <f t="shared" si="34"/>
        <v>279.93992813630513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-1.1368683772161603E-13</v>
      </c>
      <c r="AJ63" s="13">
        <f>AI63*VLOOKUP('Données projet'!$B$10,Paramètres!$A$1:$I$89,3,0)*VLOOKUP('Données projet'!$B$10,Paramètres!$A$1:$I$89,5,0)</f>
        <v>-6.3550942286383367E-14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335.04906256888819</v>
      </c>
      <c r="AO63" s="59">
        <f t="shared" si="36"/>
        <v>440.84111898279554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205.28868280649928</v>
      </c>
      <c r="AV63" s="21">
        <f>EXP(-LN(2)/25)*AV62+(1-EXP(-LN(2)/25))/(LN(2)/25)*Calculateur!AQ63*Calculateur!AS63*VLOOKUP('Données projet'!$B$10,Paramètres!$A$1:$I$89,3,0)*0.475*44/12</f>
        <v>50.150398612165304</v>
      </c>
      <c r="AW63" s="21">
        <f>EXP(-LN(2)/2)*AW62+(1-EXP(-LN(2)/2))/(LN(2)/2)*AQ63*AT63*VLOOKUP('Données projet'!$B$10,Paramètres!$A$1:$I$89,3,0)*0.475*44/12</f>
        <v>6.0389224288707712</v>
      </c>
      <c r="AX63" s="21">
        <f t="shared" si="6"/>
        <v>261.47800384753538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8.0507692307692249</v>
      </c>
      <c r="BD63" s="12">
        <f>IF('Données projet'!$A$88&gt;35,BD62+BC63-BL62,IF(A63&lt;'Données projet'!$A$88,$BA$205^A63,IF(A63='Données projet'!$A$88,'Données projet'!$B$88,BD62+BC63-BL62)))</f>
        <v>313.24769230769226</v>
      </c>
      <c r="BE63" s="13">
        <f>BD63*VLOOKUP('Données projet'!$B$11,Paramètres!$A$1:$I$89,3,0)*VLOOKUP('Données projet'!$B$11,Paramètres!$A$1:$I$89,5,0)</f>
        <v>179.17767999999998</v>
      </c>
      <c r="BF63" s="13">
        <f t="shared" si="37"/>
        <v>45.139186390353657</v>
      </c>
      <c r="BG63" s="20">
        <f t="shared" si="7"/>
        <v>390.68520896319927</v>
      </c>
      <c r="BH63" s="59">
        <f t="shared" si="8"/>
        <v>684.01854229653259</v>
      </c>
      <c r="BI63" s="59">
        <f ca="1">AVERAGE(OFFSET($BH$3,0,0,'Données projet'!$E$11+1,1))-AVERAGE(OFFSET($H$3,0,0,'Données projet'!$E$11+1,1))</f>
        <v>320.76883487964511</v>
      </c>
      <c r="BJ63" s="59">
        <f t="shared" si="38"/>
        <v>290.51177680335746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36.315537273033108</v>
      </c>
      <c r="BQ63" s="21">
        <f>EXP(-LN(2)/25)*BQ62+(1-EXP(-LN(2)/25))/(LN(2)/25)*Calculateur!BL63*Calculateur!BN63*VLOOKUP('Données projet'!$B$11,Paramètres!$A$1:$I$89,3,0)*0.475*44/12</f>
        <v>13.617371555075392</v>
      </c>
      <c r="BR63" s="21">
        <f>EXP(-LN(2)/2)*BR62+(1-EXP(-LN(2)/2))/(LN(2)/2)*BL63*BO63*VLOOKUP('Données projet'!$B$11,Paramètres!$A$1:$I$89,3,0)*0.475*44/12</f>
        <v>2.047671827543478</v>
      </c>
      <c r="BS63" s="22">
        <f t="shared" si="9"/>
        <v>51.980580655651977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304.99999999999983</v>
      </c>
      <c r="BZ63" s="13">
        <f>BY63*VLOOKUP('Données projet'!$B$12,Paramètres!$A$1:$I$89,3,0)*VLOOKUP('Données projet'!$B$12,Paramètres!$A$1:$I$89,5,0)</f>
        <v>275.96399999999983</v>
      </c>
      <c r="CA63" s="13">
        <f t="shared" si="39"/>
        <v>66.113366665488854</v>
      </c>
      <c r="CB63" s="20">
        <f t="shared" si="10"/>
        <v>595.78474694239264</v>
      </c>
      <c r="CC63" s="59">
        <f t="shared" si="11"/>
        <v>889.11808027572602</v>
      </c>
      <c r="CD63" s="59">
        <f ca="1">AVERAGE(OFFSET($CC$3,0,0,'Données projet'!$E$12+1,1))-AVERAGE(OFFSET($H$3,0,0,'Données projet'!$E$12+1,1))</f>
        <v>366.69125512029831</v>
      </c>
      <c r="CE63" s="59">
        <f t="shared" si="40"/>
        <v>513.80016421153414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0.89225157515986264</v>
      </c>
      <c r="CL63" s="21">
        <f>EXP(-LN(2)/25)*CL62+(1-EXP(-LN(2)/25))/(LN(2)/25)*Calculateur!CG63*Calculateur!CI63*VLOOKUP('Données projet'!$B$12,Paramètres!$A$1:$I$89,3,0)*0.475*44/12</f>
        <v>3.2136392997522396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4.1058908749121024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8.374198717948719</v>
      </c>
      <c r="CT63" s="12">
        <f>IF('Données projet'!$A$140&gt;35,CT62+CS63-DB62,IF(A63&lt;'Données projet'!$A$140,$CQ$205^A63,IF(A63='Données projet'!$A$140,'Données projet'!$B$140,CT62+CS63-DB62)))</f>
        <v>195.16586538461547</v>
      </c>
      <c r="CU63" s="17">
        <f>CT63*VLOOKUP('Données projet'!$B$13,Paramètres!$A$1:$I$89,3,0)*VLOOKUP('Données projet'!$B$13,Paramètres!$A$1:$I$89,5,0)</f>
        <v>130.91726250000008</v>
      </c>
      <c r="CV63" s="13">
        <f t="shared" si="41"/>
        <v>34.208224953743922</v>
      </c>
      <c r="CW63" s="20">
        <f t="shared" si="13"/>
        <v>287.59355731527074</v>
      </c>
      <c r="CX63" s="59">
        <f t="shared" si="14"/>
        <v>580.92689064860406</v>
      </c>
      <c r="CY63" s="59">
        <f ca="1">AVERAGE(OFFSET($CX$3,0,0,'Données projet'!$E$13+1,1))-AVERAGE(OFFSET($H$3,0,0,'Données projet'!$E$13+1,1))</f>
        <v>294.94331863127815</v>
      </c>
      <c r="CZ63" s="59">
        <f t="shared" si="42"/>
        <v>218.36990036643977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245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244.99999999999983</v>
      </c>
      <c r="DP63" s="17">
        <f>DO63*VLOOKUP('Données projet'!$B$14,Paramètres!$A$1:$I$89,3,0)*VLOOKUP('Données projet'!$B$14,Paramètres!$A$1:$I$89,5,0)</f>
        <v>179.63399999999987</v>
      </c>
      <c r="DQ63" s="13">
        <f t="shared" si="43"/>
        <v>45.240748266194686</v>
      </c>
      <c r="DR63" s="20">
        <f t="shared" si="16"/>
        <v>391.65685323028885</v>
      </c>
      <c r="DS63" s="59">
        <f t="shared" si="17"/>
        <v>684.99018656362216</v>
      </c>
      <c r="DT63" s="59">
        <f ca="1">AVERAGE(OFFSET($DS$3,0,0,'Données projet'!$E$14+1,1))-AVERAGE(OFFSET($H$3,0,0,'Données projet'!$E$14+1,1))</f>
        <v>278.45534008146865</v>
      </c>
      <c r="DU63" s="59">
        <f t="shared" si="44"/>
        <v>272.97841038165217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0.3569</v>
      </c>
      <c r="DY63" s="16">
        <f>IF(ISNA(VLOOKUP(A63,'Données projet'!$A$165:$I$185,6,0)),0%,VLOOKUP(A63,'Données projet'!$A$165:$I$185,6,0)*VLOOKUP('Données projet'!$B$14,Paramètres!$A$1:$I$89,7,0))</f>
        <v>3.44E-2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17.290719415266068</v>
      </c>
      <c r="EB63" s="21">
        <f>EXP(-LN(2)/25)*EB62+(1-EXP(-LN(2)/25))/(LN(2)/25)*Calculateur!DW63*Calculateur!DY63*VLOOKUP('Données projet'!$B$14,Paramètres!$A$1:$I$89,3,0)*0.475*44/12</f>
        <v>8.8401842284312533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26.130903643697323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8.374198717948719</v>
      </c>
      <c r="EJ63" s="12">
        <f>IF('Données projet'!$A$192&gt;35,EJ62+EI63-ER62,IF(A63&lt;'Données projet'!$A$192,$EG$205^A63,IF(A63='Données projet'!$A$192,'Données projet'!$B$192,EJ62+EI63-ER62)))</f>
        <v>195.16586538461547</v>
      </c>
      <c r="EK63" s="17">
        <f>EJ63*VLOOKUP('Données projet'!$B$15,Paramètres!$A$1:$I$89,3,0)*VLOOKUP('Données projet'!$B$15,Paramètres!$A$1:$I$89,5,0)</f>
        <v>210.07653750000009</v>
      </c>
      <c r="EL63" s="13">
        <f t="shared" si="45"/>
        <v>51.952310712978978</v>
      </c>
      <c r="EM63" s="20">
        <f t="shared" si="19"/>
        <v>456.36691063760526</v>
      </c>
      <c r="EN63" s="59">
        <f t="shared" si="20"/>
        <v>749.70024397093857</v>
      </c>
      <c r="EO63" s="59">
        <f ca="1">AVERAGE(OFFSET($EN$3,0,0,'Données projet'!$E$15+1,1))-AVERAGE(OFFSET($H$3,0,0,'Données projet'!$E$15+1,1))</f>
        <v>449.09332781196957</v>
      </c>
      <c r="EP63" s="59">
        <f t="shared" si="46"/>
        <v>324.85904971519432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8.374198717948719</v>
      </c>
      <c r="FE63" s="12">
        <f>IF('Données projet'!$A$218&gt;35,FE62+FD63-FM62,IF(A63&lt;'Données projet'!$A$218,$FB$205^A63,IF(A63='Données projet'!$A$218,'Données projet'!$B$218,FE62+FD63-FM62)))</f>
        <v>195.16586538461547</v>
      </c>
      <c r="FF63" s="17">
        <f>FE63*VLOOKUP('Données projet'!$B$16,Paramètres!$A$1:$I$89,3,0)*VLOOKUP('Données projet'!$B$16,Paramètres!$A$1:$I$89,5,0)</f>
        <v>197.89818750000012</v>
      </c>
      <c r="FG63" s="13">
        <f t="shared" si="47"/>
        <v>49.281969322616803</v>
      </c>
      <c r="FH63" s="20">
        <f t="shared" si="22"/>
        <v>430.50543979939113</v>
      </c>
      <c r="FI63" s="59">
        <f t="shared" si="23"/>
        <v>723.83877313272444</v>
      </c>
      <c r="FJ63" s="59">
        <f ca="1">AVERAGE(OFFSET($FI$3,0,0,'Données projet'!$E$16+1,1))-AVERAGE(OFFSET($H$3,0,0,'Données projet'!$E$16+1,1))</f>
        <v>419.51168383014721</v>
      </c>
      <c r="FK63" s="59">
        <f t="shared" si="48"/>
        <v>213.44145308833384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245</v>
      </c>
      <c r="FX63" s="12">
        <f>VLOOKUP(A63,'Données projet'!$A$243:$I$263,9,0)</f>
        <v>5.2</v>
      </c>
      <c r="FY63" s="12">
        <f t="array" ref="FY63">INDEX(FX:FX,MIN(IF(ISNUMBER(FX63:FX259),ROW(FX63:FX259),"")))</f>
        <v>5.2</v>
      </c>
      <c r="FZ63" s="12">
        <f>IF('Données projet'!$A$244&gt;35,FZ62+FY63-GH62,IF(A63&lt;'Données projet'!$A$244,$FW$205^A63,IF(A63='Données projet'!$A$244,'Données projet'!$B$244,FZ62+FY63-GH62)))</f>
        <v>244.99999999999983</v>
      </c>
      <c r="GA63" s="17">
        <f>FZ63*VLOOKUP('Données projet'!$B$17,Paramètres!$A$1:$I$89,3,0)*VLOOKUP('Données projet'!$B$17,Paramètres!$A$1:$I$89,5,0)</f>
        <v>214.03199999999987</v>
      </c>
      <c r="GB63" s="13">
        <f t="shared" si="49"/>
        <v>52.815701536972192</v>
      </c>
      <c r="GC63" s="20">
        <f t="shared" si="25"/>
        <v>464.7597468435597</v>
      </c>
      <c r="GD63" s="59">
        <f t="shared" si="26"/>
        <v>758.09308017689295</v>
      </c>
      <c r="GE63" s="59">
        <f ca="1">AVERAGE(OFFSET($GD$3,0,0,'Données projet'!$E$17+1,1))-AVERAGE(OFFSET($H$3,0,0,'Données projet'!$E$17+1,1))</f>
        <v>324.86930206492627</v>
      </c>
      <c r="GF63" s="59">
        <f t="shared" si="50"/>
        <v>317.03005098025352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12</v>
      </c>
      <c r="GI63" s="16">
        <f>IF(ISNA(VLOOKUP(A63,'Données projet'!$A$243:$I$263,5,0)),0%,VLOOKUP(A63,'Données projet'!$A$243:$I$263,5,0)*VLOOKUP('Données projet'!$B$17,Paramètres!$A$1:$I$89,7,0))</f>
        <v>0.43990000000000001</v>
      </c>
      <c r="GJ63" s="16">
        <f>IF(ISNA(VLOOKUP(A63,'Données projet'!$A$243:$I$263,6,0)),0%,VLOOKUP(A63,'Données projet'!$A$243:$I$263,6,0)*VLOOKUP('Données projet'!$B$17,Paramètres!$A$1:$I$89,7,0))</f>
        <v>4.24E-2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25.392803178876644</v>
      </c>
      <c r="GM63" s="21">
        <f>EXP(-LN(2)/25)*GM62+(1-EXP(-LN(2)/25))/(LN(2)/25)*Calculateur!GH63*Calculateur!GJ63*VLOOKUP('Données projet'!$B$17,Paramètres!$A$1:$I$89,3,0)*0.475*44/12</f>
        <v>12.982516966840167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38.375320145716813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8.374198717948719</v>
      </c>
      <c r="GU63" s="12">
        <f>IF('Données projet'!$A$270&gt;35,GU62+GT63-HC62,IF(A63&lt;'Données projet'!$A$270,$GR$205^A63,IF(A63='Données projet'!$A$270,'Données projet'!$B$270,GU62+GT63-HC62)))</f>
        <v>195.16586538461547</v>
      </c>
      <c r="GV63" s="17">
        <f>GU63*VLOOKUP('Données projet'!$B$18,Paramètres!$A$1:$I$89,3,0)*VLOOKUP('Données projet'!$B$18,Paramètres!$A$1:$I$89,5,0)</f>
        <v>185.7198375000001</v>
      </c>
      <c r="GW63" s="13">
        <f t="shared" si="51"/>
        <v>46.59241851266016</v>
      </c>
      <c r="GX63" s="20">
        <f t="shared" si="28"/>
        <v>404.61051255538331</v>
      </c>
      <c r="GY63" s="59">
        <f t="shared" si="29"/>
        <v>697.94384588871662</v>
      </c>
      <c r="GZ63" s="59">
        <f ca="1">AVERAGE(OFFSET($GY$3,0,0,'Données projet'!$E$18+1,1))-AVERAGE(OFFSET($H$3,0,0,'Données projet'!$E$18+1,1))</f>
        <v>401.81944956556271</v>
      </c>
      <c r="HA63" s="59">
        <f t="shared" si="52"/>
        <v>292.20785523952651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0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203.5400641025642</v>
      </c>
      <c r="O64" s="13">
        <f>N64*VLOOKUP('Données projet'!$B$9,Paramètres!$A$1:$I$89,3,0)*VLOOKUP('Données projet'!$B$9,Paramètres!$A$1:$I$89,5,0)</f>
        <v>184.16305000000008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694.6311017746807</v>
      </c>
      <c r="S64" s="59">
        <f ca="1">AVERAGE(OFFSET($R$3,0,0,'Données projet'!$E$9+1,1))-AVERAGE(OFFSET($H$3,0,0,'Données projet'!$E$9+1,1))</f>
        <v>384.05928630855732</v>
      </c>
      <c r="T64" s="59">
        <f t="shared" si="34"/>
        <v>279.93992813630513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-1.1368683772161603E-13</v>
      </c>
      <c r="AJ64" s="13">
        <f>AI64*VLOOKUP('Données projet'!$B$10,Paramètres!$A$1:$I$89,3,0)*VLOOKUP('Données projet'!$B$10,Paramètres!$A$1:$I$89,5,0)</f>
        <v>-6.3550942286383367E-14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335.04906256888819</v>
      </c>
      <c r="AO64" s="59">
        <f t="shared" si="36"/>
        <v>440.84111898279554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201.26309695039652</v>
      </c>
      <c r="AV64" s="21">
        <f>EXP(-LN(2)/25)*AV63+(1-EXP(-LN(2)/25))/(LN(2)/25)*Calculateur!AQ64*Calculateur!AS64*VLOOKUP('Données projet'!$B$10,Paramètres!$A$1:$I$89,3,0)*0.475*44/12</f>
        <v>48.779033324820801</v>
      </c>
      <c r="AW64" s="21">
        <f>EXP(-LN(2)/2)*AW63+(1-EXP(-LN(2)/2))/(LN(2)/2)*AQ64*AT64*VLOOKUP('Données projet'!$B$10,Paramètres!$A$1:$I$89,3,0)*0.475*44/12</f>
        <v>4.2701630005140592</v>
      </c>
      <c r="AX64" s="21">
        <f t="shared" si="6"/>
        <v>254.31229327573138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8.0507692307692249</v>
      </c>
      <c r="BD64" s="12">
        <f>IF('Données projet'!$A$88&gt;35,BD63+BC64-BL63,IF(A64&lt;'Données projet'!$A$88,$BA$205^A64,IF(A64='Données projet'!$A$88,'Données projet'!$B$88,BD63+BC64-BL63)))</f>
        <v>321.29846153846148</v>
      </c>
      <c r="BE64" s="13">
        <f>BD64*VLOOKUP('Données projet'!$B$11,Paramètres!$A$1:$I$89,3,0)*VLOOKUP('Données projet'!$B$11,Paramètres!$A$1:$I$89,5,0)</f>
        <v>183.78271999999998</v>
      </c>
      <c r="BF64" s="13">
        <f t="shared" si="37"/>
        <v>46.162750309543931</v>
      </c>
      <c r="BG64" s="20">
        <f t="shared" si="7"/>
        <v>400.48836078912228</v>
      </c>
      <c r="BH64" s="59">
        <f t="shared" si="8"/>
        <v>693.8216941224556</v>
      </c>
      <c r="BI64" s="59">
        <f ca="1">AVERAGE(OFFSET($BH$3,0,0,'Données projet'!$E$11+1,1))-AVERAGE(OFFSET($H$3,0,0,'Données projet'!$E$11+1,1))</f>
        <v>320.76883487964511</v>
      </c>
      <c r="BJ64" s="59">
        <f t="shared" si="38"/>
        <v>290.51177680335746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35.603411737399504</v>
      </c>
      <c r="BQ64" s="21">
        <f>EXP(-LN(2)/25)*BQ63+(1-EXP(-LN(2)/25))/(LN(2)/25)*Calculateur!BL64*Calculateur!BN64*VLOOKUP('Données projet'!$B$11,Paramètres!$A$1:$I$89,3,0)*0.475*44/12</f>
        <v>13.245003813795408</v>
      </c>
      <c r="BR64" s="21">
        <f>EXP(-LN(2)/2)*BR63+(1-EXP(-LN(2)/2))/(LN(2)/2)*BL64*BO64*VLOOKUP('Données projet'!$B$11,Paramètres!$A$1:$I$89,3,0)*0.475*44/12</f>
        <v>1.447922634900644</v>
      </c>
      <c r="BS64" s="22">
        <f t="shared" si="9"/>
        <v>50.296338186095554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304.99999999999983</v>
      </c>
      <c r="BZ64" s="13">
        <f>BY64*VLOOKUP('Données projet'!$B$12,Paramètres!$A$1:$I$89,3,0)*VLOOKUP('Données projet'!$B$12,Paramètres!$A$1:$I$89,5,0)</f>
        <v>275.96399999999983</v>
      </c>
      <c r="CA64" s="13">
        <f t="shared" si="39"/>
        <v>66.113366665488854</v>
      </c>
      <c r="CB64" s="20">
        <f t="shared" si="10"/>
        <v>595.78474694239264</v>
      </c>
      <c r="CC64" s="59">
        <f t="shared" si="11"/>
        <v>889.11808027572602</v>
      </c>
      <c r="CD64" s="59">
        <f ca="1">AVERAGE(OFFSET($CC$3,0,0,'Données projet'!$E$12+1,1))-AVERAGE(OFFSET($H$3,0,0,'Données projet'!$E$12+1,1))</f>
        <v>366.69125512029831</v>
      </c>
      <c r="CE64" s="59">
        <f t="shared" si="40"/>
        <v>513.80016421153414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0.8747550659907013</v>
      </c>
      <c r="CL64" s="21">
        <f>EXP(-LN(2)/25)*CL63+(1-EXP(-LN(2)/25))/(LN(2)/25)*Calculateur!CG64*Calculateur!CI64*VLOOKUP('Données projet'!$B$12,Paramètres!$A$1:$I$89,3,0)*0.475*44/12</f>
        <v>3.1257621641025688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4.0005172300932701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8.374198717948719</v>
      </c>
      <c r="CT64" s="12">
        <f>IF('Données projet'!$A$140&gt;35,CT63+CS64-DB63,IF(A64&lt;'Données projet'!$A$140,$CQ$205^A64,IF(A64='Données projet'!$A$140,'Données projet'!$B$140,CT63+CS64-DB63)))</f>
        <v>203.5400641025642</v>
      </c>
      <c r="CU64" s="17">
        <f>CT64*VLOOKUP('Données projet'!$B$13,Paramètres!$A$1:$I$89,3,0)*VLOOKUP('Données projet'!$B$13,Paramètres!$A$1:$I$89,5,0)</f>
        <v>136.53467500000008</v>
      </c>
      <c r="CV64" s="13">
        <f t="shared" si="41"/>
        <v>35.501993906017354</v>
      </c>
      <c r="CW64" s="20">
        <f t="shared" si="13"/>
        <v>299.63053167798034</v>
      </c>
      <c r="CX64" s="59">
        <f t="shared" si="14"/>
        <v>592.9638650113136</v>
      </c>
      <c r="CY64" s="59">
        <f ca="1">AVERAGE(OFFSET($CX$3,0,0,'Données projet'!$E$13+1,1))-AVERAGE(OFFSET($H$3,0,0,'Données projet'!$E$13+1,1))</f>
        <v>294.94331863127815</v>
      </c>
      <c r="CZ64" s="59">
        <f t="shared" si="42"/>
        <v>218.36990036643977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237.39999999999984</v>
      </c>
      <c r="DP64" s="17">
        <f>DO64*VLOOKUP('Données projet'!$B$14,Paramètres!$A$1:$I$89,3,0)*VLOOKUP('Données projet'!$B$14,Paramètres!$A$1:$I$89,5,0)</f>
        <v>174.06167999999988</v>
      </c>
      <c r="DQ64" s="13">
        <f t="shared" si="43"/>
        <v>43.998450960214953</v>
      </c>
      <c r="DR64" s="20">
        <f t="shared" si="16"/>
        <v>379.78806142237414</v>
      </c>
      <c r="DS64" s="59">
        <f t="shared" si="17"/>
        <v>673.12139475570746</v>
      </c>
      <c r="DT64" s="59">
        <f ca="1">AVERAGE(OFFSET($DS$3,0,0,'Données projet'!$E$14+1,1))-AVERAGE(OFFSET($H$3,0,0,'Données projet'!$E$14+1,1))</f>
        <v>278.45534008146865</v>
      </c>
      <c r="DU64" s="59">
        <f t="shared" si="44"/>
        <v>272.97841038165217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16.951658953830183</v>
      </c>
      <c r="EB64" s="21">
        <f>EXP(-LN(2)/25)*EB63+(1-EXP(-LN(2)/25))/(LN(2)/25)*Calculateur!DW64*Calculateur!DY64*VLOOKUP('Données projet'!$B$14,Paramètres!$A$1:$I$89,3,0)*0.475*44/12</f>
        <v>8.5984489258197172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25.5501078796499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8.374198717948719</v>
      </c>
      <c r="EJ64" s="12">
        <f>IF('Données projet'!$A$192&gt;35,EJ63+EI64-ER63,IF(A64&lt;'Données projet'!$A$192,$EG$205^A64,IF(A64='Données projet'!$A$192,'Données projet'!$B$192,EJ63+EI64-ER63)))</f>
        <v>203.5400641025642</v>
      </c>
      <c r="EK64" s="17">
        <f>EJ64*VLOOKUP('Données projet'!$B$15,Paramètres!$A$1:$I$89,3,0)*VLOOKUP('Données projet'!$B$15,Paramètres!$A$1:$I$89,5,0)</f>
        <v>219.09052500000007</v>
      </c>
      <c r="EL64" s="13">
        <f t="shared" si="45"/>
        <v>53.917168190682062</v>
      </c>
      <c r="EM64" s="20">
        <f t="shared" si="19"/>
        <v>475.48839897377138</v>
      </c>
      <c r="EN64" s="59">
        <f t="shared" si="20"/>
        <v>768.82173230710464</v>
      </c>
      <c r="EO64" s="59">
        <f ca="1">AVERAGE(OFFSET($EN$3,0,0,'Données projet'!$E$15+1,1))-AVERAGE(OFFSET($H$3,0,0,'Données projet'!$E$15+1,1))</f>
        <v>449.09332781196957</v>
      </c>
      <c r="EP64" s="59">
        <f t="shared" si="46"/>
        <v>324.85904971519432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8.374198717948719</v>
      </c>
      <c r="FE64" s="12">
        <f>IF('Données projet'!$A$218&gt;35,FE63+FD64-FM63,IF(A64&lt;'Données projet'!$A$218,$FB$205^A64,IF(A64='Données projet'!$A$218,'Données projet'!$B$218,FE63+FD64-FM63)))</f>
        <v>203.5400641025642</v>
      </c>
      <c r="FF64" s="17">
        <f>FE64*VLOOKUP('Données projet'!$B$16,Paramètres!$A$1:$I$89,3,0)*VLOOKUP('Données projet'!$B$16,Paramètres!$A$1:$I$89,5,0)</f>
        <v>206.38962500000014</v>
      </c>
      <c r="FG64" s="13">
        <f t="shared" si="47"/>
        <v>51.145833405091373</v>
      </c>
      <c r="FH64" s="20">
        <f t="shared" si="22"/>
        <v>448.54092338886767</v>
      </c>
      <c r="FI64" s="59">
        <f t="shared" si="23"/>
        <v>741.87425672220093</v>
      </c>
      <c r="FJ64" s="59">
        <f ca="1">AVERAGE(OFFSET($FI$3,0,0,'Données projet'!$E$16+1,1))-AVERAGE(OFFSET($H$3,0,0,'Données projet'!$E$16+1,1))</f>
        <v>419.51168383014721</v>
      </c>
      <c r="FK64" s="59">
        <f t="shared" si="48"/>
        <v>213.44145308833384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4.4000000000000004</v>
      </c>
      <c r="FZ64" s="12">
        <f>IF('Données projet'!$A$244&gt;35,FZ63+FY64-GH63,IF(A64&lt;'Données projet'!$A$244,$FW$205^A64,IF(A64='Données projet'!$A$244,'Données projet'!$B$244,FZ63+FY64-GH63)))</f>
        <v>237.39999999999984</v>
      </c>
      <c r="GA64" s="17">
        <f>FZ64*VLOOKUP('Données projet'!$B$17,Paramètres!$A$1:$I$89,3,0)*VLOOKUP('Données projet'!$B$17,Paramètres!$A$1:$I$89,5,0)</f>
        <v>207.39263999999989</v>
      </c>
      <c r="GB64" s="13">
        <f t="shared" si="49"/>
        <v>51.365398298247158</v>
      </c>
      <c r="GC64" s="20">
        <f t="shared" si="25"/>
        <v>450.67025003611349</v>
      </c>
      <c r="GD64" s="59">
        <f t="shared" si="26"/>
        <v>744.0035833694468</v>
      </c>
      <c r="GE64" s="59">
        <f ca="1">AVERAGE(OFFSET($GD$3,0,0,'Données projet'!$E$17+1,1))-AVERAGE(OFFSET($H$3,0,0,'Données projet'!$E$17+1,1))</f>
        <v>324.86930206492627</v>
      </c>
      <c r="GF64" s="59">
        <f t="shared" si="50"/>
        <v>317.03005098025352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24.894865796619492</v>
      </c>
      <c r="GM64" s="21">
        <f>EXP(-LN(2)/25)*GM63+(1-EXP(-LN(2)/25))/(LN(2)/25)*Calculateur!GH64*Calculateur!GJ64*VLOOKUP('Données projet'!$B$17,Paramètres!$A$1:$I$89,3,0)*0.475*44/12</f>
        <v>12.627509357661028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37.522375154280518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8.374198717948719</v>
      </c>
      <c r="GU64" s="12">
        <f>IF('Données projet'!$A$270&gt;35,GU63+GT64-HC63,IF(A64&lt;'Données projet'!$A$270,$GR$205^A64,IF(A64='Données projet'!$A$270,'Données projet'!$B$270,GU63+GT64-HC63)))</f>
        <v>203.5400641025642</v>
      </c>
      <c r="GV64" s="17">
        <f>GU64*VLOOKUP('Données projet'!$B$18,Paramètres!$A$1:$I$89,3,0)*VLOOKUP('Données projet'!$B$18,Paramètres!$A$1:$I$89,5,0)</f>
        <v>193.68872500000009</v>
      </c>
      <c r="GW64" s="13">
        <f t="shared" si="51"/>
        <v>48.354562691860323</v>
      </c>
      <c r="GX64" s="20">
        <f t="shared" si="28"/>
        <v>421.55872606332355</v>
      </c>
      <c r="GY64" s="59">
        <f t="shared" si="29"/>
        <v>714.8920593966568</v>
      </c>
      <c r="GZ64" s="59">
        <f ca="1">AVERAGE(OFFSET($GY$3,0,0,'Données projet'!$E$18+1,1))-AVERAGE(OFFSET($H$3,0,0,'Données projet'!$E$18+1,1))</f>
        <v>401.81944956556271</v>
      </c>
      <c r="HA64" s="59">
        <f t="shared" si="52"/>
        <v>292.20785523952651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0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211.91426282051293</v>
      </c>
      <c r="O65" s="13">
        <f>N65*VLOOKUP('Données projet'!$B$9,Paramètres!$A$1:$I$89,3,0)*VLOOKUP('Données projet'!$B$9,Paramètres!$A$1:$I$89,5,0)</f>
        <v>191.74002500000009</v>
      </c>
      <c r="P65" s="13">
        <f t="shared" si="33"/>
        <v>47.924443327659169</v>
      </c>
      <c r="Q65" s="20">
        <f t="shared" si="53"/>
        <v>417.41561567067316</v>
      </c>
      <c r="R65" s="59">
        <f t="shared" si="0"/>
        <v>710.74894900400648</v>
      </c>
      <c r="S65" s="59">
        <f ca="1">AVERAGE(OFFSET($R$3,0,0,'Données projet'!$E$9+1,1))-AVERAGE(OFFSET($H$3,0,0,'Données projet'!$E$9+1,1))</f>
        <v>384.05928630855732</v>
      </c>
      <c r="T65" s="59">
        <f t="shared" si="34"/>
        <v>279.93992813630513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-1.1368683772161603E-13</v>
      </c>
      <c r="AJ65" s="13">
        <f>AI65*VLOOKUP('Données projet'!$B$10,Paramètres!$A$1:$I$89,3,0)*VLOOKUP('Données projet'!$B$10,Paramètres!$A$1:$I$89,5,0)</f>
        <v>-6.3550942286383367E-14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335.04906256888819</v>
      </c>
      <c r="AO65" s="59">
        <f t="shared" si="36"/>
        <v>440.84111898279554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197.31645037756701</v>
      </c>
      <c r="AV65" s="21">
        <f>EXP(-LN(2)/25)*AV64+(1-EXP(-LN(2)/25))/(LN(2)/25)*Calculateur!AQ65*Calculateur!AS65*VLOOKUP('Données projet'!$B$10,Paramètres!$A$1:$I$89,3,0)*0.475*44/12</f>
        <v>47.445168093375699</v>
      </c>
      <c r="AW65" s="21">
        <f>EXP(-LN(2)/2)*AW64+(1-EXP(-LN(2)/2))/(LN(2)/2)*AQ65*AT65*VLOOKUP('Données projet'!$B$10,Paramètres!$A$1:$I$89,3,0)*0.475*44/12</f>
        <v>3.0194612144353861</v>
      </c>
      <c r="AX65" s="21">
        <f t="shared" si="6"/>
        <v>247.7810796853781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8.0507692307692249</v>
      </c>
      <c r="BD65" s="12">
        <f>IF('Données projet'!$A$88&gt;35,BD64+BC65-BL64,IF(A65&lt;'Données projet'!$A$88,$BA$205^A65,IF(A65='Données projet'!$A$88,'Données projet'!$B$88,BD64+BC65-BL64)))</f>
        <v>329.3492307692307</v>
      </c>
      <c r="BE65" s="13">
        <f>BD65*VLOOKUP('Données projet'!$B$11,Paramètres!$A$1:$I$89,3,0)*VLOOKUP('Données projet'!$B$11,Paramètres!$A$1:$I$89,5,0)</f>
        <v>188.38775999999996</v>
      </c>
      <c r="BF65" s="13">
        <f t="shared" si="37"/>
        <v>47.183332888600908</v>
      </c>
      <c r="BG65" s="20">
        <f t="shared" si="7"/>
        <v>410.28632011431318</v>
      </c>
      <c r="BH65" s="59">
        <f t="shared" si="8"/>
        <v>703.61965344764644</v>
      </c>
      <c r="BI65" s="59">
        <f ca="1">AVERAGE(OFFSET($BH$3,0,0,'Données projet'!$E$11+1,1))-AVERAGE(OFFSET($H$3,0,0,'Données projet'!$E$11+1,1))</f>
        <v>320.76883487964511</v>
      </c>
      <c r="BJ65" s="59">
        <f t="shared" si="38"/>
        <v>290.51177680335746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34.905250549165991</v>
      </c>
      <c r="BQ65" s="21">
        <f>EXP(-LN(2)/25)*BQ64+(1-EXP(-LN(2)/25))/(LN(2)/25)*Calculateur!BL65*Calculateur!BN65*VLOOKUP('Données projet'!$B$11,Paramètres!$A$1:$I$89,3,0)*0.475*44/12</f>
        <v>12.882818487982695</v>
      </c>
      <c r="BR65" s="21">
        <f>EXP(-LN(2)/2)*BR64+(1-EXP(-LN(2)/2))/(LN(2)/2)*BL65*BO65*VLOOKUP('Données projet'!$B$11,Paramètres!$A$1:$I$89,3,0)*0.475*44/12</f>
        <v>1.023835913771739</v>
      </c>
      <c r="BS65" s="22">
        <f t="shared" si="9"/>
        <v>48.811904950920429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304.99999999999983</v>
      </c>
      <c r="BZ65" s="13">
        <f>BY65*VLOOKUP('Données projet'!$B$12,Paramètres!$A$1:$I$89,3,0)*VLOOKUP('Données projet'!$B$12,Paramètres!$A$1:$I$89,5,0)</f>
        <v>275.96399999999983</v>
      </c>
      <c r="CA65" s="13">
        <f t="shared" si="39"/>
        <v>66.113366665488854</v>
      </c>
      <c r="CB65" s="20">
        <f t="shared" si="10"/>
        <v>595.78474694239264</v>
      </c>
      <c r="CC65" s="59">
        <f t="shared" si="11"/>
        <v>889.11808027572602</v>
      </c>
      <c r="CD65" s="59">
        <f ca="1">AVERAGE(OFFSET($CC$3,0,0,'Données projet'!$E$12+1,1))-AVERAGE(OFFSET($H$3,0,0,'Données projet'!$E$12+1,1))</f>
        <v>366.69125512029831</v>
      </c>
      <c r="CE65" s="59">
        <f t="shared" si="40"/>
        <v>513.80016421153414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0.85760165269453037</v>
      </c>
      <c r="CL65" s="21">
        <f>EXP(-LN(2)/25)*CL64+(1-EXP(-LN(2)/25))/(LN(2)/25)*Calculateur!CG65*Calculateur!CI65*VLOOKUP('Données projet'!$B$12,Paramètres!$A$1:$I$89,3,0)*0.475*44/12</f>
        <v>3.0402880333484958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3.8978896860430261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8.374198717948719</v>
      </c>
      <c r="CT65" s="12">
        <f>IF('Données projet'!$A$140&gt;35,CT64+CS65-DB64,IF(A65&lt;'Données projet'!$A$140,$CQ$205^A65,IF(A65='Données projet'!$A$140,'Données projet'!$B$140,CT64+CS65-DB64)))</f>
        <v>211.91426282051293</v>
      </c>
      <c r="CU65" s="17">
        <f>CT65*VLOOKUP('Données projet'!$B$13,Paramètres!$A$1:$I$89,3,0)*VLOOKUP('Données projet'!$B$13,Paramètres!$A$1:$I$89,5,0)</f>
        <v>142.15208750000008</v>
      </c>
      <c r="CV65" s="13">
        <f t="shared" si="41"/>
        <v>36.789579947641123</v>
      </c>
      <c r="CW65" s="20">
        <f t="shared" si="13"/>
        <v>311.65673747130842</v>
      </c>
      <c r="CX65" s="59">
        <f t="shared" si="14"/>
        <v>604.99007080464173</v>
      </c>
      <c r="CY65" s="59">
        <f ca="1">AVERAGE(OFFSET($CX$3,0,0,'Données projet'!$E$13+1,1))-AVERAGE(OFFSET($H$3,0,0,'Données projet'!$E$13+1,1))</f>
        <v>294.94331863127815</v>
      </c>
      <c r="CZ65" s="59">
        <f t="shared" si="42"/>
        <v>218.36990036643977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241.79999999999984</v>
      </c>
      <c r="DP65" s="17">
        <f>DO65*VLOOKUP('Données projet'!$B$14,Paramètres!$A$1:$I$89,3,0)*VLOOKUP('Données projet'!$B$14,Paramètres!$A$1:$I$89,5,0)</f>
        <v>177.28775999999988</v>
      </c>
      <c r="DQ65" s="13">
        <f t="shared" si="43"/>
        <v>44.718230568721658</v>
      </c>
      <c r="DR65" s="20">
        <f t="shared" si="16"/>
        <v>386.66043357385661</v>
      </c>
      <c r="DS65" s="59">
        <f t="shared" si="17"/>
        <v>679.99376690718987</v>
      </c>
      <c r="DT65" s="59">
        <f ca="1">AVERAGE(OFFSET($DS$3,0,0,'Données projet'!$E$14+1,1))-AVERAGE(OFFSET($H$3,0,0,'Données projet'!$E$14+1,1))</f>
        <v>278.45534008146865</v>
      </c>
      <c r="DU65" s="59">
        <f t="shared" si="44"/>
        <v>272.97841038165217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16.619247261236595</v>
      </c>
      <c r="EB65" s="21">
        <f>EXP(-LN(2)/25)*EB64+(1-EXP(-LN(2)/25))/(LN(2)/25)*Calculateur!DW65*Calculateur!DY65*VLOOKUP('Données projet'!$B$14,Paramètres!$A$1:$I$89,3,0)*0.475*44/12</f>
        <v>8.3633238877704006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24.982571149006993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8.374198717948719</v>
      </c>
      <c r="EJ65" s="12">
        <f>IF('Données projet'!$A$192&gt;35,EJ64+EI65-ER64,IF(A65&lt;'Données projet'!$A$192,$EG$205^A65,IF(A65='Données projet'!$A$192,'Données projet'!$B$192,EJ64+EI65-ER64)))</f>
        <v>211.91426282051293</v>
      </c>
      <c r="EK65" s="17">
        <f>EJ65*VLOOKUP('Données projet'!$B$15,Paramètres!$A$1:$I$89,3,0)*VLOOKUP('Données projet'!$B$15,Paramètres!$A$1:$I$89,5,0)</f>
        <v>228.10451250000011</v>
      </c>
      <c r="EL65" s="13">
        <f t="shared" si="45"/>
        <v>55.872635631468157</v>
      </c>
      <c r="EM65" s="20">
        <f t="shared" si="19"/>
        <v>494.59353299564049</v>
      </c>
      <c r="EN65" s="59">
        <f t="shared" si="20"/>
        <v>787.9268663289738</v>
      </c>
      <c r="EO65" s="59">
        <f ca="1">AVERAGE(OFFSET($EN$3,0,0,'Données projet'!$E$15+1,1))-AVERAGE(OFFSET($H$3,0,0,'Données projet'!$E$15+1,1))</f>
        <v>449.09332781196957</v>
      </c>
      <c r="EP65" s="59">
        <f t="shared" si="46"/>
        <v>324.85904971519432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8.374198717948719</v>
      </c>
      <c r="FE65" s="12">
        <f>IF('Données projet'!$A$218&gt;35,FE64+FD65-FM64,IF(A65&lt;'Données projet'!$A$218,$FB$205^A65,IF(A65='Données projet'!$A$218,'Données projet'!$B$218,FE64+FD65-FM64)))</f>
        <v>211.91426282051293</v>
      </c>
      <c r="FF65" s="17">
        <f>FE65*VLOOKUP('Données projet'!$B$16,Paramètres!$A$1:$I$89,3,0)*VLOOKUP('Données projet'!$B$16,Paramètres!$A$1:$I$89,5,0)</f>
        <v>214.88106250000013</v>
      </c>
      <c r="FG65" s="13">
        <f t="shared" si="47"/>
        <v>53.000790097212402</v>
      </c>
      <c r="FH65" s="20">
        <f t="shared" si="22"/>
        <v>466.56089327347848</v>
      </c>
      <c r="FI65" s="59">
        <f t="shared" si="23"/>
        <v>759.8942266068118</v>
      </c>
      <c r="FJ65" s="59">
        <f ca="1">AVERAGE(OFFSET($FI$3,0,0,'Données projet'!$E$16+1,1))-AVERAGE(OFFSET($H$3,0,0,'Données projet'!$E$16+1,1))</f>
        <v>419.51168383014721</v>
      </c>
      <c r="FK65" s="59">
        <f t="shared" si="48"/>
        <v>213.44145308833384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4.4000000000000004</v>
      </c>
      <c r="FZ65" s="12">
        <f>IF('Données projet'!$A$244&gt;35,FZ64+FY65-GH64,IF(A65&lt;'Données projet'!$A$244,$FW$205^A65,IF(A65='Données projet'!$A$244,'Données projet'!$B$244,FZ64+FY65-GH64)))</f>
        <v>241.79999999999984</v>
      </c>
      <c r="GA65" s="17">
        <f>FZ65*VLOOKUP('Données projet'!$B$17,Paramètres!$A$1:$I$89,3,0)*VLOOKUP('Données projet'!$B$17,Paramètres!$A$1:$I$89,5,0)</f>
        <v>211.23647999999989</v>
      </c>
      <c r="GB65" s="13">
        <f t="shared" si="49"/>
        <v>52.205695296687686</v>
      </c>
      <c r="GC65" s="20">
        <f t="shared" si="25"/>
        <v>458.82845530839751</v>
      </c>
      <c r="GD65" s="59">
        <f t="shared" si="26"/>
        <v>752.16178864173082</v>
      </c>
      <c r="GE65" s="59">
        <f ca="1">AVERAGE(OFFSET($GD$3,0,0,'Données projet'!$E$17+1,1))-AVERAGE(OFFSET($H$3,0,0,'Données projet'!$E$17+1,1))</f>
        <v>324.86930206492627</v>
      </c>
      <c r="GF65" s="59">
        <f t="shared" si="50"/>
        <v>317.03005098025352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24.406692662716587</v>
      </c>
      <c r="GM65" s="21">
        <f>EXP(-LN(2)/25)*GM64+(1-EXP(-LN(2)/25))/(LN(2)/25)*Calculateur!GH65*Calculateur!GJ65*VLOOKUP('Données projet'!$B$17,Paramètres!$A$1:$I$89,3,0)*0.475*44/12</f>
        <v>12.282209450223931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36.688902112940518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8.374198717948719</v>
      </c>
      <c r="GU65" s="12">
        <f>IF('Données projet'!$A$270&gt;35,GU64+GT65-HC64,IF(A65&lt;'Données projet'!$A$270,$GR$205^A65,IF(A65='Données projet'!$A$270,'Données projet'!$B$270,GU64+GT65-HC64)))</f>
        <v>211.91426282051293</v>
      </c>
      <c r="GV65" s="17">
        <f>GU65*VLOOKUP('Données projet'!$B$18,Paramètres!$A$1:$I$89,3,0)*VLOOKUP('Données projet'!$B$18,Paramètres!$A$1:$I$89,5,0)</f>
        <v>201.65761250000011</v>
      </c>
      <c r="GW65" s="13">
        <f t="shared" si="51"/>
        <v>50.108285599246322</v>
      </c>
      <c r="GX65" s="20">
        <f t="shared" si="28"/>
        <v>438.49227252285419</v>
      </c>
      <c r="GY65" s="59">
        <f t="shared" si="29"/>
        <v>731.82560585618751</v>
      </c>
      <c r="GZ65" s="59">
        <f ca="1">AVERAGE(OFFSET($GY$3,0,0,'Données projet'!$E$18+1,1))-AVERAGE(OFFSET($H$3,0,0,'Données projet'!$E$18+1,1))</f>
        <v>401.81944956556271</v>
      </c>
      <c r="HA65" s="59">
        <f t="shared" si="52"/>
        <v>292.20785523952651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0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220.28846153846166</v>
      </c>
      <c r="O66" s="13">
        <f>N66*VLOOKUP('Données projet'!$B$9,Paramètres!$A$1:$I$89,3,0)*VLOOKUP('Données projet'!$B$9,Paramètres!$A$1:$I$89,5,0)</f>
        <v>199.31700000000009</v>
      </c>
      <c r="P66" s="13">
        <f t="shared" si="33"/>
        <v>49.594035126387503</v>
      </c>
      <c r="Q66" s="20">
        <f t="shared" si="53"/>
        <v>433.52005284512506</v>
      </c>
      <c r="R66" s="59">
        <f t="shared" si="0"/>
        <v>726.85338617845832</v>
      </c>
      <c r="S66" s="59">
        <f ca="1">AVERAGE(OFFSET($R$3,0,0,'Données projet'!$E$9+1,1))-AVERAGE(OFFSET($H$3,0,0,'Données projet'!$E$9+1,1))</f>
        <v>384.05928630855732</v>
      </c>
      <c r="T66" s="59">
        <f t="shared" si="34"/>
        <v>279.93992813630513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-1.1368683772161603E-13</v>
      </c>
      <c r="AJ66" s="13">
        <f>AI66*VLOOKUP('Données projet'!$B$10,Paramètres!$A$1:$I$89,3,0)*VLOOKUP('Données projet'!$B$10,Paramètres!$A$1:$I$89,5,0)</f>
        <v>-6.3550942286383367E-14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335.04906256888819</v>
      </c>
      <c r="AO66" s="59">
        <f t="shared" si="36"/>
        <v>440.84111898279554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193.44719513681397</v>
      </c>
      <c r="AV66" s="21">
        <f>EXP(-LN(2)/25)*AV65+(1-EXP(-LN(2)/25))/(LN(2)/25)*Calculateur!AQ66*Calculateur!AS66*VLOOKUP('Données projet'!$B$10,Paramètres!$A$1:$I$89,3,0)*0.475*44/12</f>
        <v>46.14777747682939</v>
      </c>
      <c r="AW66" s="21">
        <f>EXP(-LN(2)/2)*AW65+(1-EXP(-LN(2)/2))/(LN(2)/2)*AQ66*AT66*VLOOKUP('Données projet'!$B$10,Paramètres!$A$1:$I$89,3,0)*0.475*44/12</f>
        <v>2.1350815002570296</v>
      </c>
      <c r="AX66" s="21">
        <f t="shared" si="6"/>
        <v>241.73005411390039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8.0507692307692249</v>
      </c>
      <c r="BD66" s="12">
        <f>IF('Données projet'!$A$88&gt;35,BD65+BC66-BL65,IF(A66&lt;'Données projet'!$A$88,$BA$205^A66,IF(A66='Données projet'!$A$88,'Données projet'!$B$88,BD65+BC66-BL65)))</f>
        <v>337.39999999999992</v>
      </c>
      <c r="BE66" s="13">
        <f>BD66*VLOOKUP('Données projet'!$B$11,Paramètres!$A$1:$I$89,3,0)*VLOOKUP('Données projet'!$B$11,Paramètres!$A$1:$I$89,5,0)</f>
        <v>192.99279999999996</v>
      </c>
      <c r="BF66" s="13">
        <f t="shared" si="37"/>
        <v>48.201015388466303</v>
      </c>
      <c r="BG66" s="20">
        <f t="shared" si="7"/>
        <v>420.07922846824539</v>
      </c>
      <c r="BH66" s="59">
        <f t="shared" si="8"/>
        <v>713.4125618015787</v>
      </c>
      <c r="BI66" s="59">
        <f ca="1">AVERAGE(OFFSET($BH$3,0,0,'Données projet'!$E$11+1,1))-AVERAGE(OFFSET($H$3,0,0,'Données projet'!$E$11+1,1))</f>
        <v>320.76883487964511</v>
      </c>
      <c r="BJ66" s="59">
        <f t="shared" si="38"/>
        <v>290.51177680335746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34.220779875997458</v>
      </c>
      <c r="BQ66" s="21">
        <f>EXP(-LN(2)/25)*BQ65+(1-EXP(-LN(2)/25))/(LN(2)/25)*Calculateur!BL66*Calculateur!BN66*VLOOKUP('Données projet'!$B$11,Paramètres!$A$1:$I$89,3,0)*0.475*44/12</f>
        <v>12.530537138950828</v>
      </c>
      <c r="BR66" s="21">
        <f>EXP(-LN(2)/2)*BR65+(1-EXP(-LN(2)/2))/(LN(2)/2)*BL66*BO66*VLOOKUP('Données projet'!$B$11,Paramètres!$A$1:$I$89,3,0)*0.475*44/12</f>
        <v>0.723961317450322</v>
      </c>
      <c r="BS66" s="22">
        <f t="shared" si="9"/>
        <v>47.475278332398609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304.99999999999983</v>
      </c>
      <c r="BZ66" s="13">
        <f>BY66*VLOOKUP('Données projet'!$B$12,Paramètres!$A$1:$I$89,3,0)*VLOOKUP('Données projet'!$B$12,Paramètres!$A$1:$I$89,5,0)</f>
        <v>275.96399999999983</v>
      </c>
      <c r="CA66" s="13">
        <f t="shared" si="39"/>
        <v>66.113366665488854</v>
      </c>
      <c r="CB66" s="20">
        <f t="shared" si="10"/>
        <v>595.78474694239264</v>
      </c>
      <c r="CC66" s="59">
        <f t="shared" si="11"/>
        <v>889.11808027572602</v>
      </c>
      <c r="CD66" s="59">
        <f ca="1">AVERAGE(OFFSET($CC$3,0,0,'Données projet'!$E$12+1,1))-AVERAGE(OFFSET($H$3,0,0,'Données projet'!$E$12+1,1))</f>
        <v>366.69125512029831</v>
      </c>
      <c r="CE66" s="59">
        <f t="shared" si="40"/>
        <v>513.80016421153414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0.84078460737054839</v>
      </c>
      <c r="CL66" s="21">
        <f>EXP(-LN(2)/25)*CL65+(1-EXP(-LN(2)/25))/(LN(2)/25)*Calculateur!CG66*Calculateur!CI66*VLOOKUP('Données projet'!$B$12,Paramètres!$A$1:$I$89,3,0)*0.475*44/12</f>
        <v>2.9571511971947824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3.7979358045653306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220.28846153846152</v>
      </c>
      <c r="CR66" s="12">
        <f>VLOOKUP(A66,'Données projet'!$A$139:$I$159,9,0)</f>
        <v>8.374198717948719</v>
      </c>
      <c r="CS66" s="12">
        <f t="array" ref="CS66">INDEX(CR:CR,MIN(IF(ISNUMBER(CR66:CR262),ROW(CR66:CR262),"")))</f>
        <v>8.374198717948719</v>
      </c>
      <c r="CT66" s="12">
        <f>IF('Données projet'!$A$140&gt;35,CT65+CS66-DB65,IF(A66&lt;'Données projet'!$A$140,$CQ$205^A66,IF(A66='Données projet'!$A$140,'Données projet'!$B$140,CT65+CS66-DB65)))</f>
        <v>220.28846153846166</v>
      </c>
      <c r="CU66" s="17">
        <f>CT66*VLOOKUP('Données projet'!$B$13,Paramètres!$A$1:$I$89,3,0)*VLOOKUP('Données projet'!$B$13,Paramètres!$A$1:$I$89,5,0)</f>
        <v>147.76950000000008</v>
      </c>
      <c r="CV66" s="13">
        <f t="shared" si="41"/>
        <v>38.071255366159519</v>
      </c>
      <c r="CW66" s="20">
        <f t="shared" si="13"/>
        <v>323.67264892939465</v>
      </c>
      <c r="CX66" s="59">
        <f t="shared" si="14"/>
        <v>617.00598226272791</v>
      </c>
      <c r="CY66" s="59">
        <f ca="1">AVERAGE(OFFSET($CX$3,0,0,'Données projet'!$E$13+1,1))-AVERAGE(OFFSET($H$3,0,0,'Données projet'!$E$13+1,1))</f>
        <v>294.94331863127815</v>
      </c>
      <c r="CZ66" s="59">
        <f t="shared" si="42"/>
        <v>218.36990036643977</v>
      </c>
      <c r="DA66" s="15">
        <f>IF(ISNA(VLOOKUP(A66,'Données projet'!$A$139:$I$159,3,0)),0,VLOOKUP(A66,'Données projet'!$A$139:$I$159,3,0))</f>
        <v>5</v>
      </c>
      <c r="DB66" s="15">
        <f>IF(ISNA(VLOOKUP(A66,'Données projet'!$A$139:$I$159,4,0)),0,VLOOKUP(A66,'Données projet'!$A$139:$I$159,4,0))</f>
        <v>41.724358974358978</v>
      </c>
      <c r="DC66" s="16">
        <f>IF(ISNA(VLOOKUP(A66,'Données projet'!$A$139:$I$159,5,0)),0%,VLOOKUP(A66,'Données projet'!$A$139:$I$159,5,0)*VLOOKUP('Données projet'!$B$13,Paramètres!$A$1:$I$89,7,0))</f>
        <v>0.371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11.478991839116169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11.478991839116169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246.19999999999985</v>
      </c>
      <c r="DP66" s="17">
        <f>DO66*VLOOKUP('Données projet'!$B$14,Paramètres!$A$1:$I$89,3,0)*VLOOKUP('Données projet'!$B$14,Paramètres!$A$1:$I$89,5,0)</f>
        <v>180.5138399999999</v>
      </c>
      <c r="DQ66" s="13">
        <f t="shared" si="43"/>
        <v>45.43648712647358</v>
      </c>
      <c r="DR66" s="20">
        <f t="shared" si="16"/>
        <v>393.53015307860801</v>
      </c>
      <c r="DS66" s="59">
        <f t="shared" si="17"/>
        <v>686.86348641194127</v>
      </c>
      <c r="DT66" s="59">
        <f ca="1">AVERAGE(OFFSET($DS$3,0,0,'Données projet'!$E$14+1,1))-AVERAGE(OFFSET($H$3,0,0,'Données projet'!$E$14+1,1))</f>
        <v>278.45534008146865</v>
      </c>
      <c r="DU66" s="59">
        <f t="shared" si="44"/>
        <v>272.97841038165217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16.293353959183655</v>
      </c>
      <c r="EB66" s="21">
        <f>EXP(-LN(2)/25)*EB65+(1-EXP(-LN(2)/25))/(LN(2)/25)*Calculateur!DW66*Calculateur!DY66*VLOOKUP('Données projet'!$B$14,Paramètres!$A$1:$I$89,3,0)*0.475*44/12</f>
        <v>8.1346283562512305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24.427982315434885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>
        <f>VLOOKUP(A66,'Données projet'!$A$191:$I$211,2,0)</f>
        <v>220.28846153846152</v>
      </c>
      <c r="EH66" s="12">
        <f>VLOOKUP(A66,'Données projet'!$A$191:$I$211,9,0)</f>
        <v>8.374198717948719</v>
      </c>
      <c r="EI66" s="12">
        <f t="array" ref="EI66">INDEX(EH:EH,MIN(IF(ISNUMBER(EH66:EH262),ROW(EH66:EH262),"")))</f>
        <v>8.374198717948719</v>
      </c>
      <c r="EJ66" s="12">
        <f>IF('Données projet'!$A$192&gt;35,EJ65+EI66-ER65,IF(A66&lt;'Données projet'!$A$192,$EG$205^A66,IF(A66='Données projet'!$A$192,'Données projet'!$B$192,EJ65+EI66-ER65)))</f>
        <v>220.28846153846166</v>
      </c>
      <c r="EK66" s="17">
        <f>EJ66*VLOOKUP('Données projet'!$B$15,Paramètres!$A$1:$I$89,3,0)*VLOOKUP('Données projet'!$B$15,Paramètres!$A$1:$I$89,5,0)</f>
        <v>237.11850000000013</v>
      </c>
      <c r="EL66" s="13">
        <f t="shared" si="45"/>
        <v>57.819126560655327</v>
      </c>
      <c r="EM66" s="20">
        <f t="shared" si="19"/>
        <v>513.68303292647499</v>
      </c>
      <c r="EN66" s="59">
        <f t="shared" si="20"/>
        <v>807.01636625980836</v>
      </c>
      <c r="EO66" s="59">
        <f ca="1">AVERAGE(OFFSET($EN$3,0,0,'Données projet'!$E$15+1,1))-AVERAGE(OFFSET($H$3,0,0,'Données projet'!$E$15+1,1))</f>
        <v>449.09332781196957</v>
      </c>
      <c r="EP66" s="59">
        <f t="shared" si="46"/>
        <v>324.85904971519432</v>
      </c>
      <c r="EQ66" s="15">
        <f>IF(ISNA(VLOOKUP(A66,'Données projet'!$A$191:$I$211,3,0)),0,VLOOKUP(A66,'Données projet'!$A$191:$I$211,3,0))</f>
        <v>5</v>
      </c>
      <c r="ER66" s="15">
        <f>IF(ISNA(VLOOKUP(A66,'Données projet'!$A$191:$I$211,4,0)),0,VLOOKUP(A66,'Données projet'!$A$191:$I$211,4,0))</f>
        <v>41.724358974358978</v>
      </c>
      <c r="ES66" s="16">
        <f>IF(ISNA(VLOOKUP(A66,'Données projet'!$A$191:$I$211,5,0)),0%,VLOOKUP(A66,'Données projet'!$A$191:$I$211,5,0)*VLOOKUP('Données projet'!$B$15,Paramètres!$A$1:$I$89,7,0))</f>
        <v>0.30099999999999999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14.944347866019163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14.944347866019163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>
        <f>VLOOKUP(A66,'Données projet'!$A$217:$I$237,2,0)</f>
        <v>220.28846153846152</v>
      </c>
      <c r="FC66" s="12">
        <f>VLOOKUP(A66,'Données projet'!$A$217:$I$237,9,0)</f>
        <v>8.374198717948719</v>
      </c>
      <c r="FD66" s="12">
        <f t="array" ref="FD66">INDEX(FC:FC,MIN(IF(ISNUMBER(FC66:FC262),ROW(FC66:FC262),"")))</f>
        <v>8.374198717948719</v>
      </c>
      <c r="FE66" s="12">
        <f>IF('Données projet'!$A$218&gt;35,FE65+FD66-FM65,IF(A66&lt;'Données projet'!$A$218,$FB$205^A66,IF(A66='Données projet'!$A$218,'Données projet'!$B$218,FE65+FD66-FM65)))</f>
        <v>220.28846153846166</v>
      </c>
      <c r="FF66" s="17">
        <f>FE66*VLOOKUP('Données projet'!$B$16,Paramètres!$A$1:$I$89,3,0)*VLOOKUP('Données projet'!$B$16,Paramètres!$A$1:$I$89,5,0)</f>
        <v>223.37250000000014</v>
      </c>
      <c r="FG66" s="13">
        <f t="shared" si="47"/>
        <v>54.84723166915564</v>
      </c>
      <c r="FH66" s="20">
        <f t="shared" si="22"/>
        <v>484.566032657113</v>
      </c>
      <c r="FI66" s="59">
        <f t="shared" si="23"/>
        <v>777.89936599044631</v>
      </c>
      <c r="FJ66" s="59">
        <f ca="1">AVERAGE(OFFSET($FI$3,0,0,'Données projet'!$E$16+1,1))-AVERAGE(OFFSET($H$3,0,0,'Données projet'!$E$16+1,1))</f>
        <v>419.51168383014721</v>
      </c>
      <c r="FK66" s="59">
        <f t="shared" si="48"/>
        <v>213.44145308833384</v>
      </c>
      <c r="FL66" s="15">
        <f>IF(ISNA(VLOOKUP(A66,'Données projet'!$A$217:$I$237,3,0)),0,VLOOKUP(A66,'Données projet'!$A$217:$I$237,3,0))</f>
        <v>5</v>
      </c>
      <c r="FM66" s="15">
        <f>IF(ISNA(VLOOKUP(A66,'Données projet'!$A$217:$I$237,4,0)),0,VLOOKUP(A66,'Données projet'!$A$217:$I$237,4,0))</f>
        <v>41.724358974358978</v>
      </c>
      <c r="FN66" s="16">
        <f>IF(ISNA(VLOOKUP(A66,'Données projet'!$A$217:$I$237,5,0)),0%,VLOOKUP(A66,'Données projet'!$A$217:$I$237,5,0)*VLOOKUP('Données projet'!$B$16,Paramètres!$A$1:$I$89,7,0))</f>
        <v>0.30099999999999999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14.078008859293417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14.078008859293417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4.4000000000000004</v>
      </c>
      <c r="FZ66" s="12">
        <f>IF('Données projet'!$A$244&gt;35,FZ65+FY66-GH65,IF(A66&lt;'Données projet'!$A$244,$FW$205^A66,IF(A66='Données projet'!$A$244,'Données projet'!$B$244,FZ65+FY66-GH65)))</f>
        <v>246.19999999999985</v>
      </c>
      <c r="GA66" s="17">
        <f>FZ66*VLOOKUP('Données projet'!$B$17,Paramètres!$A$1:$I$89,3,0)*VLOOKUP('Données projet'!$B$17,Paramètres!$A$1:$I$89,5,0)</f>
        <v>215.08031999999989</v>
      </c>
      <c r="GB66" s="13">
        <f t="shared" si="49"/>
        <v>53.044214230061456</v>
      </c>
      <c r="GC66" s="20">
        <f t="shared" si="25"/>
        <v>466.98356378402349</v>
      </c>
      <c r="GD66" s="59">
        <f t="shared" si="26"/>
        <v>760.3168971173568</v>
      </c>
      <c r="GE66" s="59">
        <f ca="1">AVERAGE(OFFSET($GD$3,0,0,'Données projet'!$E$17+1,1))-AVERAGE(OFFSET($H$3,0,0,'Données projet'!$E$17+1,1))</f>
        <v>324.86930206492627</v>
      </c>
      <c r="GF66" s="59">
        <f t="shared" si="50"/>
        <v>317.03005098025352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23.928092306213308</v>
      </c>
      <c r="GM66" s="21">
        <f>EXP(-LN(2)/25)*GM65+(1-EXP(-LN(2)/25))/(LN(2)/25)*Calculateur!GH66*Calculateur!GJ66*VLOOKUP('Données projet'!$B$17,Paramètres!$A$1:$I$89,3,0)*0.475*44/12</f>
        <v>11.946351786914233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35.874444093127543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>
        <f>VLOOKUP(A66,'Données projet'!$A$269:$I$289,2,0)</f>
        <v>220.28846153846152</v>
      </c>
      <c r="GS66" s="12">
        <f>VLOOKUP(A66,'Données projet'!$A$269:$I$289,9,0)</f>
        <v>8.374198717948719</v>
      </c>
      <c r="GT66" s="12">
        <f t="array" ref="GT66">INDEX(GS:GS,MIN(IF(ISNUMBER(GS66:GS262),ROW(GS66:GS262),"")))</f>
        <v>8.374198717948719</v>
      </c>
      <c r="GU66" s="12">
        <f>IF('Données projet'!$A$270&gt;35,GU65+GT66-HC65,IF(A66&lt;'Données projet'!$A$270,$GR$205^A66,IF(A66='Données projet'!$A$270,'Données projet'!$B$270,GU65+GT66-HC65)))</f>
        <v>220.28846153846166</v>
      </c>
      <c r="GV66" s="17">
        <f>GU66*VLOOKUP('Données projet'!$B$18,Paramètres!$A$1:$I$89,3,0)*VLOOKUP('Données projet'!$B$18,Paramètres!$A$1:$I$89,5,0)</f>
        <v>209.62650000000011</v>
      </c>
      <c r="GW66" s="13">
        <f t="shared" si="51"/>
        <v>51.853958096949611</v>
      </c>
      <c r="GX66" s="20">
        <f t="shared" si="28"/>
        <v>455.41179785218742</v>
      </c>
      <c r="GY66" s="59">
        <f t="shared" si="29"/>
        <v>748.74513118552068</v>
      </c>
      <c r="GZ66" s="59">
        <f ca="1">AVERAGE(OFFSET($GY$3,0,0,'Données projet'!$E$18+1,1))-AVERAGE(OFFSET($H$3,0,0,'Données projet'!$E$18+1,1))</f>
        <v>401.81944956556271</v>
      </c>
      <c r="HA66" s="59">
        <f t="shared" si="52"/>
        <v>292.20785523952651</v>
      </c>
      <c r="HB66" s="15">
        <f>IF(ISNA(VLOOKUP(A66,'Données projet'!$A$269:$I$289,3,0)),0,VLOOKUP(A66,'Données projet'!$A$269:$I$289,3,0))</f>
        <v>5</v>
      </c>
      <c r="HC66" s="15">
        <f>IF(ISNA(VLOOKUP(A66,'Données projet'!$A$269:$I$289,4,0)),0,VLOOKUP(A66,'Données projet'!$A$269:$I$289,4,0))</f>
        <v>41.724358974358978</v>
      </c>
      <c r="HD66" s="16">
        <f>IF(ISNA(VLOOKUP(A66,'Données projet'!$A$269:$I$289,5,0)),0%,VLOOKUP(A66,'Données projet'!$A$269:$I$289,5,0)*VLOOKUP('Données projet'!$B$18,Paramètres!$A$1:$I$89,7,0))</f>
        <v>0.30099999999999999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13.211669852567669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13.211669852567669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186.66426282051296</v>
      </c>
      <c r="O67" s="13">
        <f>N67*VLOOKUP('Données projet'!$B$9,Paramètres!$A$1:$I$89,3,0)*VLOOKUP('Données projet'!$B$9,Paramètres!$A$1:$I$89,5,0)</f>
        <v>168.89382500000013</v>
      </c>
      <c r="P67" s="13">
        <f t="shared" si="33"/>
        <v>42.842183132845896</v>
      </c>
      <c r="Q67" s="20">
        <f t="shared" ref="Q67:Q98" si="54">(O67+P67)*0.475*44/12</f>
        <v>368.77354749804016</v>
      </c>
      <c r="R67" s="59">
        <f t="shared" ref="R67:R130" si="55">Q67+(I67+J67)*44/12</f>
        <v>662.10688083137347</v>
      </c>
      <c r="S67" s="59">
        <f ca="1">AVERAGE(OFFSET($R$3,0,0,'Données projet'!$E$9+1,1))-AVERAGE(OFFSET($H$3,0,0,'Données projet'!$E$9+1,1))</f>
        <v>384.05928630855732</v>
      </c>
      <c r="T67" s="59">
        <f t="shared" si="34"/>
        <v>279.93992813630513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-1.1368683772161603E-13</v>
      </c>
      <c r="AJ67" s="13">
        <f>AI67*VLOOKUP('Données projet'!$B$10,Paramètres!$A$1:$I$89,3,0)*VLOOKUP('Données projet'!$B$10,Paramètres!$A$1:$I$89,5,0)</f>
        <v>-6.3550942286383367E-14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335.04906256888819</v>
      </c>
      <c r="AO67" s="59">
        <f t="shared" si="36"/>
        <v>440.84111898279554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189.65381363131942</v>
      </c>
      <c r="AV67" s="21">
        <f>EXP(-LN(2)/25)*AV66+(1-EXP(-LN(2)/25))/(LN(2)/25)*Calculateur!AQ67*Calculateur!AS67*VLOOKUP('Données projet'!$B$10,Paramètres!$A$1:$I$89,3,0)*0.475*44/12</f>
        <v>44.885864074919347</v>
      </c>
      <c r="AW67" s="21">
        <f>EXP(-LN(2)/2)*AW66+(1-EXP(-LN(2)/2))/(LN(2)/2)*AQ67*AT67*VLOOKUP('Données projet'!$B$10,Paramètres!$A$1:$I$89,3,0)*0.475*44/12</f>
        <v>1.509730607217693</v>
      </c>
      <c r="AX67" s="21">
        <f t="shared" si="6"/>
        <v>236.04940831345647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8.0507692307692249</v>
      </c>
      <c r="BD67" s="12">
        <f>IF('Données projet'!$A$88&gt;35,BD66+BC67-BL66,IF(A67&lt;'Données projet'!$A$88,$BA$205^A67,IF(A67='Données projet'!$A$88,'Données projet'!$B$88,BD66+BC67-BL66)))</f>
        <v>345.45076923076914</v>
      </c>
      <c r="BE67" s="13">
        <f>BD67*VLOOKUP('Données projet'!$B$11,Paramètres!$A$1:$I$89,3,0)*VLOOKUP('Données projet'!$B$11,Paramètres!$A$1:$I$89,5,0)</f>
        <v>197.59783999999996</v>
      </c>
      <c r="BF67" s="13">
        <f t="shared" si="37"/>
        <v>49.215874970939133</v>
      </c>
      <c r="BG67" s="20">
        <f t="shared" si="7"/>
        <v>429.86722024105217</v>
      </c>
      <c r="BH67" s="59">
        <f t="shared" si="8"/>
        <v>723.20055357438548</v>
      </c>
      <c r="BI67" s="59">
        <f ca="1">AVERAGE(OFFSET($BH$3,0,0,'Données projet'!$E$11+1,1))-AVERAGE(OFFSET($H$3,0,0,'Données projet'!$E$11+1,1))</f>
        <v>320.76883487964511</v>
      </c>
      <c r="BJ67" s="59">
        <f t="shared" si="38"/>
        <v>290.51177680335746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33.54973125524387</v>
      </c>
      <c r="BQ67" s="21">
        <f>EXP(-LN(2)/25)*BQ66+(1-EXP(-LN(2)/25))/(LN(2)/25)*Calculateur!BL67*Calculateur!BN67*VLOOKUP('Données projet'!$B$11,Paramètres!$A$1:$I$89,3,0)*0.475*44/12</f>
        <v>12.18788894193391</v>
      </c>
      <c r="BR67" s="21">
        <f>EXP(-LN(2)/2)*BR66+(1-EXP(-LN(2)/2))/(LN(2)/2)*BL67*BO67*VLOOKUP('Données projet'!$B$11,Paramètres!$A$1:$I$89,3,0)*0.475*44/12</f>
        <v>0.5119179568858695</v>
      </c>
      <c r="BS67" s="22">
        <f t="shared" si="9"/>
        <v>46.249538154063643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304.99999999999983</v>
      </c>
      <c r="BZ67" s="13">
        <f>BY67*VLOOKUP('Données projet'!$B$12,Paramètres!$A$1:$I$89,3,0)*VLOOKUP('Données projet'!$B$12,Paramètres!$A$1:$I$89,5,0)</f>
        <v>275.96399999999983</v>
      </c>
      <c r="CA67" s="13">
        <f t="shared" si="39"/>
        <v>66.113366665488854</v>
      </c>
      <c r="CB67" s="20">
        <f t="shared" si="10"/>
        <v>595.78474694239264</v>
      </c>
      <c r="CC67" s="59">
        <f t="shared" si="11"/>
        <v>889.11808027572602</v>
      </c>
      <c r="CD67" s="59">
        <f ca="1">AVERAGE(OFFSET($CC$3,0,0,'Données projet'!$E$12+1,1))-AVERAGE(OFFSET($H$3,0,0,'Données projet'!$E$12+1,1))</f>
        <v>366.69125512029831</v>
      </c>
      <c r="CE67" s="59">
        <f t="shared" si="40"/>
        <v>513.80016421153414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0.82429733404798489</v>
      </c>
      <c r="CL67" s="21">
        <f>EXP(-LN(2)/25)*CL66+(1-EXP(-LN(2)/25))/(LN(2)/25)*Calculateur!CG67*Calculateur!CI67*VLOOKUP('Données projet'!$B$12,Paramètres!$A$1:$I$89,3,0)*0.475*44/12</f>
        <v>2.8762877421976683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3.7005850762456531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8.1001602564102626</v>
      </c>
      <c r="CT67" s="12">
        <f>IF('Données projet'!$A$140&gt;35,CT66+CS67-DB66,IF(A67&lt;'Données projet'!$A$140,$CQ$205^A67,IF(A67='Données projet'!$A$140,'Données projet'!$B$140,CT66+CS67-DB66)))</f>
        <v>186.66426282051296</v>
      </c>
      <c r="CU67" s="17">
        <f>CT67*VLOOKUP('Données projet'!$B$13,Paramètres!$A$1:$I$89,3,0)*VLOOKUP('Données projet'!$B$13,Paramètres!$A$1:$I$89,5,0)</f>
        <v>125.2143875000001</v>
      </c>
      <c r="CV67" s="13">
        <f t="shared" si="41"/>
        <v>32.888142502171846</v>
      </c>
      <c r="CW67" s="20">
        <f t="shared" si="13"/>
        <v>275.36190642044943</v>
      </c>
      <c r="CX67" s="59">
        <f t="shared" si="14"/>
        <v>568.69523975378274</v>
      </c>
      <c r="CY67" s="59">
        <f ca="1">AVERAGE(OFFSET($CX$3,0,0,'Données projet'!$E$13+1,1))-AVERAGE(OFFSET($H$3,0,0,'Données projet'!$E$13+1,1))</f>
        <v>294.94331863127815</v>
      </c>
      <c r="CZ67" s="59">
        <f t="shared" si="42"/>
        <v>218.36990036643977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11.253895810644783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11.253895810644783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250.59999999999985</v>
      </c>
      <c r="DP67" s="17">
        <f>DO67*VLOOKUP('Données projet'!$B$14,Paramètres!$A$1:$I$89,3,0)*VLOOKUP('Données projet'!$B$14,Paramètres!$A$1:$I$89,5,0)</f>
        <v>183.7399199999999</v>
      </c>
      <c r="DQ67" s="13">
        <f t="shared" si="43"/>
        <v>46.153250992914103</v>
      </c>
      <c r="DR67" s="20">
        <f t="shared" si="16"/>
        <v>400.39727281265851</v>
      </c>
      <c r="DS67" s="59">
        <f t="shared" si="17"/>
        <v>693.73060614599183</v>
      </c>
      <c r="DT67" s="59">
        <f ca="1">AVERAGE(OFFSET($DS$3,0,0,'Données projet'!$E$14+1,1))-AVERAGE(OFFSET($H$3,0,0,'Données projet'!$E$14+1,1))</f>
        <v>278.45534008146865</v>
      </c>
      <c r="DU67" s="59">
        <f t="shared" si="44"/>
        <v>272.97841038165217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15.973851226008685</v>
      </c>
      <c r="EB67" s="21">
        <f>EXP(-LN(2)/25)*EB66+(1-EXP(-LN(2)/25))/(LN(2)/25)*Calculateur!DW67*Calculateur!DY67*VLOOKUP('Données projet'!$B$14,Paramètres!$A$1:$I$89,3,0)*0.475*44/12</f>
        <v>7.9121865160680276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23.886037742076713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8.1001602564102626</v>
      </c>
      <c r="EJ67" s="12">
        <f>IF('Données projet'!$A$192&gt;35,EJ66+EI67-ER66,IF(A67&lt;'Données projet'!$A$192,$EG$205^A67,IF(A67='Données projet'!$A$192,'Données projet'!$B$192,EJ66+EI67-ER66)))</f>
        <v>186.66426282051296</v>
      </c>
      <c r="EK67" s="17">
        <f>EJ67*VLOOKUP('Données projet'!$B$15,Paramètres!$A$1:$I$89,3,0)*VLOOKUP('Données projet'!$B$15,Paramètres!$A$1:$I$89,5,0)</f>
        <v>200.92541250000014</v>
      </c>
      <c r="EL67" s="13">
        <f t="shared" si="45"/>
        <v>49.947490708913911</v>
      </c>
      <c r="EM67" s="20">
        <f t="shared" si="19"/>
        <v>436.93697308885857</v>
      </c>
      <c r="EN67" s="59">
        <f t="shared" si="20"/>
        <v>730.27030642219188</v>
      </c>
      <c r="EO67" s="59">
        <f ca="1">AVERAGE(OFFSET($EN$3,0,0,'Données projet'!$E$15+1,1))-AVERAGE(OFFSET($H$3,0,0,'Données projet'!$E$15+1,1))</f>
        <v>449.09332781196957</v>
      </c>
      <c r="EP67" s="59">
        <f t="shared" si="46"/>
        <v>324.85904971519432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14.651298319518679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14.651298319518679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8.1001602564102626</v>
      </c>
      <c r="FE67" s="12">
        <f>IF('Données projet'!$A$218&gt;35,FE66+FD67-FM66,IF(A67&lt;'Données projet'!$A$218,$FB$205^A67,IF(A67='Données projet'!$A$218,'Données projet'!$B$218,FE66+FD67-FM66)))</f>
        <v>186.66426282051296</v>
      </c>
      <c r="FF67" s="17">
        <f>FE67*VLOOKUP('Données projet'!$B$16,Paramètres!$A$1:$I$89,3,0)*VLOOKUP('Données projet'!$B$16,Paramètres!$A$1:$I$89,5,0)</f>
        <v>189.27756250000016</v>
      </c>
      <c r="FG67" s="13">
        <f t="shared" si="47"/>
        <v>47.380196781958283</v>
      </c>
      <c r="FH67" s="20">
        <f t="shared" si="22"/>
        <v>412.17893074941094</v>
      </c>
      <c r="FI67" s="59">
        <f t="shared" si="23"/>
        <v>705.5122640827442</v>
      </c>
      <c r="FJ67" s="59">
        <f ca="1">AVERAGE(OFFSET($FI$3,0,0,'Données projet'!$E$16+1,1))-AVERAGE(OFFSET($H$3,0,0,'Données projet'!$E$16+1,1))</f>
        <v>419.51168383014721</v>
      </c>
      <c r="FK67" s="59">
        <f t="shared" si="48"/>
        <v>213.44145308833384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13.801947692300208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13.801947692300208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4.4000000000000004</v>
      </c>
      <c r="FZ67" s="12">
        <f>IF('Données projet'!$A$244&gt;35,FZ66+FY67-GH66,IF(A67&lt;'Données projet'!$A$244,$FW$205^A67,IF(A67='Données projet'!$A$244,'Données projet'!$B$244,FZ66+FY67-GH66)))</f>
        <v>250.59999999999985</v>
      </c>
      <c r="GA67" s="17">
        <f>FZ67*VLOOKUP('Données projet'!$B$17,Paramètres!$A$1:$I$89,3,0)*VLOOKUP('Données projet'!$B$17,Paramètres!$A$1:$I$89,5,0)</f>
        <v>218.92415999999989</v>
      </c>
      <c r="GB67" s="13">
        <f t="shared" si="49"/>
        <v>53.880990541091087</v>
      </c>
      <c r="GC67" s="20">
        <f t="shared" si="25"/>
        <v>475.13563719240005</v>
      </c>
      <c r="GD67" s="59">
        <f t="shared" si="26"/>
        <v>768.46897052573331</v>
      </c>
      <c r="GE67" s="59">
        <f ca="1">AVERAGE(OFFSET($GD$3,0,0,'Données projet'!$E$17+1,1))-AVERAGE(OFFSET($H$3,0,0,'Données projet'!$E$17+1,1))</f>
        <v>324.86930206492627</v>
      </c>
      <c r="GF67" s="59">
        <f t="shared" si="50"/>
        <v>317.03005098025352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23.458877010783667</v>
      </c>
      <c r="GM67" s="21">
        <f>EXP(-LN(2)/25)*GM66+(1-EXP(-LN(2)/25))/(LN(2)/25)*Calculateur!GH67*Calculateur!GJ67*VLOOKUP('Données projet'!$B$17,Paramètres!$A$1:$I$89,3,0)*0.475*44/12</f>
        <v>11.619678169069728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35.078555179853396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8.1001602564102626</v>
      </c>
      <c r="GU67" s="12">
        <f>IF('Données projet'!$A$270&gt;35,GU66+GT67-HC66,IF(A67&lt;'Données projet'!$A$270,$GR$205^A67,IF(A67='Données projet'!$A$270,'Données projet'!$B$270,GU66+GT67-HC66)))</f>
        <v>186.66426282051296</v>
      </c>
      <c r="GV67" s="17">
        <f>GU67*VLOOKUP('Données projet'!$B$18,Paramètres!$A$1:$I$89,3,0)*VLOOKUP('Données projet'!$B$18,Paramètres!$A$1:$I$89,5,0)</f>
        <v>177.62971250000012</v>
      </c>
      <c r="GW67" s="13">
        <f t="shared" si="51"/>
        <v>44.794434719638716</v>
      </c>
      <c r="GX67" s="20">
        <f t="shared" si="28"/>
        <v>387.38872307420428</v>
      </c>
      <c r="GY67" s="59">
        <f t="shared" si="29"/>
        <v>680.72205640753759</v>
      </c>
      <c r="GZ67" s="59">
        <f ca="1">AVERAGE(OFFSET($GY$3,0,0,'Données projet'!$E$18+1,1))-AVERAGE(OFFSET($H$3,0,0,'Données projet'!$E$18+1,1))</f>
        <v>401.81944956556271</v>
      </c>
      <c r="HA67" s="59">
        <f t="shared" si="52"/>
        <v>292.20785523952651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12.952597065081733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12.952597065081733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194.76442307692321</v>
      </c>
      <c r="O68" s="13">
        <f>N68*VLOOKUP('Données projet'!$B$9,Paramètres!$A$1:$I$89,3,0)*VLOOKUP('Données projet'!$B$9,Paramètres!$A$1:$I$89,5,0)</f>
        <v>176.22285000000011</v>
      </c>
      <c r="P68" s="13">
        <f t="shared" si="33"/>
        <v>44.480805480154558</v>
      </c>
      <c r="Q68" s="20">
        <f t="shared" si="54"/>
        <v>384.3921999612694</v>
      </c>
      <c r="R68" s="59">
        <f t="shared" si="55"/>
        <v>677.72553329460266</v>
      </c>
      <c r="S68" s="59">
        <f ca="1">AVERAGE(OFFSET($R$3,0,0,'Données projet'!$E$9+1,1))-AVERAGE(OFFSET($H$3,0,0,'Données projet'!$E$9+1,1))</f>
        <v>384.05928630855732</v>
      </c>
      <c r="T68" s="59">
        <f t="shared" si="34"/>
        <v>279.93992813630513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-1.1368683772161603E-13</v>
      </c>
      <c r="AJ68" s="13">
        <f>AI68*VLOOKUP('Données projet'!$B$10,Paramètres!$A$1:$I$89,3,0)*VLOOKUP('Données projet'!$B$10,Paramètres!$A$1:$I$89,5,0)</f>
        <v>-6.3550942286383367E-14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335.04906256888819</v>
      </c>
      <c r="AO68" s="59">
        <f t="shared" si="36"/>
        <v>440.84111898279554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185.93481802341336</v>
      </c>
      <c r="AV68" s="21">
        <f>EXP(-LN(2)/25)*AV67+(1-EXP(-LN(2)/25))/(LN(2)/25)*Calculateur!AQ68*Calculateur!AS68*VLOOKUP('Données projet'!$B$10,Paramètres!$A$1:$I$89,3,0)*0.475*44/12</f>
        <v>43.658457761345673</v>
      </c>
      <c r="AW68" s="21">
        <f>EXP(-LN(2)/2)*AW67+(1-EXP(-LN(2)/2))/(LN(2)/2)*AQ68*AT68*VLOOKUP('Données projet'!$B$10,Paramètres!$A$1:$I$89,3,0)*0.475*44/12</f>
        <v>1.0675407501285148</v>
      </c>
      <c r="AX68" s="21">
        <f t="shared" ref="AX68:AX131" si="60">SUM(AU68:AW68)</f>
        <v>230.66081653488754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8.0507692307692249</v>
      </c>
      <c r="BD68" s="12">
        <f>IF('Données projet'!$A$88&gt;35,BD67+BC68-BL67,IF(A68&lt;'Données projet'!$A$88,$BA$205^A68,IF(A68='Données projet'!$A$88,'Données projet'!$B$88,BD67+BC68-BL67)))</f>
        <v>353.50153846153836</v>
      </c>
      <c r="BE68" s="13">
        <f>BD68*VLOOKUP('Données projet'!$B$11,Paramètres!$A$1:$I$89,3,0)*VLOOKUP('Données projet'!$B$11,Paramètres!$A$1:$I$89,5,0)</f>
        <v>202.20287999999996</v>
      </c>
      <c r="BF68" s="13">
        <f t="shared" si="37"/>
        <v>50.227984996093276</v>
      </c>
      <c r="BG68" s="20">
        <f t="shared" ref="BG68:BG131" si="61">(BE68+BF68)*0.475*44/12</f>
        <v>439.65042320152907</v>
      </c>
      <c r="BH68" s="59">
        <f t="shared" ref="BH68:BH131" si="62">BG68+(AY68+AZ68)*44/12</f>
        <v>732.98375653486232</v>
      </c>
      <c r="BI68" s="59">
        <f ca="1">AVERAGE(OFFSET($BH$3,0,0,'Données projet'!$E$11+1,1))-AVERAGE(OFFSET($H$3,0,0,'Données projet'!$E$11+1,1))</f>
        <v>320.76883487964511</v>
      </c>
      <c r="BJ68" s="59">
        <f t="shared" si="38"/>
        <v>290.51177680335746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32.891841488644019</v>
      </c>
      <c r="BQ68" s="21">
        <f>EXP(-LN(2)/25)*BQ67+(1-EXP(-LN(2)/25))/(LN(2)/25)*Calculateur!BL68*Calculateur!BN68*VLOOKUP('Données projet'!$B$11,Paramètres!$A$1:$I$89,3,0)*0.475*44/12</f>
        <v>11.854610477883503</v>
      </c>
      <c r="BR68" s="21">
        <f>EXP(-LN(2)/2)*BR67+(1-EXP(-LN(2)/2))/(LN(2)/2)*BL68*BO68*VLOOKUP('Données projet'!$B$11,Paramètres!$A$1:$I$89,3,0)*0.475*44/12</f>
        <v>0.361980658725161</v>
      </c>
      <c r="BS68" s="22">
        <f t="shared" ref="BS68:BS131" si="63">SUM(BP68:BR68)</f>
        <v>45.108432625252682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304.99999999999983</v>
      </c>
      <c r="BZ68" s="13">
        <f>BY68*VLOOKUP('Données projet'!$B$12,Paramètres!$A$1:$I$89,3,0)*VLOOKUP('Données projet'!$B$12,Paramètres!$A$1:$I$89,5,0)</f>
        <v>275.96399999999983</v>
      </c>
      <c r="CA68" s="13">
        <f t="shared" si="39"/>
        <v>66.113366665488854</v>
      </c>
      <c r="CB68" s="20">
        <f t="shared" ref="CB68:CB131" si="64">(BZ68+CA68)*0.475*44/12</f>
        <v>595.78474694239264</v>
      </c>
      <c r="CC68" s="59">
        <f t="shared" ref="CC68:CC131" si="65">CB68+(BT68+BU68)*44/12</f>
        <v>889.11808027572602</v>
      </c>
      <c r="CD68" s="59">
        <f ca="1">AVERAGE(OFFSET($CC$3,0,0,'Données projet'!$E$12+1,1))-AVERAGE(OFFSET($H$3,0,0,'Données projet'!$E$12+1,1))</f>
        <v>366.69125512029831</v>
      </c>
      <c r="CE68" s="59">
        <f t="shared" si="40"/>
        <v>513.80016421153414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0.80813336609903308</v>
      </c>
      <c r="CL68" s="21">
        <f>EXP(-LN(2)/25)*CL67+(1-EXP(-LN(2)/25))/(LN(2)/25)*Calculateur!CG68*Calculateur!CI68*VLOOKUP('Données projet'!$B$12,Paramètres!$A$1:$I$89,3,0)*0.475*44/12</f>
        <v>2.7976355026298747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3.6057688687289078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8.1001602564102626</v>
      </c>
      <c r="CT68" s="12">
        <f>IF('Données projet'!$A$140&gt;35,CT67+CS68-DB67,IF(A68&lt;'Données projet'!$A$140,$CQ$205^A68,IF(A68='Données projet'!$A$140,'Données projet'!$B$140,CT67+CS68-DB67)))</f>
        <v>194.76442307692321</v>
      </c>
      <c r="CU68" s="17">
        <f>CT68*VLOOKUP('Données projet'!$B$13,Paramètres!$A$1:$I$89,3,0)*VLOOKUP('Données projet'!$B$13,Paramètres!$A$1:$I$89,5,0)</f>
        <v>130.64797500000009</v>
      </c>
      <c r="CV68" s="13">
        <f t="shared" si="41"/>
        <v>34.146043975082897</v>
      </c>
      <c r="CW68" s="20">
        <f t="shared" ref="CW68:CW131" si="67">(CU68+CV68)*0.475*44/12</f>
        <v>287.01624971493624</v>
      </c>
      <c r="CX68" s="59">
        <f t="shared" ref="CX68:CX131" si="68">CW68+(CO68+CP68)*44/12</f>
        <v>580.34958304826955</v>
      </c>
      <c r="CY68" s="59">
        <f ca="1">AVERAGE(OFFSET($CX$3,0,0,'Données projet'!$E$13+1,1))-AVERAGE(OFFSET($H$3,0,0,'Données projet'!$E$13+1,1))</f>
        <v>294.94331863127815</v>
      </c>
      <c r="CZ68" s="59">
        <f t="shared" si="42"/>
        <v>218.36990036643977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11.0332137779967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11.0332137779967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255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254.99999999999986</v>
      </c>
      <c r="DP68" s="17">
        <f>DO68*VLOOKUP('Données projet'!$B$14,Paramètres!$A$1:$I$89,3,0)*VLOOKUP('Données projet'!$B$14,Paramètres!$A$1:$I$89,5,0)</f>
        <v>186.96599999999989</v>
      </c>
      <c r="DQ68" s="13">
        <f t="shared" si="43"/>
        <v>46.868551400324606</v>
      </c>
      <c r="DR68" s="20">
        <f t="shared" ref="DR68:DR131" si="70">(DP68+DQ68)*0.475*44/12</f>
        <v>407.26184368889852</v>
      </c>
      <c r="DS68" s="59">
        <f t="shared" ref="DS68:DS131" si="71">DR68+(DJ68+DK68)*44/12</f>
        <v>700.59517702223184</v>
      </c>
      <c r="DT68" s="59">
        <f ca="1">AVERAGE(OFFSET($DS$3,0,0,'Données projet'!$E$14+1,1))-AVERAGE(OFFSET($H$3,0,0,'Données projet'!$E$14+1,1))</f>
        <v>278.45534008146865</v>
      </c>
      <c r="DU68" s="59">
        <f t="shared" si="44"/>
        <v>272.97841038165217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0.35259999999999997</v>
      </c>
      <c r="DY68" s="16">
        <f>IF(ISNA(VLOOKUP(A68,'Données projet'!$A$165:$I$185,6,0)),0%,VLOOKUP(A68,'Données projet'!$A$165:$I$185,6,0)*VLOOKUP('Données projet'!$B$14,Paramètres!$A$1:$I$89,7,0))</f>
        <v>3.8699999999999998E-2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18.804338826540079</v>
      </c>
      <c r="EB68" s="21">
        <f>EXP(-LN(2)/25)*EB67+(1-EXP(-LN(2)/25))/(LN(2)/25)*Calculateur!DW68*Calculateur!DY68*VLOOKUP('Données projet'!$B$14,Paramètres!$A$1:$I$89,3,0)*0.475*44/12</f>
        <v>8.039511790536956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26.843850617077035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8.1001602564102626</v>
      </c>
      <c r="EJ68" s="12">
        <f>IF('Données projet'!$A$192&gt;35,EJ67+EI68-ER67,IF(A68&lt;'Données projet'!$A$192,$EG$205^A68,IF(A68='Données projet'!$A$192,'Données projet'!$B$192,EJ67+EI68-ER67)))</f>
        <v>194.76442307692321</v>
      </c>
      <c r="EK68" s="17">
        <f>EJ68*VLOOKUP('Données projet'!$B$15,Paramètres!$A$1:$I$89,3,0)*VLOOKUP('Données projet'!$B$15,Paramètres!$A$1:$I$89,5,0)</f>
        <v>209.64442500000015</v>
      </c>
      <c r="EL68" s="13">
        <f t="shared" si="45"/>
        <v>51.857875952677823</v>
      </c>
      <c r="EM68" s="20">
        <f t="shared" ref="EM68:EM131" si="73">(EK68+EL68)*0.475*44/12</f>
        <v>455.44984082591412</v>
      </c>
      <c r="EN68" s="59">
        <f t="shared" ref="EN68:EN131" si="74">EM68+(EE68+EF68)*44/12</f>
        <v>748.78317415924744</v>
      </c>
      <c r="EO68" s="59">
        <f ca="1">AVERAGE(OFFSET($EN$3,0,0,'Données projet'!$E$15+1,1))-AVERAGE(OFFSET($H$3,0,0,'Données projet'!$E$15+1,1))</f>
        <v>449.09332781196957</v>
      </c>
      <c r="EP68" s="59">
        <f t="shared" si="46"/>
        <v>324.85904971519432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14.363995295882495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14.363995295882495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8.1001602564102626</v>
      </c>
      <c r="FE68" s="12">
        <f>IF('Données projet'!$A$218&gt;35,FE67+FD68-FM67,IF(A68&lt;'Données projet'!$A$218,$FB$205^A68,IF(A68='Données projet'!$A$218,'Données projet'!$B$218,FE67+FD68-FM67)))</f>
        <v>194.76442307692321</v>
      </c>
      <c r="FF68" s="17">
        <f>FE68*VLOOKUP('Données projet'!$B$16,Paramètres!$A$1:$I$89,3,0)*VLOOKUP('Données projet'!$B$16,Paramètres!$A$1:$I$89,5,0)</f>
        <v>197.49112500000015</v>
      </c>
      <c r="FG68" s="13">
        <f t="shared" si="47"/>
        <v>49.192388495579841</v>
      </c>
      <c r="FH68" s="20">
        <f t="shared" ref="FH68:FH131" si="76">(FF68+FG68)*0.475*44/12</f>
        <v>429.64045267146849</v>
      </c>
      <c r="FI68" s="59">
        <f t="shared" ref="FI68:FI131" si="77">FH68+(EZ68+FA68)*44/12</f>
        <v>722.97378600480181</v>
      </c>
      <c r="FJ68" s="59">
        <f ca="1">AVERAGE(OFFSET($FI$3,0,0,'Données projet'!$E$16+1,1))-AVERAGE(OFFSET($H$3,0,0,'Données projet'!$E$16+1,1))</f>
        <v>419.51168383014721</v>
      </c>
      <c r="FK68" s="59">
        <f t="shared" si="48"/>
        <v>213.44145308833384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13.531299916411051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13.531299916411051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255</v>
      </c>
      <c r="FX68" s="12">
        <f>VLOOKUP(A68,'Données projet'!$A$243:$I$263,9,0)</f>
        <v>4.4000000000000004</v>
      </c>
      <c r="FY68" s="12">
        <f t="array" ref="FY68">INDEX(FX:FX,MIN(IF(ISNUMBER(FX68:FX264),ROW(FX68:FX264),"")))</f>
        <v>4.4000000000000004</v>
      </c>
      <c r="FZ68" s="12">
        <f>IF('Données projet'!$A$244&gt;35,FZ67+FY68-GH67,IF(A68&lt;'Données projet'!$A$244,$FW$205^A68,IF(A68='Données projet'!$A$244,'Données projet'!$B$244,FZ67+FY68-GH67)))</f>
        <v>254.99999999999986</v>
      </c>
      <c r="GA68" s="17">
        <f>FZ68*VLOOKUP('Données projet'!$B$17,Paramètres!$A$1:$I$89,3,0)*VLOOKUP('Données projet'!$B$17,Paramètres!$A$1:$I$89,5,0)</f>
        <v>222.76799999999989</v>
      </c>
      <c r="GB68" s="13">
        <f t="shared" si="49"/>
        <v>54.716058356609459</v>
      </c>
      <c r="GC68" s="20">
        <f t="shared" ref="GC68:GC131" si="79">(GA68+GB68)*0.475*44/12</f>
        <v>483.28473497109462</v>
      </c>
      <c r="GD68" s="59">
        <f t="shared" ref="GD68:GD131" si="80">GC68+(FU68+FV68)*44/12</f>
        <v>776.61806830442788</v>
      </c>
      <c r="GE68" s="59">
        <f ca="1">AVERAGE(OFFSET($GD$3,0,0,'Données projet'!$E$17+1,1))-AVERAGE(OFFSET($H$3,0,0,'Données projet'!$E$17+1,1))</f>
        <v>324.86930206492627</v>
      </c>
      <c r="GF68" s="59">
        <f t="shared" si="50"/>
        <v>317.03005098025352</v>
      </c>
      <c r="GG68" s="15">
        <f>IF(ISNA(VLOOKUP(A68,'Données projet'!$A$243:$I$263,3,0)),0,VLOOKUP(A68,'Données projet'!$A$243:$I$263,3,0))</f>
        <v>11</v>
      </c>
      <c r="GH68" s="15">
        <f>IF(ISNA(VLOOKUP(A68,'Données projet'!$A$243:$I$263,4,0)),0,VLOOKUP(A68,'Données projet'!$A$243:$I$263,4,0))</f>
        <v>11</v>
      </c>
      <c r="GI68" s="16">
        <f>IF(ISNA(VLOOKUP(A68,'Données projet'!$A$243:$I$263,5,0)),0%,VLOOKUP(A68,'Données projet'!$A$243:$I$263,5,0)*VLOOKUP('Données projet'!$B$17,Paramètres!$A$1:$I$89,7,0))</f>
        <v>0.43459999999999999</v>
      </c>
      <c r="GJ68" s="16">
        <f>IF(ISNA(VLOOKUP(A68,'Données projet'!$A$243:$I$263,6,0)),0%,VLOOKUP(A68,'Données projet'!$A$243:$I$263,6,0)*VLOOKUP('Données projet'!$B$17,Paramètres!$A$1:$I$89,7,0))</f>
        <v>4.7699999999999999E-2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27.615674239075194</v>
      </c>
      <c r="GM68" s="21">
        <f>EXP(-LN(2)/25)*GM67+(1-EXP(-LN(2)/25))/(LN(2)/25)*Calculateur!GH68*Calculateur!GJ68*VLOOKUP('Données projet'!$B$17,Paramètres!$A$1:$I$89,3,0)*0.475*44/12</f>
        <v>11.806665509309106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39.422339748384303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8.1001602564102626</v>
      </c>
      <c r="GU68" s="12">
        <f>IF('Données projet'!$A$270&gt;35,GU67+GT68-HC67,IF(A68&lt;'Données projet'!$A$270,$GR$205^A68,IF(A68='Données projet'!$A$270,'Données projet'!$B$270,GU67+GT68-HC67)))</f>
        <v>194.76442307692321</v>
      </c>
      <c r="GV68" s="17">
        <f>GU68*VLOOKUP('Données projet'!$B$18,Paramètres!$A$1:$I$89,3,0)*VLOOKUP('Données projet'!$B$18,Paramètres!$A$1:$I$89,5,0)</f>
        <v>185.33782500000012</v>
      </c>
      <c r="GW68" s="13">
        <f t="shared" si="51"/>
        <v>46.50772653623585</v>
      </c>
      <c r="GX68" s="20">
        <f t="shared" ref="GX68:GX131" si="82">(GV68+GW68)*0.475*44/12</f>
        <v>403.79766892561094</v>
      </c>
      <c r="GY68" s="59">
        <f t="shared" ref="GY68:GY131" si="83">GX68+(GP68+GQ68)*44/12</f>
        <v>697.13100225894425</v>
      </c>
      <c r="GZ68" s="59">
        <f ca="1">AVERAGE(OFFSET($GY$3,0,0,'Données projet'!$E$18+1,1))-AVERAGE(OFFSET($H$3,0,0,'Données projet'!$E$18+1,1))</f>
        <v>401.81944956556271</v>
      </c>
      <c r="HA68" s="59">
        <f t="shared" si="52"/>
        <v>292.20785523952651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12.6986045369396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12.6986045369396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202.86458333333348</v>
      </c>
      <c r="O69" s="13">
        <f>N69*VLOOKUP('Données projet'!$B$9,Paramètres!$A$1:$I$89,3,0)*VLOOKUP('Données projet'!$B$9,Paramètres!$A$1:$I$89,5,0)</f>
        <v>183.55187500000014</v>
      </c>
      <c r="P69" s="13">
        <f t="shared" ref="P69:P132" si="87">EXP(-1.0587+0.8836*LN(O69)+0.284)</f>
        <v>46.11151198237242</v>
      </c>
      <c r="Q69" s="20">
        <f t="shared" si="54"/>
        <v>399.99706566096552</v>
      </c>
      <c r="R69" s="59">
        <f t="shared" si="55"/>
        <v>693.33039899429878</v>
      </c>
      <c r="S69" s="59">
        <f ca="1">AVERAGE(OFFSET($R$3,0,0,'Données projet'!$E$9+1,1))-AVERAGE(OFFSET($H$3,0,0,'Données projet'!$E$9+1,1))</f>
        <v>384.05928630855732</v>
      </c>
      <c r="T69" s="59">
        <f t="shared" ref="T69:T132" si="88">$T$3</f>
        <v>279.93992813630513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-1.1368683772161603E-13</v>
      </c>
      <c r="AJ69" s="13">
        <f>AI69*VLOOKUP('Données projet'!$B$10,Paramètres!$A$1:$I$89,3,0)*VLOOKUP('Données projet'!$B$10,Paramètres!$A$1:$I$89,5,0)</f>
        <v>-6.3550942286383367E-14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335.04906256888819</v>
      </c>
      <c r="AO69" s="59">
        <f t="shared" ref="AO69:AO132" si="90">$AO$3</f>
        <v>440.84111898279554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182.288749651015</v>
      </c>
      <c r="AV69" s="21">
        <f>EXP(-LN(2)/25)*AV68+(1-EXP(-LN(2)/25))/(LN(2)/25)*Calculateur!AQ69*Calculateur!AS69*VLOOKUP('Données projet'!$B$10,Paramètres!$A$1:$I$89,3,0)*0.475*44/12</f>
        <v>42.464614937963162</v>
      </c>
      <c r="AW69" s="21">
        <f>EXP(-LN(2)/2)*AW68+(1-EXP(-LN(2)/2))/(LN(2)/2)*AQ69*AT69*VLOOKUP('Données projet'!$B$10,Paramètres!$A$1:$I$89,3,0)*0.475*44/12</f>
        <v>0.75486530360884652</v>
      </c>
      <c r="AX69" s="21">
        <f t="shared" si="60"/>
        <v>225.50822989258702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8.0507692307692249</v>
      </c>
      <c r="BD69" s="12">
        <f>IF('Données projet'!$A$88&gt;35,BD68+BC69-BL68,IF(A69&lt;'Données projet'!$A$88,$BA$205^A69,IF(A69='Données projet'!$A$88,'Données projet'!$B$88,BD68+BC69-BL68)))</f>
        <v>361.55230769230758</v>
      </c>
      <c r="BE69" s="13">
        <f>BD69*VLOOKUP('Données projet'!$B$11,Paramètres!$A$1:$I$89,3,0)*VLOOKUP('Données projet'!$B$11,Paramètres!$A$1:$I$89,5,0)</f>
        <v>206.80791999999994</v>
      </c>
      <c r="BF69" s="13">
        <f t="shared" ref="BF69:BF132" si="91">EXP(-1.0587+0.8836*LN(BE69)+0.284)</f>
        <v>51.237415291837365</v>
      </c>
      <c r="BG69" s="20">
        <f t="shared" si="61"/>
        <v>449.42895896661662</v>
      </c>
      <c r="BH69" s="59">
        <f t="shared" si="62"/>
        <v>742.76229229994988</v>
      </c>
      <c r="BI69" s="59">
        <f ca="1">AVERAGE(OFFSET($BH$3,0,0,'Données projet'!$E$11+1,1))-AVERAGE(OFFSET($H$3,0,0,'Données projet'!$E$11+1,1))</f>
        <v>320.76883487964511</v>
      </c>
      <c r="BJ69" s="59">
        <f t="shared" ref="BJ69:BJ132" si="92">$BJ$3</f>
        <v>290.51177680335746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32.246852539094057</v>
      </c>
      <c r="BQ69" s="21">
        <f>EXP(-LN(2)/25)*BQ68+(1-EXP(-LN(2)/25))/(LN(2)/25)*Calculateur!BL69*Calculateur!BN69*VLOOKUP('Données projet'!$B$11,Paramètres!$A$1:$I$89,3,0)*0.475*44/12</f>
        <v>11.530445530958907</v>
      </c>
      <c r="BR69" s="21">
        <f>EXP(-LN(2)/2)*BR68+(1-EXP(-LN(2)/2))/(LN(2)/2)*BL69*BO69*VLOOKUP('Données projet'!$B$11,Paramètres!$A$1:$I$89,3,0)*0.475*44/12</f>
        <v>0.25595897844293475</v>
      </c>
      <c r="BS69" s="22">
        <f t="shared" si="63"/>
        <v>44.033257048495898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304.99999999999983</v>
      </c>
      <c r="BZ69" s="13">
        <f>BY69*VLOOKUP('Données projet'!$B$12,Paramètres!$A$1:$I$89,3,0)*VLOOKUP('Données projet'!$B$12,Paramètres!$A$1:$I$89,5,0)</f>
        <v>275.96399999999983</v>
      </c>
      <c r="CA69" s="13">
        <f t="shared" ref="CA69:CA132" si="93">EXP(-1.0587+0.8836*LN(BZ69)+0.284)</f>
        <v>66.113366665488854</v>
      </c>
      <c r="CB69" s="20">
        <f t="shared" si="64"/>
        <v>595.78474694239264</v>
      </c>
      <c r="CC69" s="59">
        <f t="shared" si="65"/>
        <v>889.11808027572602</v>
      </c>
      <c r="CD69" s="59">
        <f ca="1">AVERAGE(OFFSET($CC$3,0,0,'Données projet'!$E$12+1,1))-AVERAGE(OFFSET($H$3,0,0,'Données projet'!$E$12+1,1))</f>
        <v>366.69125512029831</v>
      </c>
      <c r="CE69" s="59">
        <f t="shared" ref="CE69:CE132" si="94">$CE$3</f>
        <v>513.80016421153414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0.79228636370251326</v>
      </c>
      <c r="CL69" s="21">
        <f>EXP(-LN(2)/25)*CL68+(1-EXP(-LN(2)/25))/(LN(2)/25)*Calculateur!CG69*Calculateur!CI69*VLOOKUP('Données projet'!$B$12,Paramètres!$A$1:$I$89,3,0)*0.475*44/12</f>
        <v>2.7211340126892036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3.5134203763917169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8.1001602564102626</v>
      </c>
      <c r="CT69" s="12">
        <f>IF('Données projet'!$A$140&gt;35,CT68+CS69-DB68,IF(A69&lt;'Données projet'!$A$140,$CQ$205^A69,IF(A69='Données projet'!$A$140,'Données projet'!$B$140,CT68+CS69-DB68)))</f>
        <v>202.86458333333348</v>
      </c>
      <c r="CU69" s="17">
        <f>CT69*VLOOKUP('Données projet'!$B$13,Paramètres!$A$1:$I$89,3,0)*VLOOKUP('Données projet'!$B$13,Paramètres!$A$1:$I$89,5,0)</f>
        <v>136.0815625000001</v>
      </c>
      <c r="CV69" s="13">
        <f t="shared" ref="CV69:CV132" si="95">EXP(-1.0587+0.8836*LN(CU69)+0.284)</f>
        <v>35.397868786574371</v>
      </c>
      <c r="CW69" s="20">
        <f t="shared" si="67"/>
        <v>298.66000949078386</v>
      </c>
      <c r="CX69" s="59">
        <f t="shared" si="68"/>
        <v>591.99334282411724</v>
      </c>
      <c r="CY69" s="59">
        <f ca="1">AVERAGE(OFFSET($CX$3,0,0,'Données projet'!$E$13+1,1))-AVERAGE(OFFSET($H$3,0,0,'Données projet'!$E$13+1,1))</f>
        <v>294.94331863127815</v>
      </c>
      <c r="CZ69" s="59">
        <f t="shared" ref="CZ69:CZ132" si="96">$CZ$3</f>
        <v>218.36990036643977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10.816859185406097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10.816859185406097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247.79999999999984</v>
      </c>
      <c r="DP69" s="17">
        <f>DO69*VLOOKUP('Données projet'!$B$14,Paramètres!$A$1:$I$89,3,0)*VLOOKUP('Données projet'!$B$14,Paramètres!$A$1:$I$89,5,0)</f>
        <v>181.68695999999989</v>
      </c>
      <c r="DQ69" s="13">
        <f t="shared" ref="DQ69:DQ132" si="97">EXP(-1.0587+0.8836*LN(DP69)+0.284)</f>
        <v>45.697299679537338</v>
      </c>
      <c r="DR69" s="20">
        <f t="shared" si="70"/>
        <v>396.02758560852732</v>
      </c>
      <c r="DS69" s="59">
        <f t="shared" si="71"/>
        <v>689.36091894186063</v>
      </c>
      <c r="DT69" s="59">
        <f ca="1">AVERAGE(OFFSET($DS$3,0,0,'Données projet'!$E$14+1,1))-AVERAGE(OFFSET($H$3,0,0,'Données projet'!$E$14+1,1))</f>
        <v>278.45534008146865</v>
      </c>
      <c r="DU69" s="59">
        <f t="shared" ref="DU69:DU132" si="98">$DU$3</f>
        <v>272.97841038165217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18.43559721166579</v>
      </c>
      <c r="EB69" s="21">
        <f>EXP(-LN(2)/25)*EB68+(1-EXP(-LN(2)/25))/(LN(2)/25)*Calculateur!DW69*Calculateur!DY69*VLOOKUP('Données projet'!$B$14,Paramètres!$A$1:$I$89,3,0)*0.475*44/12</f>
        <v>7.8196709178451727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26.255268129510963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8.1001602564102626</v>
      </c>
      <c r="EJ69" s="12">
        <f>IF('Données projet'!$A$192&gt;35,EJ68+EI69-ER68,IF(A69&lt;'Données projet'!$A$192,$EG$205^A69,IF(A69='Données projet'!$A$192,'Données projet'!$B$192,EJ68+EI69-ER68)))</f>
        <v>202.86458333333348</v>
      </c>
      <c r="EK69" s="17">
        <f>EJ69*VLOOKUP('Données projet'!$B$15,Paramètres!$A$1:$I$89,3,0)*VLOOKUP('Données projet'!$B$15,Paramètres!$A$1:$I$89,5,0)</f>
        <v>218.36343750000015</v>
      </c>
      <c r="EL69" s="13">
        <f t="shared" ref="EL69:EL132" si="99">EXP(-1.0587+0.8836*LN(EK69)+0.284)</f>
        <v>53.759032521098476</v>
      </c>
      <c r="EM69" s="20">
        <f t="shared" si="73"/>
        <v>473.9466352867467</v>
      </c>
      <c r="EN69" s="59">
        <f t="shared" si="74"/>
        <v>767.27996862008001</v>
      </c>
      <c r="EO69" s="59">
        <f ca="1">AVERAGE(OFFSET($EN$3,0,0,'Données projet'!$E$15+1,1))-AVERAGE(OFFSET($H$3,0,0,'Données projet'!$E$15+1,1))</f>
        <v>449.09332781196957</v>
      </c>
      <c r="EP69" s="59">
        <f t="shared" ref="EP69:EP132" si="100">$EP$3</f>
        <v>324.85904971519432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14.082326109302276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14.082326109302276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8.1001602564102626</v>
      </c>
      <c r="FE69" s="12">
        <f>IF('Données projet'!$A$218&gt;35,FE68+FD69-FM68,IF(A69&lt;'Données projet'!$A$218,$FB$205^A69,IF(A69='Données projet'!$A$218,'Données projet'!$B$218,FE68+FD69-FM68)))</f>
        <v>202.86458333333348</v>
      </c>
      <c r="FF69" s="17">
        <f>FE69*VLOOKUP('Données projet'!$B$16,Paramètres!$A$1:$I$89,3,0)*VLOOKUP('Données projet'!$B$16,Paramètres!$A$1:$I$89,5,0)</f>
        <v>205.70468750000018</v>
      </c>
      <c r="FG69" s="13">
        <f t="shared" ref="FG69:FG132" si="101">EXP(-1.0587+0.8836*LN(FF69)+0.284)</f>
        <v>50.995825886459762</v>
      </c>
      <c r="FH69" s="20">
        <f t="shared" si="76"/>
        <v>447.08672748141771</v>
      </c>
      <c r="FI69" s="59">
        <f t="shared" si="77"/>
        <v>740.42006081475097</v>
      </c>
      <c r="FJ69" s="59">
        <f ca="1">AVERAGE(OFFSET($FI$3,0,0,'Données projet'!$E$16+1,1))-AVERAGE(OFFSET($H$3,0,0,'Données projet'!$E$16+1,1))</f>
        <v>419.51168383014721</v>
      </c>
      <c r="FK69" s="59">
        <f t="shared" ref="FK69:FK132" si="102">$FK$3</f>
        <v>213.44145308833384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13.265959378328235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13.265959378328235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3.8</v>
      </c>
      <c r="FZ69" s="12">
        <f>IF('Données projet'!$A$244&gt;35,FZ68+FY69-GH68,IF(A69&lt;'Données projet'!$A$244,$FW$205^A69,IF(A69='Données projet'!$A$244,'Données projet'!$B$244,FZ68+FY69-GH68)))</f>
        <v>247.79999999999984</v>
      </c>
      <c r="GA69" s="17">
        <f>FZ69*VLOOKUP('Données projet'!$B$17,Paramètres!$A$1:$I$89,3,0)*VLOOKUP('Données projet'!$B$17,Paramètres!$A$1:$I$89,5,0)</f>
        <v>216.47807999999986</v>
      </c>
      <c r="GB69" s="13">
        <f t="shared" ref="GB69:GB132" si="103">EXP(-1.0587+0.8836*LN(GA69)+0.284)</f>
        <v>53.348696328338377</v>
      </c>
      <c r="GC69" s="20">
        <f t="shared" si="79"/>
        <v>469.94830210518904</v>
      </c>
      <c r="GD69" s="59">
        <f t="shared" si="80"/>
        <v>763.28163543852236</v>
      </c>
      <c r="GE69" s="59">
        <f ca="1">AVERAGE(OFFSET($GD$3,0,0,'Données projet'!$E$17+1,1))-AVERAGE(OFFSET($H$3,0,0,'Données projet'!$E$17+1,1))</f>
        <v>324.86930206492627</v>
      </c>
      <c r="GF69" s="59">
        <f t="shared" ref="GF69:GF132" si="104">$GF$3</f>
        <v>317.03005098025352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27.074147711145017</v>
      </c>
      <c r="GM69" s="21">
        <f>EXP(-LN(2)/25)*GM68+(1-EXP(-LN(2)/25))/(LN(2)/25)*Calculateur!GH69*Calculateur!GJ69*VLOOKUP('Données projet'!$B$17,Paramètres!$A$1:$I$89,3,0)*0.475*44/12</f>
        <v>11.483811620071494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38.557959331216509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8.1001602564102626</v>
      </c>
      <c r="GU69" s="12">
        <f>IF('Données projet'!$A$270&gt;35,GU68+GT69-HC68,IF(A69&lt;'Données projet'!$A$270,$GR$205^A69,IF(A69='Données projet'!$A$270,'Données projet'!$B$270,GU68+GT69-HC68)))</f>
        <v>202.86458333333348</v>
      </c>
      <c r="GV69" s="17">
        <f>GU69*VLOOKUP('Données projet'!$B$18,Paramètres!$A$1:$I$89,3,0)*VLOOKUP('Données projet'!$B$18,Paramètres!$A$1:$I$89,5,0)</f>
        <v>193.04593750000015</v>
      </c>
      <c r="GW69" s="13">
        <f t="shared" ref="GW69:GW132" si="105">EXP(-1.0587+0.8836*LN(GV69)+0.284)</f>
        <v>48.212741795005009</v>
      </c>
      <c r="GX69" s="20">
        <f t="shared" si="82"/>
        <v>420.19219977213396</v>
      </c>
      <c r="GY69" s="59">
        <f t="shared" si="83"/>
        <v>713.52553310546728</v>
      </c>
      <c r="GZ69" s="59">
        <f ca="1">AVERAGE(OFFSET($GY$3,0,0,'Données projet'!$E$18+1,1))-AVERAGE(OFFSET($H$3,0,0,'Données projet'!$E$18+1,1))</f>
        <v>401.81944956556271</v>
      </c>
      <c r="HA69" s="59">
        <f t="shared" ref="HA69:HA132" si="106">$HA$3</f>
        <v>292.20785523952651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12.449592647354189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12.449592647354189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210.96474358974376</v>
      </c>
      <c r="O70" s="13">
        <f>N70*VLOOKUP('Données projet'!$B$9,Paramètres!$A$1:$I$89,3,0)*VLOOKUP('Données projet'!$B$9,Paramètres!$A$1:$I$89,5,0)</f>
        <v>190.88090000000014</v>
      </c>
      <c r="P70" s="13">
        <f t="shared" si="87"/>
        <v>47.734654873168694</v>
      </c>
      <c r="Q70" s="20">
        <f t="shared" si="54"/>
        <v>415.58875807076902</v>
      </c>
      <c r="R70" s="59">
        <f t="shared" si="55"/>
        <v>708.92209140410228</v>
      </c>
      <c r="S70" s="59">
        <f ca="1">AVERAGE(OFFSET($R$3,0,0,'Données projet'!$E$9+1,1))-AVERAGE(OFFSET($H$3,0,0,'Données projet'!$E$9+1,1))</f>
        <v>384.05928630855732</v>
      </c>
      <c r="T70" s="59">
        <f t="shared" si="88"/>
        <v>279.93992813630513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-1.1368683772161603E-13</v>
      </c>
      <c r="AJ70" s="13">
        <f>AI70*VLOOKUP('Données projet'!$B$10,Paramètres!$A$1:$I$89,3,0)*VLOOKUP('Données projet'!$B$10,Paramètres!$A$1:$I$89,5,0)</f>
        <v>-6.3550942286383367E-14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335.04906256888819</v>
      </c>
      <c r="AO70" s="59">
        <f t="shared" si="90"/>
        <v>440.84111898279554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178.71417845551724</v>
      </c>
      <c r="AV70" s="21">
        <f>EXP(-LN(2)/25)*AV69+(1-EXP(-LN(2)/25))/(LN(2)/25)*Calculateur!AQ70*Calculateur!AS70*VLOOKUP('Données projet'!$B$10,Paramètres!$A$1:$I$89,3,0)*0.475*44/12</f>
        <v>41.303417809367517</v>
      </c>
      <c r="AW70" s="21">
        <f>EXP(-LN(2)/2)*AW69+(1-EXP(-LN(2)/2))/(LN(2)/2)*AQ70*AT70*VLOOKUP('Données projet'!$B$10,Paramètres!$A$1:$I$89,3,0)*0.475*44/12</f>
        <v>0.5337703750642574</v>
      </c>
      <c r="AX70" s="21">
        <f t="shared" si="60"/>
        <v>220.55136663994901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8.0507692307692249</v>
      </c>
      <c r="BD70" s="12">
        <f>IF('Données projet'!$A$88&gt;35,BD69+BC70-BL69,IF(A70&lt;'Données projet'!$A$88,$BA$205^A70,IF(A70='Données projet'!$A$88,'Données projet'!$B$88,BD69+BC70-BL69)))</f>
        <v>369.6030769230768</v>
      </c>
      <c r="BE70" s="13">
        <f>BD70*VLOOKUP('Données projet'!$B$11,Paramètres!$A$1:$I$89,3,0)*VLOOKUP('Données projet'!$B$11,Paramètres!$A$1:$I$89,5,0)</f>
        <v>211.41295999999994</v>
      </c>
      <c r="BF70" s="13">
        <f t="shared" si="91"/>
        <v>52.24423239878854</v>
      </c>
      <c r="BG70" s="20">
        <f t="shared" si="61"/>
        <v>459.20294342788992</v>
      </c>
      <c r="BH70" s="59">
        <f t="shared" si="62"/>
        <v>752.53627676122323</v>
      </c>
      <c r="BI70" s="59">
        <f ca="1">AVERAGE(OFFSET($BH$3,0,0,'Données projet'!$E$11+1,1))-AVERAGE(OFFSET($H$3,0,0,'Données projet'!$E$11+1,1))</f>
        <v>320.76883487964511</v>
      </c>
      <c r="BJ70" s="59">
        <f t="shared" si="92"/>
        <v>290.51177680335746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31.614511429440356</v>
      </c>
      <c r="BQ70" s="21">
        <f>EXP(-LN(2)/25)*BQ69+(1-EXP(-LN(2)/25))/(LN(2)/25)*Calculateur!BL70*Calculateur!BN70*VLOOKUP('Données projet'!$B$11,Paramètres!$A$1:$I$89,3,0)*0.475*44/12</f>
        <v>11.21514489155506</v>
      </c>
      <c r="BR70" s="21">
        <f>EXP(-LN(2)/2)*BR69+(1-EXP(-LN(2)/2))/(LN(2)/2)*BL70*BO70*VLOOKUP('Données projet'!$B$11,Paramètres!$A$1:$I$89,3,0)*0.475*44/12</f>
        <v>0.1809903293625805</v>
      </c>
      <c r="BS70" s="22">
        <f t="shared" si="63"/>
        <v>43.010646650357991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304.99999999999983</v>
      </c>
      <c r="BZ70" s="13">
        <f>BY70*VLOOKUP('Données projet'!$B$12,Paramètres!$A$1:$I$89,3,0)*VLOOKUP('Données projet'!$B$12,Paramètres!$A$1:$I$89,5,0)</f>
        <v>275.96399999999983</v>
      </c>
      <c r="CA70" s="13">
        <f t="shared" si="93"/>
        <v>66.113366665488854</v>
      </c>
      <c r="CB70" s="20">
        <f t="shared" si="64"/>
        <v>595.78474694239264</v>
      </c>
      <c r="CC70" s="59">
        <f t="shared" si="65"/>
        <v>889.11808027572602</v>
      </c>
      <c r="CD70" s="59">
        <f ca="1">AVERAGE(OFFSET($CC$3,0,0,'Données projet'!$E$12+1,1))-AVERAGE(OFFSET($H$3,0,0,'Données projet'!$E$12+1,1))</f>
        <v>366.69125512029831</v>
      </c>
      <c r="CE70" s="59">
        <f t="shared" si="94"/>
        <v>513.80016421153414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0.77675011135727212</v>
      </c>
      <c r="CL70" s="21">
        <f>EXP(-LN(2)/25)*CL69+(1-EXP(-LN(2)/25))/(LN(2)/25)*Calculateur!CG70*Calculateur!CI70*VLOOKUP('Données projet'!$B$12,Paramètres!$A$1:$I$89,3,0)*0.475*44/12</f>
        <v>2.6467244600139987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3.4234745713712709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8.1001602564102626</v>
      </c>
      <c r="CT70" s="12">
        <f>IF('Données projet'!$A$140&gt;35,CT69+CS70-DB69,IF(A70&lt;'Données projet'!$A$140,$CQ$205^A70,IF(A70='Données projet'!$A$140,'Données projet'!$B$140,CT69+CS70-DB69)))</f>
        <v>210.96474358974376</v>
      </c>
      <c r="CU70" s="17">
        <f>CT70*VLOOKUP('Données projet'!$B$13,Paramètres!$A$1:$I$89,3,0)*VLOOKUP('Données projet'!$B$13,Paramètres!$A$1:$I$89,5,0)</f>
        <v>141.51515000000012</v>
      </c>
      <c r="CV70" s="13">
        <f t="shared" si="95"/>
        <v>36.64388733162302</v>
      </c>
      <c r="CW70" s="20">
        <f t="shared" si="67"/>
        <v>310.29365668591032</v>
      </c>
      <c r="CX70" s="59">
        <f t="shared" si="68"/>
        <v>603.62699001924364</v>
      </c>
      <c r="CY70" s="59">
        <f ca="1">AVERAGE(OFFSET($CX$3,0,0,'Données projet'!$E$13+1,1))-AVERAGE(OFFSET($H$3,0,0,'Données projet'!$E$13+1,1))</f>
        <v>294.94331863127815</v>
      </c>
      <c r="CZ70" s="59">
        <f t="shared" si="96"/>
        <v>218.36990036643977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10.604747174412925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10.604747174412925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251.59999999999985</v>
      </c>
      <c r="DP70" s="17">
        <f>DO70*VLOOKUP('Données projet'!$B$14,Paramètres!$A$1:$I$89,3,0)*VLOOKUP('Données projet'!$B$14,Paramètres!$A$1:$I$89,5,0)</f>
        <v>184.47311999999988</v>
      </c>
      <c r="DQ70" s="13">
        <f t="shared" si="97"/>
        <v>46.315946745200115</v>
      </c>
      <c r="DR70" s="20">
        <f t="shared" si="70"/>
        <v>401.95762458122334</v>
      </c>
      <c r="DS70" s="59">
        <f t="shared" si="71"/>
        <v>695.29095791455666</v>
      </c>
      <c r="DT70" s="59">
        <f ca="1">AVERAGE(OFFSET($DS$3,0,0,'Données projet'!$E$14+1,1))-AVERAGE(OFFSET($H$3,0,0,'Données projet'!$E$14+1,1))</f>
        <v>278.45534008146865</v>
      </c>
      <c r="DU70" s="59">
        <f t="shared" si="98"/>
        <v>272.97841038165217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18.07408639494901</v>
      </c>
      <c r="EB70" s="21">
        <f>EXP(-LN(2)/25)*EB69+(1-EXP(-LN(2)/25))/(LN(2)/25)*Calculateur!DW70*Calculateur!DY70*VLOOKUP('Données projet'!$B$14,Paramètres!$A$1:$I$89,3,0)*0.475*44/12</f>
        <v>7.6058416053780746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25.679928000327084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8.1001602564102626</v>
      </c>
      <c r="EJ70" s="12">
        <f>IF('Données projet'!$A$192&gt;35,EJ69+EI70-ER69,IF(A70&lt;'Données projet'!$A$192,$EG$205^A70,IF(A70='Données projet'!$A$192,'Données projet'!$B$192,EJ69+EI70-ER69)))</f>
        <v>210.96474358974376</v>
      </c>
      <c r="EK70" s="17">
        <f>EJ70*VLOOKUP('Données projet'!$B$15,Paramètres!$A$1:$I$89,3,0)*VLOOKUP('Données projet'!$B$15,Paramètres!$A$1:$I$89,5,0)</f>
        <v>227.08245000000019</v>
      </c>
      <c r="EL70" s="13">
        <f t="shared" si="99"/>
        <v>55.651371065236084</v>
      </c>
      <c r="EM70" s="20">
        <f t="shared" si="73"/>
        <v>492.42807168861987</v>
      </c>
      <c r="EN70" s="59">
        <f t="shared" si="74"/>
        <v>785.76140502195312</v>
      </c>
      <c r="EO70" s="59">
        <f ca="1">AVERAGE(OFFSET($EN$3,0,0,'Données projet'!$E$15+1,1))-AVERAGE(OFFSET($H$3,0,0,'Données projet'!$E$15+1,1))</f>
        <v>449.09332781196957</v>
      </c>
      <c r="EP70" s="59">
        <f t="shared" si="100"/>
        <v>324.85904971519432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13.806180283669654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13.806180283669654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8.1001602564102626</v>
      </c>
      <c r="FE70" s="12">
        <f>IF('Données projet'!$A$218&gt;35,FE69+FD70-FM69,IF(A70&lt;'Données projet'!$A$218,$FB$205^A70,IF(A70='Données projet'!$A$218,'Données projet'!$B$218,FE69+FD70-FM69)))</f>
        <v>210.96474358974376</v>
      </c>
      <c r="FF70" s="17">
        <f>FE70*VLOOKUP('Données projet'!$B$16,Paramètres!$A$1:$I$89,3,0)*VLOOKUP('Données projet'!$B$16,Paramètres!$A$1:$I$89,5,0)</f>
        <v>213.91825000000017</v>
      </c>
      <c r="FG70" s="13">
        <f t="shared" si="101"/>
        <v>52.790898498252169</v>
      </c>
      <c r="FH70" s="20">
        <f t="shared" si="76"/>
        <v>464.51843363445613</v>
      </c>
      <c r="FI70" s="59">
        <f t="shared" si="77"/>
        <v>757.85176696778944</v>
      </c>
      <c r="FJ70" s="59">
        <f ca="1">AVERAGE(OFFSET($FI$3,0,0,'Données projet'!$E$16+1,1))-AVERAGE(OFFSET($H$3,0,0,'Données projet'!$E$16+1,1))</f>
        <v>419.51168383014721</v>
      </c>
      <c r="FK70" s="59">
        <f t="shared" si="102"/>
        <v>213.44145308833384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13.005822006355476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13.005822006355476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3.8</v>
      </c>
      <c r="FZ70" s="12">
        <f>IF('Données projet'!$A$244&gt;35,FZ69+FY70-GH69,IF(A70&lt;'Données projet'!$A$244,$FW$205^A70,IF(A70='Données projet'!$A$244,'Données projet'!$B$244,FZ69+FY70-GH69)))</f>
        <v>251.59999999999985</v>
      </c>
      <c r="GA70" s="17">
        <f>FZ70*VLOOKUP('Données projet'!$B$17,Paramètres!$A$1:$I$89,3,0)*VLOOKUP('Données projet'!$B$17,Paramètres!$A$1:$I$89,5,0)</f>
        <v>219.7977599999999</v>
      </c>
      <c r="GB70" s="13">
        <f t="shared" si="103"/>
        <v>54.070927503307338</v>
      </c>
      <c r="GC70" s="20">
        <f t="shared" si="79"/>
        <v>476.98796406826</v>
      </c>
      <c r="GD70" s="59">
        <f t="shared" si="80"/>
        <v>770.32129740159326</v>
      </c>
      <c r="GE70" s="59">
        <f ca="1">AVERAGE(OFFSET($GD$3,0,0,'Données projet'!$E$17+1,1))-AVERAGE(OFFSET($H$3,0,0,'Données projet'!$E$17+1,1))</f>
        <v>324.86930206492627</v>
      </c>
      <c r="GF70" s="59">
        <f t="shared" si="104"/>
        <v>317.03005098025352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26.543240188128983</v>
      </c>
      <c r="GM70" s="21">
        <f>EXP(-LN(2)/25)*GM69+(1-EXP(-LN(2)/25))/(LN(2)/25)*Calculateur!GH70*Calculateur!GJ70*VLOOKUP('Données projet'!$B$17,Paramètres!$A$1:$I$89,3,0)*0.475*44/12</f>
        <v>11.169786187413232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37.713026375542213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8.1001602564102626</v>
      </c>
      <c r="GU70" s="12">
        <f>IF('Données projet'!$A$270&gt;35,GU69+GT70-HC69,IF(A70&lt;'Données projet'!$A$270,$GR$205^A70,IF(A70='Données projet'!$A$270,'Données projet'!$B$270,GU69+GT70-HC69)))</f>
        <v>210.96474358974376</v>
      </c>
      <c r="GV70" s="17">
        <f>GU70*VLOOKUP('Données projet'!$B$18,Paramètres!$A$1:$I$89,3,0)*VLOOKUP('Données projet'!$B$18,Paramètres!$A$1:$I$89,5,0)</f>
        <v>200.75405000000018</v>
      </c>
      <c r="GW70" s="13">
        <f t="shared" si="105"/>
        <v>49.909848780355581</v>
      </c>
      <c r="GX70" s="20">
        <f t="shared" si="82"/>
        <v>436.57295704245297</v>
      </c>
      <c r="GY70" s="59">
        <f t="shared" si="83"/>
        <v>729.90629037578628</v>
      </c>
      <c r="GZ70" s="59">
        <f ca="1">AVERAGE(OFFSET($GY$3,0,0,'Données projet'!$E$18+1,1))-AVERAGE(OFFSET($H$3,0,0,'Données projet'!$E$18+1,1))</f>
        <v>401.81944956556271</v>
      </c>
      <c r="HA70" s="59">
        <f t="shared" si="106"/>
        <v>292.20785523952651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12.205463729041291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12.205463729041291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219.06490384615404</v>
      </c>
      <c r="O71" s="13">
        <f>N71*VLOOKUP('Données projet'!$B$9,Paramètres!$A$1:$I$89,3,0)*VLOOKUP('Données projet'!$B$9,Paramètres!$A$1:$I$89,5,0)</f>
        <v>198.20992500000017</v>
      </c>
      <c r="P71" s="13">
        <f t="shared" si="87"/>
        <v>49.350557805795496</v>
      </c>
      <c r="Q71" s="20">
        <f t="shared" si="54"/>
        <v>431.16784088676076</v>
      </c>
      <c r="R71" s="59">
        <f t="shared" si="55"/>
        <v>724.50117422009407</v>
      </c>
      <c r="S71" s="59">
        <f ca="1">AVERAGE(OFFSET($R$3,0,0,'Données projet'!$E$9+1,1))-AVERAGE(OFFSET($H$3,0,0,'Données projet'!$E$9+1,1))</f>
        <v>384.05928630855732</v>
      </c>
      <c r="T71" s="59">
        <f t="shared" si="88"/>
        <v>279.93992813630513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-1.1368683772161603E-13</v>
      </c>
      <c r="AJ71" s="13">
        <f>AI71*VLOOKUP('Données projet'!$B$10,Paramètres!$A$1:$I$89,3,0)*VLOOKUP('Données projet'!$B$10,Paramètres!$A$1:$I$89,5,0)</f>
        <v>-6.3550942286383367E-14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335.04906256888819</v>
      </c>
      <c r="AO71" s="59">
        <f t="shared" si="90"/>
        <v>440.84111898279554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175.20970242089007</v>
      </c>
      <c r="AV71" s="21">
        <f>EXP(-LN(2)/25)*AV70+(1-EXP(-LN(2)/25))/(LN(2)/25)*Calculateur!AQ71*Calculateur!AS71*VLOOKUP('Données projet'!$B$10,Paramètres!$A$1:$I$89,3,0)*0.475*44/12</f>
        <v>40.173973677318017</v>
      </c>
      <c r="AW71" s="21">
        <f>EXP(-LN(2)/2)*AW70+(1-EXP(-LN(2)/2))/(LN(2)/2)*AQ71*AT71*VLOOKUP('Données projet'!$B$10,Paramètres!$A$1:$I$89,3,0)*0.475*44/12</f>
        <v>0.37743265180442326</v>
      </c>
      <c r="AX71" s="21">
        <f t="shared" si="60"/>
        <v>215.76110875001248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>
        <f>VLOOKUP(A71,'Données projet'!$A$87:$I$107,2,0)</f>
        <v>377.65384615384613</v>
      </c>
      <c r="BB71" s="12">
        <f>VLOOKUP(A71,'Données projet'!$A$87:$I$107,9,0)</f>
        <v>8.0507692307692249</v>
      </c>
      <c r="BC71" s="12">
        <f t="array" ref="BC71">INDEX(BB:BB,MIN(IF(ISNUMBER(BB71:BB267),ROW(BB71:BB267),"")))</f>
        <v>8.0507692307692249</v>
      </c>
      <c r="BD71" s="12">
        <f>IF('Données projet'!$A$88&gt;35,BD70+BC71-BL70,IF(A71&lt;'Données projet'!$A$88,$BA$205^A71,IF(A71='Données projet'!$A$88,'Données projet'!$B$88,BD70+BC71-BL70)))</f>
        <v>377.65384615384602</v>
      </c>
      <c r="BE71" s="13">
        <f>BD71*VLOOKUP('Données projet'!$B$11,Paramètres!$A$1:$I$89,3,0)*VLOOKUP('Données projet'!$B$11,Paramètres!$A$1:$I$89,5,0)</f>
        <v>216.01799999999994</v>
      </c>
      <c r="BF71" s="13">
        <f t="shared" si="91"/>
        <v>53.248499793208431</v>
      </c>
      <c r="BG71" s="20">
        <f t="shared" si="61"/>
        <v>468.97248713983782</v>
      </c>
      <c r="BH71" s="59">
        <f t="shared" si="62"/>
        <v>762.30582047317114</v>
      </c>
      <c r="BI71" s="59">
        <f ca="1">AVERAGE(OFFSET($BH$3,0,0,'Données projet'!$E$11+1,1))-AVERAGE(OFFSET($H$3,0,0,'Données projet'!$E$11+1,1))</f>
        <v>320.76883487964511</v>
      </c>
      <c r="BJ71" s="59">
        <f t="shared" si="92"/>
        <v>290.51177680335746</v>
      </c>
      <c r="BK71" s="15">
        <f>IF(ISNA(VLOOKUP(A71,'Données projet'!$A$87:$I$107,3,0)),0,VLOOKUP(A71,'Données projet'!$A$87:$I$107,3,0))</f>
        <v>8</v>
      </c>
      <c r="BL71" s="15">
        <f>IF(ISNA(VLOOKUP(A71,'Données projet'!$A$87:$I$107,4,0)),0,VLOOKUP(A71,'Données projet'!$A$87:$I$107,4,0))</f>
        <v>46.069230769230771</v>
      </c>
      <c r="BM71" s="16">
        <f>IF(ISNA(VLOOKUP(A71,'Données projet'!$A$87:$I$107,5,0)),0%,VLOOKUP(A71,'Données projet'!$A$87:$I$107,5,0)*VLOOKUP('Données projet'!$B$11,Paramètres!$A$1:$I$89,7,0))</f>
        <v>0.315</v>
      </c>
      <c r="BN71" s="16">
        <f>IF(ISNA(VLOOKUP(A71,'Données projet'!$A$87:$I$107,6,0)),0%,VLOOKUP(A71,'Données projet'!$A$87:$I$107,6,0)*VLOOKUP('Données projet'!$B$11,Paramètres!$A$1:$I$89,7,0))</f>
        <v>7.6500000000000012E-2</v>
      </c>
      <c r="BO71" s="16">
        <f>IF(ISNA(VLOOKUP(A71,'Données projet'!$A$87:$I$107,7,0)),0%,VLOOKUP(A71,'Données projet'!$A$87:$I$107,7,0))</f>
        <v>0.13</v>
      </c>
      <c r="BP71" s="21">
        <f>EXP(-LN(2)/35)*BP70+(1-EXP(-LN(2)/35))/(LN(2)/35)*BL71*BM71*VLOOKUP('Données projet'!$B$11,Paramètres!$A$1:$I$89,3,0)*0.475*44/12</f>
        <v>42.006055353004555</v>
      </c>
      <c r="BQ71" s="21">
        <f>EXP(-LN(2)/25)*BQ70+(1-EXP(-LN(2)/25))/(LN(2)/25)*Calculateur!BL71*Calculateur!BN71*VLOOKUP('Données projet'!$B$11,Paramètres!$A$1:$I$89,3,0)*0.475*44/12</f>
        <v>13.572154586789852</v>
      </c>
      <c r="BR71" s="21">
        <f>EXP(-LN(2)/2)*BR70+(1-EXP(-LN(2)/2))/(LN(2)/2)*BL71*BO71*VLOOKUP('Données projet'!$B$11,Paramètres!$A$1:$I$89,3,0)*0.475*44/12</f>
        <v>4.0066767287162612</v>
      </c>
      <c r="BS71" s="22">
        <f t="shared" si="63"/>
        <v>59.584886668510663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304.99999999999983</v>
      </c>
      <c r="BZ71" s="13">
        <f>BY71*VLOOKUP('Données projet'!$B$12,Paramètres!$A$1:$I$89,3,0)*VLOOKUP('Données projet'!$B$12,Paramètres!$A$1:$I$89,5,0)</f>
        <v>275.96399999999983</v>
      </c>
      <c r="CA71" s="13">
        <f t="shared" si="93"/>
        <v>66.113366665488854</v>
      </c>
      <c r="CB71" s="20">
        <f t="shared" si="64"/>
        <v>595.78474694239264</v>
      </c>
      <c r="CC71" s="59">
        <f t="shared" si="65"/>
        <v>889.11808027572602</v>
      </c>
      <c r="CD71" s="59">
        <f ca="1">AVERAGE(OFFSET($CC$3,0,0,'Données projet'!$E$12+1,1))-AVERAGE(OFFSET($H$3,0,0,'Données projet'!$E$12+1,1))</f>
        <v>366.69125512029831</v>
      </c>
      <c r="CE71" s="59">
        <f t="shared" si="94"/>
        <v>513.80016421153414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0.76151851544434301</v>
      </c>
      <c r="CL71" s="21">
        <f>EXP(-LN(2)/25)*CL70+(1-EXP(-LN(2)/25))/(LN(2)/25)*Calculateur!CG71*Calculateur!CI71*VLOOKUP('Données projet'!$B$12,Paramètres!$A$1:$I$89,3,0)*0.475*44/12</f>
        <v>2.5743496404697259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3.3358681559140688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8.1001602564102626</v>
      </c>
      <c r="CT71" s="12">
        <f>IF('Données projet'!$A$140&gt;35,CT70+CS71-DB70,IF(A71&lt;'Données projet'!$A$140,$CQ$205^A71,IF(A71='Données projet'!$A$140,'Données projet'!$B$140,CT70+CS71-DB70)))</f>
        <v>219.06490384615404</v>
      </c>
      <c r="CU71" s="17">
        <f>CT71*VLOOKUP('Données projet'!$B$13,Paramètres!$A$1:$I$89,3,0)*VLOOKUP('Données projet'!$B$13,Paramètres!$A$1:$I$89,5,0)</f>
        <v>146.94873750000014</v>
      </c>
      <c r="CV71" s="13">
        <f t="shared" si="95"/>
        <v>37.884348065220969</v>
      </c>
      <c r="CW71" s="20">
        <f t="shared" si="67"/>
        <v>321.91762402609339</v>
      </c>
      <c r="CX71" s="59">
        <f t="shared" si="68"/>
        <v>615.25095735942671</v>
      </c>
      <c r="CY71" s="59">
        <f ca="1">AVERAGE(OFFSET($CX$3,0,0,'Données projet'!$E$13+1,1))-AVERAGE(OFFSET($H$3,0,0,'Données projet'!$E$13+1,1))</f>
        <v>294.94331863127815</v>
      </c>
      <c r="CZ71" s="59">
        <f t="shared" si="96"/>
        <v>218.36990036643977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10.396794550579775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10.396794550579775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255.39999999999986</v>
      </c>
      <c r="DP71" s="17">
        <f>DO71*VLOOKUP('Données projet'!$B$14,Paramètres!$A$1:$I$89,3,0)*VLOOKUP('Données projet'!$B$14,Paramètres!$A$1:$I$89,5,0)</f>
        <v>187.2592799999999</v>
      </c>
      <c r="DQ71" s="13">
        <f t="shared" si="97"/>
        <v>46.933507123390406</v>
      </c>
      <c r="DR71" s="20">
        <f t="shared" si="70"/>
        <v>407.88577090657145</v>
      </c>
      <c r="DS71" s="59">
        <f t="shared" si="71"/>
        <v>701.21910423990471</v>
      </c>
      <c r="DT71" s="59">
        <f ca="1">AVERAGE(OFFSET($DS$3,0,0,'Données projet'!$E$14+1,1))-AVERAGE(OFFSET($H$3,0,0,'Données projet'!$E$14+1,1))</f>
        <v>278.45534008146865</v>
      </c>
      <c r="DU71" s="59">
        <f t="shared" si="98"/>
        <v>272.97841038165217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17.719664584848221</v>
      </c>
      <c r="EB71" s="21">
        <f>EXP(-LN(2)/25)*EB70+(1-EXP(-LN(2)/25))/(LN(2)/25)*Calculateur!DW71*Calculateur!DY71*VLOOKUP('Données projet'!$B$14,Paramètres!$A$1:$I$89,3,0)*0.475*44/12</f>
        <v>7.3978594667051842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25.117524051553406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8.1001602564102626</v>
      </c>
      <c r="EJ71" s="12">
        <f>IF('Données projet'!$A$192&gt;35,EJ70+EI71-ER70,IF(A71&lt;'Données projet'!$A$192,$EG$205^A71,IF(A71='Données projet'!$A$192,'Données projet'!$B$192,EJ70+EI71-ER70)))</f>
        <v>219.06490384615404</v>
      </c>
      <c r="EK71" s="17">
        <f>EJ71*VLOOKUP('Données projet'!$B$15,Paramètres!$A$1:$I$89,3,0)*VLOOKUP('Données projet'!$B$15,Paramètres!$A$1:$I$89,5,0)</f>
        <v>235.80146250000018</v>
      </c>
      <c r="EL71" s="13">
        <f t="shared" si="99"/>
        <v>57.535268915717133</v>
      </c>
      <c r="EM71" s="20">
        <f t="shared" si="73"/>
        <v>510.89480721570766</v>
      </c>
      <c r="EN71" s="59">
        <f t="shared" si="74"/>
        <v>804.22814054904097</v>
      </c>
      <c r="EO71" s="59">
        <f ca="1">AVERAGE(OFFSET($EN$3,0,0,'Données projet'!$E$15+1,1))-AVERAGE(OFFSET($H$3,0,0,'Données projet'!$E$15+1,1))</f>
        <v>449.09332781196957</v>
      </c>
      <c r="EP71" s="59">
        <f t="shared" si="100"/>
        <v>324.85904971519432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13.535449509245367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13.535449509245367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8.1001602564102626</v>
      </c>
      <c r="FE71" s="12">
        <f>IF('Données projet'!$A$218&gt;35,FE70+FD71-FM70,IF(A71&lt;'Données projet'!$A$218,$FB$205^A71,IF(A71='Données projet'!$A$218,'Données projet'!$B$218,FE70+FD71-FM70)))</f>
        <v>219.06490384615404</v>
      </c>
      <c r="FF71" s="17">
        <f>FE71*VLOOKUP('Données projet'!$B$16,Paramètres!$A$1:$I$89,3,0)*VLOOKUP('Données projet'!$B$16,Paramètres!$A$1:$I$89,5,0)</f>
        <v>222.13181250000019</v>
      </c>
      <c r="FG71" s="13">
        <f t="shared" si="101"/>
        <v>54.577964266842784</v>
      </c>
      <c r="FH71" s="20">
        <f t="shared" si="76"/>
        <v>481.93619453558489</v>
      </c>
      <c r="FI71" s="59">
        <f t="shared" si="77"/>
        <v>775.2695278689182</v>
      </c>
      <c r="FJ71" s="59">
        <f ca="1">AVERAGE(OFFSET($FI$3,0,0,'Données projet'!$E$16+1,1))-AVERAGE(OFFSET($H$3,0,0,'Données projet'!$E$16+1,1))</f>
        <v>419.51168383014721</v>
      </c>
      <c r="FK71" s="59">
        <f t="shared" si="102"/>
        <v>213.44145308833384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12.750785769578973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12.750785769578973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3.8</v>
      </c>
      <c r="FZ71" s="12">
        <f>IF('Données projet'!$A$244&gt;35,FZ70+FY71-GH70,IF(A71&lt;'Données projet'!$A$244,$FW$205^A71,IF(A71='Données projet'!$A$244,'Données projet'!$B$244,FZ70+FY71-GH70)))</f>
        <v>255.39999999999986</v>
      </c>
      <c r="GA71" s="17">
        <f>FZ71*VLOOKUP('Données projet'!$B$17,Paramètres!$A$1:$I$89,3,0)*VLOOKUP('Données projet'!$B$17,Paramètres!$A$1:$I$89,5,0)</f>
        <v>223.11743999999993</v>
      </c>
      <c r="GB71" s="13">
        <f t="shared" si="103"/>
        <v>54.791890039639448</v>
      </c>
      <c r="GC71" s="20">
        <f t="shared" si="79"/>
        <v>484.02541648570531</v>
      </c>
      <c r="GD71" s="59">
        <f t="shared" si="80"/>
        <v>777.35874981903862</v>
      </c>
      <c r="GE71" s="59">
        <f ca="1">AVERAGE(OFFSET($GD$3,0,0,'Données projet'!$E$17+1,1))-AVERAGE(OFFSET($H$3,0,0,'Données projet'!$E$17+1,1))</f>
        <v>324.86930206492627</v>
      </c>
      <c r="GF71" s="59">
        <f t="shared" si="104"/>
        <v>317.03005098025352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26.022743437817681</v>
      </c>
      <c r="GM71" s="21">
        <f>EXP(-LN(2)/25)*GM70+(1-EXP(-LN(2)/25))/(LN(2)/25)*Calculateur!GH71*Calculateur!GJ71*VLOOKUP('Données projet'!$B$17,Paramètres!$A$1:$I$89,3,0)*0.475*44/12</f>
        <v>10.864347796724891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36.887091234542574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8.1001602564102626</v>
      </c>
      <c r="GU71" s="12">
        <f>IF('Données projet'!$A$270&gt;35,GU70+GT71-HC70,IF(A71&lt;'Données projet'!$A$270,$GR$205^A71,IF(A71='Données projet'!$A$270,'Données projet'!$B$270,GU70+GT71-HC70)))</f>
        <v>219.06490384615404</v>
      </c>
      <c r="GV71" s="17">
        <f>GU71*VLOOKUP('Données projet'!$B$18,Paramètres!$A$1:$I$89,3,0)*VLOOKUP('Données projet'!$B$18,Paramètres!$A$1:$I$89,5,0)</f>
        <v>208.4621625000002</v>
      </c>
      <c r="GW71" s="13">
        <f t="shared" si="105"/>
        <v>51.599385893914338</v>
      </c>
      <c r="GX71" s="20">
        <f t="shared" si="82"/>
        <v>452.94053011940122</v>
      </c>
      <c r="GY71" s="59">
        <f t="shared" si="83"/>
        <v>746.27386345273453</v>
      </c>
      <c r="GZ71" s="59">
        <f ca="1">AVERAGE(OFFSET($GY$3,0,0,'Données projet'!$E$18+1,1))-AVERAGE(OFFSET($H$3,0,0,'Données projet'!$E$18+1,1))</f>
        <v>401.81944956556271</v>
      </c>
      <c r="HA71" s="59">
        <f t="shared" si="106"/>
        <v>292.20785523952651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11.966122029912574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11.966122029912574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227.16506410256432</v>
      </c>
      <c r="O72" s="13">
        <f>N72*VLOOKUP('Données projet'!$B$9,Paramètres!$A$1:$I$89,3,0)*VLOOKUP('Données projet'!$B$9,Paramètres!$A$1:$I$89,5,0)</f>
        <v>205.53895000000017</v>
      </c>
      <c r="P72" s="13">
        <f t="shared" si="87"/>
        <v>50.959519142478193</v>
      </c>
      <c r="Q72" s="20">
        <f t="shared" si="54"/>
        <v>446.73483375648311</v>
      </c>
      <c r="R72" s="59">
        <f t="shared" si="55"/>
        <v>740.06816708981637</v>
      </c>
      <c r="S72" s="59">
        <f ca="1">AVERAGE(OFFSET($R$3,0,0,'Données projet'!$E$9+1,1))-AVERAGE(OFFSET($H$3,0,0,'Données projet'!$E$9+1,1))</f>
        <v>384.05928630855732</v>
      </c>
      <c r="T72" s="59">
        <f t="shared" si="88"/>
        <v>279.93992813630513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-1.1368683772161603E-13</v>
      </c>
      <c r="AJ72" s="13">
        <f>AI72*VLOOKUP('Données projet'!$B$10,Paramètres!$A$1:$I$89,3,0)*VLOOKUP('Données projet'!$B$10,Paramètres!$A$1:$I$89,5,0)</f>
        <v>-6.3550942286383367E-14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335.04906256888819</v>
      </c>
      <c r="AO72" s="59">
        <f t="shared" si="90"/>
        <v>440.84111898279554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171.77394702378263</v>
      </c>
      <c r="AV72" s="21">
        <f>EXP(-LN(2)/25)*AV71+(1-EXP(-LN(2)/25))/(LN(2)/25)*Calculateur!AQ72*Calculateur!AS72*VLOOKUP('Données projet'!$B$10,Paramètres!$A$1:$I$89,3,0)*0.475*44/12</f>
        <v>39.075414254454301</v>
      </c>
      <c r="AW72" s="21">
        <f>EXP(-LN(2)/2)*AW71+(1-EXP(-LN(2)/2))/(LN(2)/2)*AQ72*AT72*VLOOKUP('Données projet'!$B$10,Paramètres!$A$1:$I$89,3,0)*0.475*44/12</f>
        <v>0.2668851875321287</v>
      </c>
      <c r="AX72" s="21">
        <f t="shared" si="60"/>
        <v>211.11624646576905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6.8861538461538547</v>
      </c>
      <c r="BD72" s="12">
        <f>IF('Données projet'!$A$88&gt;35,BD71+BC72-BL71,IF(A72&lt;'Données projet'!$A$88,$BA$205^A72,IF(A72='Données projet'!$A$88,'Données projet'!$B$88,BD71+BC72-BL71)))</f>
        <v>338.47076923076906</v>
      </c>
      <c r="BE72" s="13">
        <f>BD72*VLOOKUP('Données projet'!$B$11,Paramètres!$A$1:$I$89,3,0)*VLOOKUP('Données projet'!$B$11,Paramètres!$A$1:$I$89,5,0)</f>
        <v>193.60527999999991</v>
      </c>
      <c r="BF72" s="13">
        <f t="shared" si="91"/>
        <v>48.336154970283907</v>
      </c>
      <c r="BG72" s="20">
        <f t="shared" si="61"/>
        <v>421.38133257324426</v>
      </c>
      <c r="BH72" s="59">
        <f t="shared" si="62"/>
        <v>714.71466590657758</v>
      </c>
      <c r="BI72" s="59">
        <f ca="1">AVERAGE(OFFSET($BH$3,0,0,'Données projet'!$E$11+1,1))-AVERAGE(OFFSET($H$3,0,0,'Données projet'!$E$11+1,1))</f>
        <v>320.76883487964511</v>
      </c>
      <c r="BJ72" s="59">
        <f t="shared" si="92"/>
        <v>290.51177680335746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41.182342228696022</v>
      </c>
      <c r="BQ72" s="21">
        <f>EXP(-LN(2)/25)*BQ71+(1-EXP(-LN(2)/25))/(LN(2)/25)*Calculateur!BL72*Calculateur!BN72*VLOOKUP('Données projet'!$B$11,Paramètres!$A$1:$I$89,3,0)*0.475*44/12</f>
        <v>13.201023305885492</v>
      </c>
      <c r="BR72" s="21">
        <f>EXP(-LN(2)/2)*BR71+(1-EXP(-LN(2)/2))/(LN(2)/2)*BL72*BO72*VLOOKUP('Données projet'!$B$11,Paramètres!$A$1:$I$89,3,0)*0.475*44/12</f>
        <v>2.8331482848976015</v>
      </c>
      <c r="BS72" s="22">
        <f t="shared" si="63"/>
        <v>57.216513819479118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304.99999999999983</v>
      </c>
      <c r="BZ72" s="13">
        <f>BY72*VLOOKUP('Données projet'!$B$12,Paramètres!$A$1:$I$89,3,0)*VLOOKUP('Données projet'!$B$12,Paramètres!$A$1:$I$89,5,0)</f>
        <v>275.96399999999983</v>
      </c>
      <c r="CA72" s="13">
        <f t="shared" si="93"/>
        <v>66.113366665488854</v>
      </c>
      <c r="CB72" s="20">
        <f t="shared" si="64"/>
        <v>595.78474694239264</v>
      </c>
      <c r="CC72" s="59">
        <f t="shared" si="65"/>
        <v>889.11808027572602</v>
      </c>
      <c r="CD72" s="59">
        <f ca="1">AVERAGE(OFFSET($CC$3,0,0,'Données projet'!$E$12+1,1))-AVERAGE(OFFSET($H$3,0,0,'Données projet'!$E$12+1,1))</f>
        <v>366.69125512029831</v>
      </c>
      <c r="CE72" s="59">
        <f t="shared" si="94"/>
        <v>513.80016421153414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0.74658560183691025</v>
      </c>
      <c r="CL72" s="21">
        <f>EXP(-LN(2)/25)*CL71+(1-EXP(-LN(2)/25))/(LN(2)/25)*Calculateur!CG72*Calculateur!CI72*VLOOKUP('Données projet'!$B$12,Paramètres!$A$1:$I$89,3,0)*0.475*44/12</f>
        <v>2.5039539141719174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3.2505395160088275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8.1001602564102626</v>
      </c>
      <c r="CT72" s="12">
        <f>IF('Données projet'!$A$140&gt;35,CT71+CS72-DB71,IF(A72&lt;'Données projet'!$A$140,$CQ$205^A72,IF(A72='Données projet'!$A$140,'Données projet'!$B$140,CT71+CS72-DB71)))</f>
        <v>227.16506410256432</v>
      </c>
      <c r="CU72" s="17">
        <f>CT72*VLOOKUP('Données projet'!$B$13,Paramètres!$A$1:$I$89,3,0)*VLOOKUP('Données projet'!$B$13,Paramètres!$A$1:$I$89,5,0)</f>
        <v>152.38232500000012</v>
      </c>
      <c r="CV72" s="13">
        <f t="shared" si="95"/>
        <v>39.119480027502711</v>
      </c>
      <c r="CW72" s="20">
        <f t="shared" si="67"/>
        <v>333.53231042290076</v>
      </c>
      <c r="CX72" s="59">
        <f t="shared" si="68"/>
        <v>626.86564375623402</v>
      </c>
      <c r="CY72" s="59">
        <f ca="1">AVERAGE(OFFSET($CX$3,0,0,'Données projet'!$E$13+1,1))-AVERAGE(OFFSET($H$3,0,0,'Données projet'!$E$13+1,1))</f>
        <v>294.94331863127815</v>
      </c>
      <c r="CZ72" s="59">
        <f t="shared" si="96"/>
        <v>218.36990036643977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10.192919750861419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10.192919750861419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259.19999999999987</v>
      </c>
      <c r="DP72" s="17">
        <f>DO72*VLOOKUP('Données projet'!$B$14,Paramètres!$A$1:$I$89,3,0)*VLOOKUP('Données projet'!$B$14,Paramètres!$A$1:$I$89,5,0)</f>
        <v>190.04543999999993</v>
      </c>
      <c r="DQ72" s="13">
        <f t="shared" si="97"/>
        <v>47.549998850241536</v>
      </c>
      <c r="DR72" s="20">
        <f t="shared" si="70"/>
        <v>413.81205599750388</v>
      </c>
      <c r="DS72" s="59">
        <f t="shared" si="71"/>
        <v>707.14538933083713</v>
      </c>
      <c r="DT72" s="59">
        <f ca="1">AVERAGE(OFFSET($DS$3,0,0,'Données projet'!$E$14+1,1))-AVERAGE(OFFSET($H$3,0,0,'Données projet'!$E$14+1,1))</f>
        <v>278.45534008146865</v>
      </c>
      <c r="DU72" s="59">
        <f t="shared" si="98"/>
        <v>272.97841038165217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17.372192770267549</v>
      </c>
      <c r="EB72" s="21">
        <f>EXP(-LN(2)/25)*EB71+(1-EXP(-LN(2)/25))/(LN(2)/25)*Calculateur!DW72*Calculateur!DY72*VLOOKUP('Données projet'!$B$14,Paramètres!$A$1:$I$89,3,0)*0.475*44/12</f>
        <v>7.1955646105516093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24.56775738081916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8.1001602564102626</v>
      </c>
      <c r="EJ72" s="12">
        <f>IF('Données projet'!$A$192&gt;35,EJ71+EI72-ER71,IF(A72&lt;'Données projet'!$A$192,$EG$205^A72,IF(A72='Données projet'!$A$192,'Données projet'!$B$192,EJ71+EI72-ER71)))</f>
        <v>227.16506410256432</v>
      </c>
      <c r="EK72" s="17">
        <f>EJ72*VLOOKUP('Données projet'!$B$15,Paramètres!$A$1:$I$89,3,0)*VLOOKUP('Données projet'!$B$15,Paramètres!$A$1:$I$89,5,0)</f>
        <v>244.52047500000023</v>
      </c>
      <c r="EL72" s="13">
        <f t="shared" si="99"/>
        <v>59.41107391766505</v>
      </c>
      <c r="EM72" s="20">
        <f t="shared" si="73"/>
        <v>529.34744769826705</v>
      </c>
      <c r="EN72" s="59">
        <f t="shared" si="74"/>
        <v>822.68078103160042</v>
      </c>
      <c r="EO72" s="59">
        <f ca="1">AVERAGE(OFFSET($EN$3,0,0,'Données projet'!$E$15+1,1))-AVERAGE(OFFSET($H$3,0,0,'Données projet'!$E$15+1,1))</f>
        <v>449.09332781196957</v>
      </c>
      <c r="EP72" s="59">
        <f t="shared" si="100"/>
        <v>324.85904971519432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13.270027600178073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13.270027600178073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8.1001602564102626</v>
      </c>
      <c r="FE72" s="12">
        <f>IF('Données projet'!$A$218&gt;35,FE71+FD72-FM71,IF(A72&lt;'Données projet'!$A$218,$FB$205^A72,IF(A72='Données projet'!$A$218,'Données projet'!$B$218,FE71+FD72-FM71)))</f>
        <v>227.16506410256432</v>
      </c>
      <c r="FF72" s="17">
        <f>FE72*VLOOKUP('Données projet'!$B$16,Paramètres!$A$1:$I$89,3,0)*VLOOKUP('Données projet'!$B$16,Paramètres!$A$1:$I$89,5,0)</f>
        <v>230.34537500000025</v>
      </c>
      <c r="FG72" s="13">
        <f t="shared" si="101"/>
        <v>56.35735315816531</v>
      </c>
      <c r="FH72" s="20">
        <f t="shared" si="76"/>
        <v>499.34058487547162</v>
      </c>
      <c r="FI72" s="59">
        <f t="shared" si="77"/>
        <v>792.67391820880493</v>
      </c>
      <c r="FJ72" s="59">
        <f ca="1">AVERAGE(OFFSET($FI$3,0,0,'Données projet'!$E$16+1,1))-AVERAGE(OFFSET($H$3,0,0,'Données projet'!$E$16+1,1))</f>
        <v>419.51168383014721</v>
      </c>
      <c r="FK72" s="59">
        <f t="shared" si="102"/>
        <v>213.44145308833384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12.500750637848913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12.500750637848913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3.8</v>
      </c>
      <c r="FZ72" s="12">
        <f>IF('Données projet'!$A$244&gt;35,FZ71+FY72-GH71,IF(A72&lt;'Données projet'!$A$244,$FW$205^A72,IF(A72='Données projet'!$A$244,'Données projet'!$B$244,FZ71+FY72-GH71)))</f>
        <v>259.19999999999987</v>
      </c>
      <c r="GA72" s="17">
        <f>FZ72*VLOOKUP('Données projet'!$B$17,Paramètres!$A$1:$I$89,3,0)*VLOOKUP('Données projet'!$B$17,Paramètres!$A$1:$I$89,5,0)</f>
        <v>226.43711999999991</v>
      </c>
      <c r="GB72" s="13">
        <f t="shared" si="103"/>
        <v>55.5116049933753</v>
      </c>
      <c r="GC72" s="20">
        <f t="shared" si="79"/>
        <v>491.06069603012844</v>
      </c>
      <c r="GD72" s="59">
        <f t="shared" si="80"/>
        <v>784.39402936346175</v>
      </c>
      <c r="GE72" s="59">
        <f ca="1">AVERAGE(OFFSET($GD$3,0,0,'Données projet'!$E$17+1,1))-AVERAGE(OFFSET($H$3,0,0,'Données projet'!$E$17+1,1))</f>
        <v>324.86930206492627</v>
      </c>
      <c r="GF72" s="59">
        <f t="shared" si="104"/>
        <v>317.03005098025352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25.512453311308313</v>
      </c>
      <c r="GM72" s="21">
        <f>EXP(-LN(2)/25)*GM71+(1-EXP(-LN(2)/25))/(LN(2)/25)*Calculateur!GH72*Calculateur!GJ72*VLOOKUP('Données projet'!$B$17,Paramètres!$A$1:$I$89,3,0)*0.475*44/12</f>
        <v>10.56726163489223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36.079714946200539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8.1001602564102626</v>
      </c>
      <c r="GU72" s="12">
        <f>IF('Données projet'!$A$270&gt;35,GU71+GT72-HC71,IF(A72&lt;'Données projet'!$A$270,$GR$205^A72,IF(A72='Données projet'!$A$270,'Données projet'!$B$270,GU71+GT72-HC71)))</f>
        <v>227.16506410256432</v>
      </c>
      <c r="GV72" s="17">
        <f>GU72*VLOOKUP('Données projet'!$B$18,Paramètres!$A$1:$I$89,3,0)*VLOOKUP('Données projet'!$B$18,Paramètres!$A$1:$I$89,5,0)</f>
        <v>216.17027500000017</v>
      </c>
      <c r="GW72" s="13">
        <f t="shared" si="105"/>
        <v>53.28166509380884</v>
      </c>
      <c r="GX72" s="20">
        <f t="shared" si="82"/>
        <v>469.29546233005067</v>
      </c>
      <c r="GY72" s="59">
        <f t="shared" si="83"/>
        <v>762.62879566338393</v>
      </c>
      <c r="GZ72" s="59">
        <f ca="1">AVERAGE(OFFSET($GY$3,0,0,'Données projet'!$E$18+1,1))-AVERAGE(OFFSET($H$3,0,0,'Données projet'!$E$18+1,1))</f>
        <v>401.81944956556271</v>
      </c>
      <c r="HA72" s="59">
        <f t="shared" si="106"/>
        <v>292.20785523952651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11.731473675519748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11.731473675519748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235.26522435897459</v>
      </c>
      <c r="O73" s="13">
        <f>N73*VLOOKUP('Données projet'!$B$9,Paramètres!$A$1:$I$89,3,0)*VLOOKUP('Données projet'!$B$9,Paramètres!$A$1:$I$89,5,0)</f>
        <v>212.8679750000002</v>
      </c>
      <c r="P73" s="13">
        <f t="shared" si="87"/>
        <v>52.561814761455608</v>
      </c>
      <c r="Q73" s="20">
        <f t="shared" si="54"/>
        <v>462.29021716786883</v>
      </c>
      <c r="R73" s="59">
        <f t="shared" si="55"/>
        <v>755.62355050120209</v>
      </c>
      <c r="S73" s="59">
        <f ca="1">AVERAGE(OFFSET($R$3,0,0,'Données projet'!$E$9+1,1))-AVERAGE(OFFSET($H$3,0,0,'Données projet'!$E$9+1,1))</f>
        <v>384.05928630855732</v>
      </c>
      <c r="T73" s="59">
        <f t="shared" si="88"/>
        <v>279.93992813630513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-6.3550942286383367E-14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335.04906256888819</v>
      </c>
      <c r="AO73" s="59">
        <f t="shared" si="90"/>
        <v>440.84111898279554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168.40556469440858</v>
      </c>
      <c r="AV73" s="21">
        <f>EXP(-LN(2)/25)*AV72+(1-EXP(-LN(2)/25))/(LN(2)/25)*Calculateur!AQ73*Calculateur!AS73*VLOOKUP('Données projet'!$B$10,Paramètres!$A$1:$I$89,3,0)*0.475*44/12</f>
        <v>38.006894996779522</v>
      </c>
      <c r="AW73" s="21">
        <f>EXP(-LN(2)/2)*AW72+(1-EXP(-LN(2)/2))/(LN(2)/2)*AQ73*AT73*VLOOKUP('Données projet'!$B$10,Paramètres!$A$1:$I$89,3,0)*0.475*44/12</f>
        <v>0.18871632590221163</v>
      </c>
      <c r="AX73" s="21">
        <f t="shared" si="60"/>
        <v>206.60117601709032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6.8861538461538547</v>
      </c>
      <c r="BD73" s="12">
        <f>IF('Données projet'!$A$88&gt;35,BD72+BC73-BL72,IF(A73&lt;'Données projet'!$A$88,$BA$205^A73,IF(A73='Données projet'!$A$88,'Données projet'!$B$88,BD72+BC73-BL72)))</f>
        <v>345.3569230769229</v>
      </c>
      <c r="BE73" s="13">
        <f>BD73*VLOOKUP('Données projet'!$B$11,Paramètres!$A$1:$I$89,3,0)*VLOOKUP('Données projet'!$B$11,Paramètres!$A$1:$I$89,5,0)</f>
        <v>197.54415999999992</v>
      </c>
      <c r="BF73" s="13">
        <f t="shared" si="91"/>
        <v>49.204060940128365</v>
      </c>
      <c r="BG73" s="20">
        <f t="shared" si="61"/>
        <v>429.75315147072342</v>
      </c>
      <c r="BH73" s="59">
        <f t="shared" si="62"/>
        <v>723.08648480405668</v>
      </c>
      <c r="BI73" s="59">
        <f ca="1">AVERAGE(OFFSET($BH$3,0,0,'Données projet'!$E$11+1,1))-AVERAGE(OFFSET($H$3,0,0,'Données projet'!$E$11+1,1))</f>
        <v>320.76883487964511</v>
      </c>
      <c r="BJ73" s="59">
        <f t="shared" si="92"/>
        <v>290.51177680335746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40.374781616339781</v>
      </c>
      <c r="BQ73" s="21">
        <f>EXP(-LN(2)/25)*BQ72+(1-EXP(-LN(2)/25))/(LN(2)/25)*Calculateur!BL73*Calculateur!BN73*VLOOKUP('Données projet'!$B$11,Paramètres!$A$1:$I$89,3,0)*0.475*44/12</f>
        <v>12.840040629374409</v>
      </c>
      <c r="BR73" s="21">
        <f>EXP(-LN(2)/2)*BR72+(1-EXP(-LN(2)/2))/(LN(2)/2)*BL73*BO73*VLOOKUP('Données projet'!$B$11,Paramètres!$A$1:$I$89,3,0)*0.475*44/12</f>
        <v>2.0033383643581311</v>
      </c>
      <c r="BS73" s="22">
        <f t="shared" si="63"/>
        <v>55.218160610072317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304.99999999999983</v>
      </c>
      <c r="BZ73" s="13">
        <f>BY73*VLOOKUP('Données projet'!$B$12,Paramètres!$A$1:$I$89,3,0)*VLOOKUP('Données projet'!$B$12,Paramètres!$A$1:$I$89,5,0)</f>
        <v>275.96399999999983</v>
      </c>
      <c r="CA73" s="13">
        <f t="shared" si="93"/>
        <v>66.113366665488854</v>
      </c>
      <c r="CB73" s="20">
        <f t="shared" si="64"/>
        <v>595.78474694239264</v>
      </c>
      <c r="CC73" s="59">
        <f t="shared" si="65"/>
        <v>889.11808027572602</v>
      </c>
      <c r="CD73" s="59">
        <f ca="1">AVERAGE(OFFSET($CC$3,0,0,'Données projet'!$E$12+1,1))-AVERAGE(OFFSET($H$3,0,0,'Données projet'!$E$12+1,1))</f>
        <v>366.69125512029831</v>
      </c>
      <c r="CE73" s="59">
        <f t="shared" si="94"/>
        <v>513.80016421153414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0.73194551355714133</v>
      </c>
      <c r="CL73" s="21">
        <f>EXP(-LN(2)/25)*CL72+(1-EXP(-LN(2)/25))/(LN(2)/25)*Calculateur!CG73*Calculateur!CI73*VLOOKUP('Données projet'!$B$12,Paramètres!$A$1:$I$89,3,0)*0.475*44/12</f>
        <v>2.4354831627116726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3.167428676268814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8.1001602564102626</v>
      </c>
      <c r="CT73" s="12">
        <f>IF('Données projet'!$A$140&gt;35,CT72+CS73-DB72,IF(A73&lt;'Données projet'!$A$140,$CQ$205^A73,IF(A73='Données projet'!$A$140,'Données projet'!$B$140,CT72+CS73-DB72)))</f>
        <v>235.26522435897459</v>
      </c>
      <c r="CU73" s="17">
        <f>CT73*VLOOKUP('Données projet'!$B$13,Paramètres!$A$1:$I$89,3,0)*VLOOKUP('Données projet'!$B$13,Paramètres!$A$1:$I$89,5,0)</f>
        <v>157.81591250000014</v>
      </c>
      <c r="CV73" s="13">
        <f t="shared" si="95"/>
        <v>40.349494998591652</v>
      </c>
      <c r="CW73" s="20">
        <f t="shared" si="67"/>
        <v>345.138084726714</v>
      </c>
      <c r="CX73" s="59">
        <f t="shared" si="68"/>
        <v>638.47141806004731</v>
      </c>
      <c r="CY73" s="59">
        <f ca="1">AVERAGE(OFFSET($CX$3,0,0,'Données projet'!$E$13+1,1))-AVERAGE(OFFSET($H$3,0,0,'Données projet'!$E$13+1,1))</f>
        <v>294.94331863127815</v>
      </c>
      <c r="CZ73" s="59">
        <f t="shared" si="96"/>
        <v>218.36990036643977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9.9930428116141901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9.9930428116141901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192.83159999999992</v>
      </c>
      <c r="DQ73" s="13">
        <f t="shared" si="97"/>
        <v>48.165439402688776</v>
      </c>
      <c r="DR73" s="20">
        <f t="shared" si="70"/>
        <v>419.73651029301612</v>
      </c>
      <c r="DS73" s="59">
        <f t="shared" si="71"/>
        <v>713.06984362634944</v>
      </c>
      <c r="DT73" s="59">
        <f ca="1">AVERAGE(OFFSET($DS$3,0,0,'Données projet'!$E$14+1,1))-AVERAGE(OFFSET($H$3,0,0,'Données projet'!$E$14+1,1))</f>
        <v>278.45534008146865</v>
      </c>
      <c r="DU73" s="59">
        <f t="shared" si="98"/>
        <v>272.97841038165217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0.38700000000000001</v>
      </c>
      <c r="DY73" s="16">
        <f>IF(ISNA(VLOOKUP(A73,'Données projet'!$A$165:$I$185,6,0)),0%,VLOOKUP(A73,'Données projet'!$A$165:$I$185,6,0)*VLOOKUP('Données projet'!$B$14,Paramètres!$A$1:$I$89,7,0))</f>
        <v>4.3000000000000003E-2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20.168289180432595</v>
      </c>
      <c r="EB73" s="21">
        <f>EXP(-LN(2)/25)*EB72+(1-EXP(-LN(2)/25))/(LN(2)/25)*Calculateur!DW73*Calculateur!DY73*VLOOKUP('Données projet'!$B$14,Paramètres!$A$1:$I$89,3,0)*0.475*44/12</f>
        <v>7.3459575086198132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27.514246689052406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8.1001602564102626</v>
      </c>
      <c r="EJ73" s="12">
        <f>IF('Données projet'!$A$192&gt;35,EJ72+EI73-ER72,IF(A73&lt;'Données projet'!$A$192,$EG$205^A73,IF(A73='Données projet'!$A$192,'Données projet'!$B$192,EJ72+EI73-ER72)))</f>
        <v>235.26522435897459</v>
      </c>
      <c r="EK73" s="17">
        <f>EJ73*VLOOKUP('Données projet'!$B$15,Paramètres!$A$1:$I$89,3,0)*VLOOKUP('Données projet'!$B$15,Paramètres!$A$1:$I$89,5,0)</f>
        <v>253.23948750000022</v>
      </c>
      <c r="EL73" s="13">
        <f t="shared" si="99"/>
        <v>61.279107703283522</v>
      </c>
      <c r="EM73" s="20">
        <f t="shared" si="73"/>
        <v>547.78655331238576</v>
      </c>
      <c r="EN73" s="59">
        <f t="shared" si="74"/>
        <v>841.11988664571913</v>
      </c>
      <c r="EO73" s="59">
        <f ca="1">AVERAGE(OFFSET($EN$3,0,0,'Données projet'!$E$15+1,1))-AVERAGE(OFFSET($H$3,0,0,'Données projet'!$E$15+1,1))</f>
        <v>449.09332781196957</v>
      </c>
      <c r="EP73" s="59">
        <f t="shared" si="100"/>
        <v>324.85904971519432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13.009810452856209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13.009810452856209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8.1001602564102626</v>
      </c>
      <c r="FE73" s="12">
        <f>IF('Données projet'!$A$218&gt;35,FE72+FD73-FM72,IF(A73&lt;'Données projet'!$A$218,$FB$205^A73,IF(A73='Données projet'!$A$218,'Données projet'!$B$218,FE72+FD73-FM72)))</f>
        <v>235.26522435897459</v>
      </c>
      <c r="FF73" s="17">
        <f>FE73*VLOOKUP('Données projet'!$B$16,Paramètres!$A$1:$I$89,3,0)*VLOOKUP('Données projet'!$B$16,Paramètres!$A$1:$I$89,5,0)</f>
        <v>238.55893750000027</v>
      </c>
      <c r="FG73" s="13">
        <f t="shared" si="101"/>
        <v>58.129370272573652</v>
      </c>
      <c r="FH73" s="20">
        <f t="shared" si="76"/>
        <v>516.73213603723286</v>
      </c>
      <c r="FI73" s="59">
        <f t="shared" si="77"/>
        <v>810.06546937056623</v>
      </c>
      <c r="FJ73" s="59">
        <f ca="1">AVERAGE(OFFSET($FI$3,0,0,'Données projet'!$E$16+1,1))-AVERAGE(OFFSET($H$3,0,0,'Données projet'!$E$16+1,1))</f>
        <v>419.51168383014721</v>
      </c>
      <c r="FK73" s="59">
        <f t="shared" si="102"/>
        <v>213.44145308833384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12.255618542545708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12.255618542545708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263</v>
      </c>
      <c r="FX73" s="12">
        <f>VLOOKUP(A73,'Données projet'!$A$243:$I$263,9,0)</f>
        <v>3.8</v>
      </c>
      <c r="FY73" s="12">
        <f t="array" ref="FY73">INDEX(FX:FX,MIN(IF(ISNUMBER(FX73:FX269),ROW(FX73:FX269),"")))</f>
        <v>3.8</v>
      </c>
      <c r="FZ73" s="12">
        <f>IF('Données projet'!$A$244&gt;35,FZ72+FY73-GH72,IF(A73&lt;'Données projet'!$A$244,$FW$205^A73,IF(A73='Données projet'!$A$244,'Données projet'!$B$244,FZ72+FY73-GH72)))</f>
        <v>262.99999999999989</v>
      </c>
      <c r="GA73" s="17">
        <f>FZ73*VLOOKUP('Données projet'!$B$17,Paramètres!$A$1:$I$89,3,0)*VLOOKUP('Données projet'!$B$17,Paramètres!$A$1:$I$89,5,0)</f>
        <v>229.75679999999991</v>
      </c>
      <c r="GB73" s="13">
        <f t="shared" si="103"/>
        <v>56.23009276772752</v>
      </c>
      <c r="GC73" s="20">
        <f t="shared" si="79"/>
        <v>498.09383823712528</v>
      </c>
      <c r="GD73" s="59">
        <f t="shared" si="80"/>
        <v>791.42717157045854</v>
      </c>
      <c r="GE73" s="59">
        <f ca="1">AVERAGE(OFFSET($GD$3,0,0,'Données projet'!$E$17+1,1))-AVERAGE(OFFSET($H$3,0,0,'Données projet'!$E$17+1,1))</f>
        <v>324.86930206492627</v>
      </c>
      <c r="GF73" s="59">
        <f t="shared" si="104"/>
        <v>317.03005098025352</v>
      </c>
      <c r="GG73" s="15">
        <f>IF(ISNA(VLOOKUP(A73,'Données projet'!$A$243:$I$263,3,0)),0,VLOOKUP(A73,'Données projet'!$A$243:$I$263,3,0))</f>
        <v>12</v>
      </c>
      <c r="GH73" s="15">
        <f>IF(ISNA(VLOOKUP(A73,'Données projet'!$A$243:$I$263,4,0)),0,VLOOKUP(A73,'Données projet'!$A$243:$I$263,4,0))</f>
        <v>10</v>
      </c>
      <c r="GI73" s="16">
        <f>IF(ISNA(VLOOKUP(A73,'Données projet'!$A$243:$I$263,5,0)),0%,VLOOKUP(A73,'Données projet'!$A$243:$I$263,5,0)*VLOOKUP('Données projet'!$B$17,Paramètres!$A$1:$I$89,7,0))</f>
        <v>0.47700000000000004</v>
      </c>
      <c r="GJ73" s="16">
        <f>IF(ISNA(VLOOKUP(A73,'Données projet'!$A$243:$I$263,6,0)),0%,VLOOKUP(A73,'Données projet'!$A$243:$I$263,6,0)*VLOOKUP('Données projet'!$B$17,Paramètres!$A$1:$I$89,7,0))</f>
        <v>5.3000000000000005E-2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29.618744328314683</v>
      </c>
      <c r="GM73" s="21">
        <f>EXP(-LN(2)/25)*GM72+(1-EXP(-LN(2)/25))/(LN(2)/25)*Calculateur!GH73*Calculateur!GJ73*VLOOKUP('Données projet'!$B$17,Paramètres!$A$1:$I$89,3,0)*0.475*44/12</f>
        <v>10.788125623742516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40.4068699520572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8.1001602564102626</v>
      </c>
      <c r="GU73" s="12">
        <f>IF('Données projet'!$A$270&gt;35,GU72+GT73-HC72,IF(A73&lt;'Données projet'!$A$270,$GR$205^A73,IF(A73='Données projet'!$A$270,'Données projet'!$B$270,GU72+GT73-HC72)))</f>
        <v>235.26522435897459</v>
      </c>
      <c r="GV73" s="17">
        <f>GU73*VLOOKUP('Données projet'!$B$18,Paramètres!$A$1:$I$89,3,0)*VLOOKUP('Données projet'!$B$18,Paramètres!$A$1:$I$89,5,0)</f>
        <v>223.8783875000002</v>
      </c>
      <c r="GW73" s="13">
        <f t="shared" si="105"/>
        <v>54.956974829619661</v>
      </c>
      <c r="GX73" s="20">
        <f t="shared" si="82"/>
        <v>485.63825605742119</v>
      </c>
      <c r="GY73" s="59">
        <f t="shared" si="83"/>
        <v>778.9715893907545</v>
      </c>
      <c r="GZ73" s="59">
        <f ca="1">AVERAGE(OFFSET($GY$3,0,0,'Données projet'!$E$18+1,1))-AVERAGE(OFFSET($H$3,0,0,'Données projet'!$E$18+1,1))</f>
        <v>401.81944956556271</v>
      </c>
      <c r="HA73" s="59">
        <f t="shared" si="106"/>
        <v>292.20785523952651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11.501426632235201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11.501426632235201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243.36538461538464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243.36538461538487</v>
      </c>
      <c r="O74" s="13">
        <f>N74*VLOOKUP('Données projet'!$B$9,Paramètres!$A$1:$I$89,3,0)*VLOOKUP('Données projet'!$B$9,Paramètres!$A$1:$I$89,5,0)</f>
        <v>220.19700000000023</v>
      </c>
      <c r="P74" s="13">
        <f t="shared" si="87"/>
        <v>54.157700466574305</v>
      </c>
      <c r="Q74" s="20">
        <f t="shared" si="54"/>
        <v>477.83443664595069</v>
      </c>
      <c r="R74" s="59">
        <f t="shared" si="55"/>
        <v>771.167769979284</v>
      </c>
      <c r="S74" s="59">
        <f ca="1">AVERAGE(OFFSET($R$3,0,0,'Données projet'!$E$9+1,1))-AVERAGE(OFFSET($H$3,0,0,'Données projet'!$E$9+1,1))</f>
        <v>384.05928630855732</v>
      </c>
      <c r="T74" s="59">
        <f t="shared" si="88"/>
        <v>279.93992813630513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-6.3550942286383367E-14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335.04906256888819</v>
      </c>
      <c r="AO74" s="59">
        <f t="shared" si="90"/>
        <v>440.84111898279554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165.10323428800319</v>
      </c>
      <c r="AV74" s="21">
        <f>EXP(-LN(2)/25)*AV73+(1-EXP(-LN(2)/25))/(LN(2)/25)*Calculateur!AQ74*Calculateur!AS74*VLOOKUP('Données projet'!$B$10,Paramètres!$A$1:$I$89,3,0)*0.475*44/12</f>
        <v>36.967594454396846</v>
      </c>
      <c r="AW74" s="21">
        <f>EXP(-LN(2)/2)*AW73+(1-EXP(-LN(2)/2))/(LN(2)/2)*AQ74*AT74*VLOOKUP('Données projet'!$B$10,Paramètres!$A$1:$I$89,3,0)*0.475*44/12</f>
        <v>0.13344259376606435</v>
      </c>
      <c r="AX74" s="21">
        <f t="shared" si="60"/>
        <v>202.2042713361661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6.8861538461538547</v>
      </c>
      <c r="BD74" s="12">
        <f>IF('Données projet'!$A$88&gt;35,BD73+BC74-BL73,IF(A74&lt;'Données projet'!$A$88,$BA$205^A74,IF(A74='Données projet'!$A$88,'Données projet'!$B$88,BD73+BC74-BL73)))</f>
        <v>352.24307692307673</v>
      </c>
      <c r="BE74" s="13">
        <f>BD74*VLOOKUP('Données projet'!$B$11,Paramètres!$A$1:$I$89,3,0)*VLOOKUP('Données projet'!$B$11,Paramètres!$A$1:$I$89,5,0)</f>
        <v>201.4830399999999</v>
      </c>
      <c r="BF74" s="13">
        <f t="shared" si="91"/>
        <v>50.069954758151276</v>
      </c>
      <c r="BG74" s="20">
        <f t="shared" si="61"/>
        <v>438.12146587044663</v>
      </c>
      <c r="BH74" s="59">
        <f t="shared" si="62"/>
        <v>731.45479920377988</v>
      </c>
      <c r="BI74" s="59">
        <f ca="1">AVERAGE(OFFSET($BH$3,0,0,'Données projet'!$E$11+1,1))-AVERAGE(OFFSET($H$3,0,0,'Données projet'!$E$11+1,1))</f>
        <v>320.76883487964511</v>
      </c>
      <c r="BJ74" s="59">
        <f t="shared" si="92"/>
        <v>290.51177680335746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39.58305677502851</v>
      </c>
      <c r="BQ74" s="21">
        <f>EXP(-LN(2)/25)*BQ73+(1-EXP(-LN(2)/25))/(LN(2)/25)*Calculateur!BL74*Calculateur!BN74*VLOOKUP('Données projet'!$B$11,Paramètres!$A$1:$I$89,3,0)*0.475*44/12</f>
        <v>12.488929043135775</v>
      </c>
      <c r="BR74" s="21">
        <f>EXP(-LN(2)/2)*BR73+(1-EXP(-LN(2)/2))/(LN(2)/2)*BL74*BO74*VLOOKUP('Données projet'!$B$11,Paramètres!$A$1:$I$89,3,0)*0.475*44/12</f>
        <v>1.4165741424488012</v>
      </c>
      <c r="BS74" s="22">
        <f t="shared" si="63"/>
        <v>53.488559960613088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304.99999999999983</v>
      </c>
      <c r="BZ74" s="13">
        <f>BY74*VLOOKUP('Données projet'!$B$12,Paramètres!$A$1:$I$89,3,0)*VLOOKUP('Données projet'!$B$12,Paramètres!$A$1:$I$89,5,0)</f>
        <v>275.96399999999983</v>
      </c>
      <c r="CA74" s="13">
        <f t="shared" si="93"/>
        <v>66.113366665488854</v>
      </c>
      <c r="CB74" s="20">
        <f t="shared" si="64"/>
        <v>595.78474694239264</v>
      </c>
      <c r="CC74" s="59">
        <f t="shared" si="65"/>
        <v>889.11808027572602</v>
      </c>
      <c r="CD74" s="59">
        <f ca="1">AVERAGE(OFFSET($CC$3,0,0,'Données projet'!$E$12+1,1))-AVERAGE(OFFSET($H$3,0,0,'Données projet'!$E$12+1,1))</f>
        <v>366.69125512029831</v>
      </c>
      <c r="CE74" s="59">
        <f t="shared" si="94"/>
        <v>513.80016421153414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0.7175925084789665</v>
      </c>
      <c r="CL74" s="21">
        <f>EXP(-LN(2)/25)*CL73+(1-EXP(-LN(2)/25))/(LN(2)/25)*Calculateur!CG74*Calculateur!CI74*VLOOKUP('Données projet'!$B$12,Paramètres!$A$1:$I$89,3,0)*0.475*44/12</f>
        <v>2.3688847475508288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3.0864772560297951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>
        <f>VLOOKUP(A74,'Données projet'!$A$139:$I$159,2,0)</f>
        <v>243.36538461538464</v>
      </c>
      <c r="CR74" s="12">
        <f>VLOOKUP(A74,'Données projet'!$A$139:$I$159,9,0)</f>
        <v>8.1001602564102626</v>
      </c>
      <c r="CS74" s="12">
        <f t="array" ref="CS74">INDEX(CR:CR,MIN(IF(ISNUMBER(CR74:CR270),ROW(CR74:CR270),"")))</f>
        <v>8.1001602564102626</v>
      </c>
      <c r="CT74" s="12">
        <f>IF('Données projet'!$A$140&gt;35,CT73+CS74-DB73,IF(A74&lt;'Données projet'!$A$140,$CQ$205^A74,IF(A74='Données projet'!$A$140,'Données projet'!$B$140,CT73+CS74-DB73)))</f>
        <v>243.36538461538487</v>
      </c>
      <c r="CU74" s="17">
        <f>CT74*VLOOKUP('Données projet'!$B$13,Paramètres!$A$1:$I$89,3,0)*VLOOKUP('Données projet'!$B$13,Paramètres!$A$1:$I$89,5,0)</f>
        <v>163.24950000000018</v>
      </c>
      <c r="CV74" s="13">
        <f t="shared" si="95"/>
        <v>41.574589348344425</v>
      </c>
      <c r="CW74" s="20">
        <f t="shared" si="67"/>
        <v>356.73528894836682</v>
      </c>
      <c r="CX74" s="59">
        <f t="shared" si="68"/>
        <v>650.06862228170007</v>
      </c>
      <c r="CY74" s="59">
        <f ca="1">AVERAGE(OFFSET($CX$3,0,0,'Données projet'!$E$13+1,1))-AVERAGE(OFFSET($H$3,0,0,'Données projet'!$E$13+1,1))</f>
        <v>294.94331863127815</v>
      </c>
      <c r="CZ74" s="59">
        <f t="shared" si="96"/>
        <v>218.36990036643977</v>
      </c>
      <c r="DA74" s="15">
        <f>IF(ISNA(VLOOKUP(A74,'Données projet'!$A$139:$I$159,3,0)),0,VLOOKUP(A74,'Données projet'!$A$139:$I$159,3,0))</f>
        <v>6</v>
      </c>
      <c r="DB74" s="15">
        <f>IF(ISNA(VLOOKUP(A74,'Données projet'!$A$139:$I$159,4,0)),0,VLOOKUP(A74,'Données projet'!$A$139:$I$159,4,0))</f>
        <v>39.935897435897431</v>
      </c>
      <c r="DC74" s="16">
        <f>IF(ISNA(VLOOKUP(A74,'Données projet'!$A$139:$I$159,5,0)),0%,VLOOKUP(A74,'Données projet'!$A$139:$I$159,5,0)*VLOOKUP('Données projet'!$B$13,Paramètres!$A$1:$I$89,7,0))</f>
        <v>0.371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20.784044802234046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20.784044802234046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256.39999999999986</v>
      </c>
      <c r="DP74" s="17">
        <f>DO74*VLOOKUP('Données projet'!$B$14,Paramètres!$A$1:$I$89,3,0)*VLOOKUP('Données projet'!$B$14,Paramètres!$A$1:$I$89,5,0)</f>
        <v>187.99247999999989</v>
      </c>
      <c r="DQ74" s="13">
        <f t="shared" si="97"/>
        <v>47.095844674053957</v>
      </c>
      <c r="DR74" s="20">
        <f t="shared" si="70"/>
        <v>409.44549880731046</v>
      </c>
      <c r="DS74" s="59">
        <f t="shared" si="71"/>
        <v>702.77883214064377</v>
      </c>
      <c r="DT74" s="59">
        <f ca="1">AVERAGE(OFFSET($DS$3,0,0,'Données projet'!$E$14+1,1))-AVERAGE(OFFSET($H$3,0,0,'Données projet'!$E$14+1,1))</f>
        <v>278.45534008146865</v>
      </c>
      <c r="DU74" s="59">
        <f t="shared" si="98"/>
        <v>272.97841038165217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19.772801331046047</v>
      </c>
      <c r="EB74" s="21">
        <f>EXP(-LN(2)/25)*EB73+(1-EXP(-LN(2)/25))/(LN(2)/25)*Calculateur!DW74*Calculateur!DY74*VLOOKUP('Données projet'!$B$14,Paramètres!$A$1:$I$89,3,0)*0.475*44/12</f>
        <v>7.1450819142394888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26.917883245285537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>
        <f>VLOOKUP(A74,'Données projet'!$A$191:$I$211,2,0)</f>
        <v>243.36538461538464</v>
      </c>
      <c r="EH74" s="12">
        <f>VLOOKUP(A74,'Données projet'!$A$191:$I$211,9,0)</f>
        <v>8.1001602564102626</v>
      </c>
      <c r="EI74" s="12">
        <f t="array" ref="EI74">INDEX(EH:EH,MIN(IF(ISNUMBER(EH74:EH270),ROW(EH74:EH270),"")))</f>
        <v>8.1001602564102626</v>
      </c>
      <c r="EJ74" s="12">
        <f>IF('Données projet'!$A$192&gt;35,EJ73+EI74-ER73,IF(A74&lt;'Données projet'!$A$192,$EG$205^A74,IF(A74='Données projet'!$A$192,'Données projet'!$B$192,EJ73+EI74-ER73)))</f>
        <v>243.36538461538487</v>
      </c>
      <c r="EK74" s="17">
        <f>EJ74*VLOOKUP('Données projet'!$B$15,Paramètres!$A$1:$I$89,3,0)*VLOOKUP('Données projet'!$B$15,Paramètres!$A$1:$I$89,5,0)</f>
        <v>261.95850000000024</v>
      </c>
      <c r="EL74" s="13">
        <f t="shared" si="99"/>
        <v>63.139668501077999</v>
      </c>
      <c r="EM74" s="20">
        <f t="shared" si="73"/>
        <v>566.21264347271119</v>
      </c>
      <c r="EN74" s="59">
        <f t="shared" si="74"/>
        <v>859.54597680604456</v>
      </c>
      <c r="EO74" s="59">
        <f ca="1">AVERAGE(OFFSET($EN$3,0,0,'Données projet'!$E$15+1,1))-AVERAGE(OFFSET($H$3,0,0,'Données projet'!$E$15+1,1))</f>
        <v>449.09332781196957</v>
      </c>
      <c r="EP74" s="59">
        <f t="shared" si="100"/>
        <v>324.85904971519432</v>
      </c>
      <c r="EQ74" s="15">
        <f>IF(ISNA(VLOOKUP(A74,'Données projet'!$A$191:$I$211,3,0)),0,VLOOKUP(A74,'Données projet'!$A$191:$I$211,3,0))</f>
        <v>6</v>
      </c>
      <c r="ER74" s="15">
        <f>IF(ISNA(VLOOKUP(A74,'Données projet'!$A$191:$I$211,4,0)),0,VLOOKUP(A74,'Données projet'!$A$191:$I$211,4,0))</f>
        <v>39.935897435897431</v>
      </c>
      <c r="ES74" s="16">
        <f>IF(ISNA(VLOOKUP(A74,'Données projet'!$A$191:$I$211,5,0)),0%,VLOOKUP(A74,'Données projet'!$A$191:$I$211,5,0)*VLOOKUP('Données projet'!$B$15,Paramètres!$A$1:$I$89,7,0))</f>
        <v>0.30099999999999999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27.058473421776398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27.058473421776398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>
        <f>VLOOKUP(A74,'Données projet'!$A$217:$I$237,2,0)</f>
        <v>243.36538461538464</v>
      </c>
      <c r="FC74" s="12">
        <f>VLOOKUP(A74,'Données projet'!$A$217:$I$237,9,0)</f>
        <v>8.1001602564102626</v>
      </c>
      <c r="FD74" s="12">
        <f t="array" ref="FD74">INDEX(FC:FC,MIN(IF(ISNUMBER(FC74:FC270),ROW(FC74:FC270),"")))</f>
        <v>8.1001602564102626</v>
      </c>
      <c r="FE74" s="12">
        <f>IF('Données projet'!$A$218&gt;35,FE73+FD74-FM73,IF(A74&lt;'Données projet'!$A$218,$FB$205^A74,IF(A74='Données projet'!$A$218,'Données projet'!$B$218,FE73+FD74-FM73)))</f>
        <v>243.36538461538487</v>
      </c>
      <c r="FF74" s="17">
        <f>FE74*VLOOKUP('Données projet'!$B$16,Paramètres!$A$1:$I$89,3,0)*VLOOKUP('Données projet'!$B$16,Paramètres!$A$1:$I$89,5,0)</f>
        <v>246.77250000000026</v>
      </c>
      <c r="FG74" s="13">
        <f t="shared" si="101"/>
        <v>59.894298509670598</v>
      </c>
      <c r="FH74" s="20">
        <f t="shared" si="76"/>
        <v>534.11134073767676</v>
      </c>
      <c r="FI74" s="59">
        <f t="shared" si="77"/>
        <v>827.44467407101001</v>
      </c>
      <c r="FJ74" s="59">
        <f ca="1">AVERAGE(OFFSET($FI$3,0,0,'Données projet'!$E$16+1,1))-AVERAGE(OFFSET($H$3,0,0,'Données projet'!$E$16+1,1))</f>
        <v>419.51168383014721</v>
      </c>
      <c r="FK74" s="59">
        <f t="shared" si="102"/>
        <v>213.44145308833384</v>
      </c>
      <c r="FL74" s="15">
        <f>IF(ISNA(VLOOKUP(A74,'Données projet'!$A$217:$I$237,3,0)),0,VLOOKUP(A74,'Données projet'!$A$217:$I$237,3,0))</f>
        <v>6</v>
      </c>
      <c r="FM74" s="15">
        <f>IF(ISNA(VLOOKUP(A74,'Données projet'!$A$217:$I$237,4,0)),0,VLOOKUP(A74,'Données projet'!$A$217:$I$237,4,0))</f>
        <v>39.935897435897431</v>
      </c>
      <c r="FN74" s="16">
        <f>IF(ISNA(VLOOKUP(A74,'Données projet'!$A$217:$I$237,5,0)),0%,VLOOKUP(A74,'Données projet'!$A$217:$I$237,5,0)*VLOOKUP('Données projet'!$B$16,Paramètres!$A$1:$I$89,7,0))</f>
        <v>0.30099999999999999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25.489866266890814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25.489866266890814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3.4</v>
      </c>
      <c r="FZ74" s="12">
        <f>IF('Données projet'!$A$244&gt;35,FZ73+FY74-GH73,IF(A74&lt;'Données projet'!$A$244,$FW$205^A74,IF(A74='Données projet'!$A$244,'Données projet'!$B$244,FZ73+FY74-GH73)))</f>
        <v>256.39999999999986</v>
      </c>
      <c r="GA74" s="17">
        <f>FZ74*VLOOKUP('Données projet'!$B$17,Paramètres!$A$1:$I$89,3,0)*VLOOKUP('Données projet'!$B$17,Paramètres!$A$1:$I$89,5,0)</f>
        <v>223.99103999999991</v>
      </c>
      <c r="GB74" s="13">
        <f t="shared" si="103"/>
        <v>54.981408824201552</v>
      </c>
      <c r="GC74" s="20">
        <f t="shared" si="79"/>
        <v>485.87701503548419</v>
      </c>
      <c r="GD74" s="59">
        <f t="shared" si="80"/>
        <v>779.21034836881745</v>
      </c>
      <c r="GE74" s="59">
        <f ca="1">AVERAGE(OFFSET($GD$3,0,0,'Données projet'!$E$17+1,1))-AVERAGE(OFFSET($H$3,0,0,'Données projet'!$E$17+1,1))</f>
        <v>324.86930206492627</v>
      </c>
      <c r="GF74" s="59">
        <f t="shared" si="104"/>
        <v>317.03005098025352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29.037938817686637</v>
      </c>
      <c r="GM74" s="21">
        <f>EXP(-LN(2)/25)*GM73+(1-EXP(-LN(2)/25))/(LN(2)/25)*Calculateur!GH74*Calculateur!GJ74*VLOOKUP('Données projet'!$B$17,Paramètres!$A$1:$I$89,3,0)*0.475*44/12</f>
        <v>10.493123761238408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39.531062578925045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>
        <f>VLOOKUP(A74,'Données projet'!$A$269:$I$289,2,0)</f>
        <v>243.36538461538464</v>
      </c>
      <c r="GS74" s="12">
        <f>VLOOKUP(A74,'Données projet'!$A$269:$I$289,9,0)</f>
        <v>8.1001602564102626</v>
      </c>
      <c r="GT74" s="12">
        <f t="array" ref="GT74">INDEX(GS:GS,MIN(IF(ISNUMBER(GS74:GS270),ROW(GS74:GS270),"")))</f>
        <v>8.1001602564102626</v>
      </c>
      <c r="GU74" s="12">
        <f>IF('Données projet'!$A$270&gt;35,GU73+GT74-HC73,IF(A74&lt;'Données projet'!$A$270,$GR$205^A74,IF(A74='Données projet'!$A$270,'Données projet'!$B$270,GU73+GT74-HC73)))</f>
        <v>243.36538461538487</v>
      </c>
      <c r="GV74" s="17">
        <f>GU74*VLOOKUP('Données projet'!$B$18,Paramètres!$A$1:$I$89,3,0)*VLOOKUP('Données projet'!$B$18,Paramètres!$A$1:$I$89,5,0)</f>
        <v>231.58650000000023</v>
      </c>
      <c r="GW74" s="13">
        <f t="shared" si="105"/>
        <v>56.625582561776412</v>
      </c>
      <c r="GX74" s="20">
        <f t="shared" si="82"/>
        <v>501.96937712842765</v>
      </c>
      <c r="GY74" s="59">
        <f t="shared" si="83"/>
        <v>795.30271046176097</v>
      </c>
      <c r="GZ74" s="59">
        <f ca="1">AVERAGE(OFFSET($GY$3,0,0,'Données projet'!$E$18+1,1))-AVERAGE(OFFSET($H$3,0,0,'Données projet'!$E$18+1,1))</f>
        <v>401.81944956556271</v>
      </c>
      <c r="HA74" s="59">
        <f t="shared" si="106"/>
        <v>292.20785523952651</v>
      </c>
      <c r="HB74" s="15">
        <f>IF(ISNA(VLOOKUP(A74,'Données projet'!$A$269:$I$289,3,0)),0,VLOOKUP(A74,'Données projet'!$A$269:$I$289,3,0))</f>
        <v>6</v>
      </c>
      <c r="HC74" s="15">
        <f>IF(ISNA(VLOOKUP(A74,'Données projet'!$A$269:$I$289,4,0)),0,VLOOKUP(A74,'Données projet'!$A$269:$I$289,4,0))</f>
        <v>39.935897435897431</v>
      </c>
      <c r="HD74" s="16">
        <f>IF(ISNA(VLOOKUP(A74,'Données projet'!$A$269:$I$289,5,0)),0%,VLOOKUP(A74,'Données projet'!$A$269:$I$289,5,0)*VLOOKUP('Données projet'!$B$18,Paramètres!$A$1:$I$89,7,0))</f>
        <v>0.30099999999999999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23.921259112005224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23.921259112005224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211.27207977208002</v>
      </c>
      <c r="O75" s="13">
        <f>N75*VLOOKUP('Données projet'!$B$9,Paramètres!$A$1:$I$89,3,0)*VLOOKUP('Données projet'!$B$9,Paramètres!$A$1:$I$89,5,0)</f>
        <v>191.15897777777801</v>
      </c>
      <c r="P75" s="13">
        <f t="shared" si="87"/>
        <v>47.796095622022989</v>
      </c>
      <c r="Q75" s="20">
        <f t="shared" si="54"/>
        <v>416.18008617132006</v>
      </c>
      <c r="R75" s="59">
        <f t="shared" si="55"/>
        <v>709.51341950465337</v>
      </c>
      <c r="S75" s="59">
        <f ca="1">AVERAGE(OFFSET($R$3,0,0,'Données projet'!$E$9+1,1))-AVERAGE(OFFSET($H$3,0,0,'Données projet'!$E$9+1,1))</f>
        <v>384.05928630855732</v>
      </c>
      <c r="T75" s="59">
        <f t="shared" si="88"/>
        <v>279.93992813630513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-6.3550942286383367E-14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335.04906256888819</v>
      </c>
      <c r="AO75" s="59">
        <f t="shared" si="90"/>
        <v>440.84111898279554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161.86566056664478</v>
      </c>
      <c r="AV75" s="21">
        <f>EXP(-LN(2)/25)*AV74+(1-EXP(-LN(2)/25))/(LN(2)/25)*Calculateur!AQ75*Calculateur!AS75*VLOOKUP('Données projet'!$B$10,Paramètres!$A$1:$I$89,3,0)*0.475*44/12</f>
        <v>35.956713640000061</v>
      </c>
      <c r="AW75" s="21">
        <f>EXP(-LN(2)/2)*AW74+(1-EXP(-LN(2)/2))/(LN(2)/2)*AQ75*AT75*VLOOKUP('Données projet'!$B$10,Paramètres!$A$1:$I$89,3,0)*0.475*44/12</f>
        <v>9.4358162951105815E-2</v>
      </c>
      <c r="AX75" s="21">
        <f t="shared" si="60"/>
        <v>197.91673236959593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6.8861538461538547</v>
      </c>
      <c r="BD75" s="12">
        <f>IF('Données projet'!$A$88&gt;35,BD74+BC75-BL74,IF(A75&lt;'Données projet'!$A$88,$BA$205^A75,IF(A75='Données projet'!$A$88,'Données projet'!$B$88,BD74+BC75-BL74)))</f>
        <v>359.12923076923056</v>
      </c>
      <c r="BE75" s="13">
        <f>BD75*VLOOKUP('Données projet'!$B$11,Paramètres!$A$1:$I$89,3,0)*VLOOKUP('Données projet'!$B$11,Paramètres!$A$1:$I$89,5,0)</f>
        <v>205.42191999999989</v>
      </c>
      <c r="BF75" s="13">
        <f t="shared" si="91"/>
        <v>50.933880295259847</v>
      </c>
      <c r="BG75" s="20">
        <f t="shared" si="61"/>
        <v>446.48635218091061</v>
      </c>
      <c r="BH75" s="59">
        <f t="shared" si="62"/>
        <v>739.81968551424393</v>
      </c>
      <c r="BI75" s="59">
        <f ca="1">AVERAGE(OFFSET($BH$3,0,0,'Données projet'!$E$11+1,1))-AVERAGE(OFFSET($H$3,0,0,'Données projet'!$E$11+1,1))</f>
        <v>320.76883487964511</v>
      </c>
      <c r="BJ75" s="59">
        <f t="shared" si="92"/>
        <v>290.51177680335746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38.806857174950885</v>
      </c>
      <c r="BQ75" s="21">
        <f>EXP(-LN(2)/25)*BQ74+(1-EXP(-LN(2)/25))/(LN(2)/25)*Calculateur!BL75*Calculateur!BN75*VLOOKUP('Données projet'!$B$11,Paramètres!$A$1:$I$89,3,0)*0.475*44/12</f>
        <v>12.147418621686992</v>
      </c>
      <c r="BR75" s="21">
        <f>EXP(-LN(2)/2)*BR74+(1-EXP(-LN(2)/2))/(LN(2)/2)*BL75*BO75*VLOOKUP('Données projet'!$B$11,Paramètres!$A$1:$I$89,3,0)*0.475*44/12</f>
        <v>1.0016691821790658</v>
      </c>
      <c r="BS75" s="22">
        <f t="shared" si="63"/>
        <v>51.955944978816937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304.99999999999983</v>
      </c>
      <c r="BZ75" s="13">
        <f>BY75*VLOOKUP('Données projet'!$B$12,Paramètres!$A$1:$I$89,3,0)*VLOOKUP('Données projet'!$B$12,Paramètres!$A$1:$I$89,5,0)</f>
        <v>275.96399999999983</v>
      </c>
      <c r="CA75" s="13">
        <f t="shared" si="93"/>
        <v>66.113366665488854</v>
      </c>
      <c r="CB75" s="20">
        <f t="shared" si="64"/>
        <v>595.78474694239264</v>
      </c>
      <c r="CC75" s="59">
        <f t="shared" si="65"/>
        <v>889.11808027572602</v>
      </c>
      <c r="CD75" s="59">
        <f ca="1">AVERAGE(OFFSET($CC$3,0,0,'Données projet'!$E$12+1,1))-AVERAGE(OFFSET($H$3,0,0,'Données projet'!$E$12+1,1))</f>
        <v>366.69125512029831</v>
      </c>
      <c r="CE75" s="59">
        <f t="shared" si="94"/>
        <v>513.80016421153414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0.70352095707590601</v>
      </c>
      <c r="CL75" s="21">
        <f>EXP(-LN(2)/25)*CL74+(1-EXP(-LN(2)/25))/(LN(2)/25)*Calculateur!CG75*Calculateur!CI75*VLOOKUP('Données projet'!$B$12,Paramètres!$A$1:$I$89,3,0)*0.475*44/12</f>
        <v>2.3041074695548165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3.0076284266307223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7.8425925925925934</v>
      </c>
      <c r="CT75" s="12">
        <f>IF('Données projet'!$A$140&gt;35,CT74+CS75-DB74,IF(A75&lt;'Données projet'!$A$140,$CQ$205^A75,IF(A75='Données projet'!$A$140,'Données projet'!$B$140,CT74+CS75-DB74)))</f>
        <v>211.27207977208002</v>
      </c>
      <c r="CU75" s="17">
        <f>CT75*VLOOKUP('Données projet'!$B$13,Paramètres!$A$1:$I$89,3,0)*VLOOKUP('Données projet'!$B$13,Paramètres!$A$1:$I$89,5,0)</f>
        <v>141.72131111111128</v>
      </c>
      <c r="CV75" s="13">
        <f t="shared" si="95"/>
        <v>36.69105281097066</v>
      </c>
      <c r="CW75" s="20">
        <f t="shared" si="67"/>
        <v>310.73486716429267</v>
      </c>
      <c r="CX75" s="59">
        <f t="shared" si="68"/>
        <v>604.06820049762598</v>
      </c>
      <c r="CY75" s="59">
        <f ca="1">AVERAGE(OFFSET($CX$3,0,0,'Données projet'!$E$13+1,1))-AVERAGE(OFFSET($H$3,0,0,'Données projet'!$E$13+1,1))</f>
        <v>294.94331863127815</v>
      </c>
      <c r="CZ75" s="59">
        <f t="shared" si="96"/>
        <v>218.36990036643977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20.376482360677816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20.376482360677816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259.79999999999984</v>
      </c>
      <c r="DP75" s="17">
        <f>DO75*VLOOKUP('Données projet'!$B$14,Paramètres!$A$1:$I$89,3,0)*VLOOKUP('Données projet'!$B$14,Paramètres!$A$1:$I$89,5,0)</f>
        <v>190.4853599999999</v>
      </c>
      <c r="DQ75" s="13">
        <f t="shared" si="97"/>
        <v>47.647243117546552</v>
      </c>
      <c r="DR75" s="20">
        <f t="shared" si="70"/>
        <v>414.74761709639341</v>
      </c>
      <c r="DS75" s="59">
        <f t="shared" si="71"/>
        <v>708.08095042972673</v>
      </c>
      <c r="DT75" s="59">
        <f ca="1">AVERAGE(OFFSET($DS$3,0,0,'Données projet'!$E$14+1,1))-AVERAGE(OFFSET($H$3,0,0,'Données projet'!$E$14+1,1))</f>
        <v>278.45534008146865</v>
      </c>
      <c r="DU75" s="59">
        <f t="shared" si="98"/>
        <v>272.97841038165217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19.385068757162198</v>
      </c>
      <c r="EB75" s="21">
        <f>EXP(-LN(2)/25)*EB74+(1-EXP(-LN(2)/25))/(LN(2)/25)*Calculateur!DW75*Calculateur!DY75*VLOOKUP('Données projet'!$B$14,Paramètres!$A$1:$I$89,3,0)*0.475*44/12</f>
        <v>6.9496992735510821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26.334768030713281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7.8425925925925934</v>
      </c>
      <c r="EJ75" s="12">
        <f>IF('Données projet'!$A$192&gt;35,EJ74+EI75-ER74,IF(A75&lt;'Données projet'!$A$192,$EG$205^A75,IF(A75='Données projet'!$A$192,'Données projet'!$B$192,EJ74+EI75-ER74)))</f>
        <v>211.27207977208002</v>
      </c>
      <c r="EK75" s="17">
        <f>EJ75*VLOOKUP('Données projet'!$B$15,Paramètres!$A$1:$I$89,3,0)*VLOOKUP('Données projet'!$B$15,Paramètres!$A$1:$I$89,5,0)</f>
        <v>227.41326666666691</v>
      </c>
      <c r="EL75" s="13">
        <f t="shared" si="99"/>
        <v>55.723001664055822</v>
      </c>
      <c r="EM75" s="20">
        <f t="shared" si="73"/>
        <v>493.12900067600873</v>
      </c>
      <c r="EN75" s="59">
        <f t="shared" si="74"/>
        <v>786.46233400934204</v>
      </c>
      <c r="EO75" s="59">
        <f ca="1">AVERAGE(OFFSET($EN$3,0,0,'Données projet'!$E$15+1,1))-AVERAGE(OFFSET($H$3,0,0,'Données projet'!$E$15+1,1))</f>
        <v>449.09332781196957</v>
      </c>
      <c r="EP75" s="59">
        <f t="shared" si="100"/>
        <v>324.85904971519432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26.527873262014513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26.527873262014513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7.8425925925925934</v>
      </c>
      <c r="FE75" s="12">
        <f>IF('Données projet'!$A$218&gt;35,FE74+FD75-FM74,IF(A75&lt;'Données projet'!$A$218,$FB$205^A75,IF(A75='Données projet'!$A$218,'Données projet'!$B$218,FE74+FD75-FM74)))</f>
        <v>211.27207977208002</v>
      </c>
      <c r="FF75" s="17">
        <f>FE75*VLOOKUP('Données projet'!$B$16,Paramètres!$A$1:$I$89,3,0)*VLOOKUP('Données projet'!$B$16,Paramètres!$A$1:$I$89,5,0)</f>
        <v>214.22988888888915</v>
      </c>
      <c r="FG75" s="13">
        <f t="shared" si="101"/>
        <v>52.858847294468234</v>
      </c>
      <c r="FH75" s="20">
        <f t="shared" si="76"/>
        <v>465.17954885268068</v>
      </c>
      <c r="FI75" s="59">
        <f t="shared" si="77"/>
        <v>758.51288218601394</v>
      </c>
      <c r="FJ75" s="59">
        <f ca="1">AVERAGE(OFFSET($FI$3,0,0,'Données projet'!$E$16+1,1))-AVERAGE(OFFSET($H$3,0,0,'Données projet'!$E$16+1,1))</f>
        <v>419.51168383014721</v>
      </c>
      <c r="FK75" s="59">
        <f t="shared" si="102"/>
        <v>213.44145308833384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24.990025536680342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24.990025536680342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3.4</v>
      </c>
      <c r="FZ75" s="12">
        <f>IF('Données projet'!$A$244&gt;35,FZ74+FY75-GH74,IF(A75&lt;'Données projet'!$A$244,$FW$205^A75,IF(A75='Données projet'!$A$244,'Données projet'!$B$244,FZ74+FY75-GH74)))</f>
        <v>259.79999999999984</v>
      </c>
      <c r="GA75" s="17">
        <f>FZ75*VLOOKUP('Données projet'!$B$17,Paramètres!$A$1:$I$89,3,0)*VLOOKUP('Données projet'!$B$17,Paramètres!$A$1:$I$89,5,0)</f>
        <v>226.96127999999987</v>
      </c>
      <c r="GB75" s="13">
        <f t="shared" si="103"/>
        <v>55.625131501998617</v>
      </c>
      <c r="GC75" s="20">
        <f t="shared" si="79"/>
        <v>492.17133336598067</v>
      </c>
      <c r="GD75" s="59">
        <f t="shared" si="80"/>
        <v>785.50466669931393</v>
      </c>
      <c r="GE75" s="59">
        <f ca="1">AVERAGE(OFFSET($GD$3,0,0,'Données projet'!$E$17+1,1))-AVERAGE(OFFSET($H$3,0,0,'Données projet'!$E$17+1,1))</f>
        <v>324.86930206492627</v>
      </c>
      <c r="GF75" s="59">
        <f t="shared" si="104"/>
        <v>317.03005098025352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28.468522548865625</v>
      </c>
      <c r="GM75" s="21">
        <f>EXP(-LN(2)/25)*GM74+(1-EXP(-LN(2)/25))/(LN(2)/25)*Calculateur!GH75*Calculateur!GJ75*VLOOKUP('Données projet'!$B$17,Paramètres!$A$1:$I$89,3,0)*0.475*44/12</f>
        <v>10.206188740177948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38.674711289043572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7.8425925925925934</v>
      </c>
      <c r="GU75" s="12">
        <f>IF('Données projet'!$A$270&gt;35,GU74+GT75-HC74,IF(A75&lt;'Données projet'!$A$270,$GR$205^A75,IF(A75='Données projet'!$A$270,'Données projet'!$B$270,GU74+GT75-HC74)))</f>
        <v>211.27207977208002</v>
      </c>
      <c r="GV75" s="17">
        <f>GU75*VLOOKUP('Données projet'!$B$18,Paramètres!$A$1:$I$89,3,0)*VLOOKUP('Données projet'!$B$18,Paramètres!$A$1:$I$89,5,0)</f>
        <v>201.04651111111136</v>
      </c>
      <c r="GW75" s="13">
        <f t="shared" si="105"/>
        <v>49.974089288481544</v>
      </c>
      <c r="GX75" s="20">
        <f t="shared" si="82"/>
        <v>437.19421236262428</v>
      </c>
      <c r="GY75" s="59">
        <f t="shared" si="83"/>
        <v>730.52754569595754</v>
      </c>
      <c r="GZ75" s="59">
        <f ca="1">AVERAGE(OFFSET($GY$3,0,0,'Données projet'!$E$18+1,1))-AVERAGE(OFFSET($H$3,0,0,'Données projet'!$E$18+1,1))</f>
        <v>401.81944956556271</v>
      </c>
      <c r="HA75" s="59">
        <f t="shared" si="106"/>
        <v>292.20785523952651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23.452177811346164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23.452177811346164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219.1146723646726</v>
      </c>
      <c r="O76" s="13">
        <f>N76*VLOOKUP('Données projet'!$B$9,Paramètres!$A$1:$I$89,3,0)*VLOOKUP('Données projet'!$B$9,Paramètres!$A$1:$I$89,5,0)</f>
        <v>198.25495555555577</v>
      </c>
      <c r="P76" s="13">
        <f t="shared" si="87"/>
        <v>49.360464390082804</v>
      </c>
      <c r="Q76" s="20">
        <f t="shared" si="54"/>
        <v>431.26352307198721</v>
      </c>
      <c r="R76" s="59">
        <f t="shared" si="55"/>
        <v>724.59685640532052</v>
      </c>
      <c r="S76" s="59">
        <f ca="1">AVERAGE(OFFSET($R$3,0,0,'Données projet'!$E$9+1,1))-AVERAGE(OFFSET($H$3,0,0,'Données projet'!$E$9+1,1))</f>
        <v>384.05928630855732</v>
      </c>
      <c r="T76" s="59">
        <f t="shared" si="88"/>
        <v>279.93992813630513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-6.3550942286383367E-14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335.04906256888819</v>
      </c>
      <c r="AO76" s="59">
        <f t="shared" si="90"/>
        <v>440.84111898279554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158.69157369123721</v>
      </c>
      <c r="AV76" s="21">
        <f>EXP(-LN(2)/25)*AV75+(1-EXP(-LN(2)/25))/(LN(2)/25)*Calculateur!AQ76*Calculateur!AS76*VLOOKUP('Données projet'!$B$10,Paramètres!$A$1:$I$89,3,0)*0.475*44/12</f>
        <v>34.973475414632865</v>
      </c>
      <c r="AW76" s="21">
        <f>EXP(-LN(2)/2)*AW75+(1-EXP(-LN(2)/2))/(LN(2)/2)*AQ76*AT76*VLOOKUP('Données projet'!$B$10,Paramètres!$A$1:$I$89,3,0)*0.475*44/12</f>
        <v>6.6721296883032175E-2</v>
      </c>
      <c r="AX76" s="21">
        <f t="shared" si="60"/>
        <v>193.73177040275311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6.8861538461538547</v>
      </c>
      <c r="BD76" s="12">
        <f>IF('Données projet'!$A$88&gt;35,BD75+BC76-BL75,IF(A76&lt;'Données projet'!$A$88,$BA$205^A76,IF(A76='Données projet'!$A$88,'Données projet'!$B$88,BD75+BC76-BL75)))</f>
        <v>366.01538461538439</v>
      </c>
      <c r="BE76" s="13">
        <f>BD76*VLOOKUP('Données projet'!$B$11,Paramètres!$A$1:$I$89,3,0)*VLOOKUP('Données projet'!$B$11,Paramètres!$A$1:$I$89,5,0)</f>
        <v>209.3607999999999</v>
      </c>
      <c r="BF76" s="13">
        <f t="shared" si="91"/>
        <v>51.795879643690668</v>
      </c>
      <c r="BG76" s="20">
        <f t="shared" si="61"/>
        <v>454.84788371276096</v>
      </c>
      <c r="BH76" s="59">
        <f t="shared" si="62"/>
        <v>748.18121704609428</v>
      </c>
      <c r="BI76" s="59">
        <f ca="1">AVERAGE(OFFSET($BH$3,0,0,'Données projet'!$E$11+1,1))-AVERAGE(OFFSET($H$3,0,0,'Données projet'!$E$11+1,1))</f>
        <v>320.76883487964511</v>
      </c>
      <c r="BJ76" s="59">
        <f t="shared" si="92"/>
        <v>290.51177680335746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38.04587837559577</v>
      </c>
      <c r="BQ76" s="21">
        <f>EXP(-LN(2)/25)*BQ75+(1-EXP(-LN(2)/25))/(LN(2)/25)*Calculateur!BL76*Calculateur!BN76*VLOOKUP('Données projet'!$B$11,Paramètres!$A$1:$I$89,3,0)*0.475*44/12</f>
        <v>11.815246820671979</v>
      </c>
      <c r="BR76" s="21">
        <f>EXP(-LN(2)/2)*BR75+(1-EXP(-LN(2)/2))/(LN(2)/2)*BL76*BO76*VLOOKUP('Données projet'!$B$11,Paramètres!$A$1:$I$89,3,0)*0.475*44/12</f>
        <v>0.70828707122440071</v>
      </c>
      <c r="BS76" s="22">
        <f t="shared" si="63"/>
        <v>50.569412267492147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304.99999999999983</v>
      </c>
      <c r="BZ76" s="13">
        <f>BY76*VLOOKUP('Données projet'!$B$12,Paramètres!$A$1:$I$89,3,0)*VLOOKUP('Données projet'!$B$12,Paramètres!$A$1:$I$89,5,0)</f>
        <v>275.96399999999983</v>
      </c>
      <c r="CA76" s="13">
        <f t="shared" si="93"/>
        <v>66.113366665488854</v>
      </c>
      <c r="CB76" s="20">
        <f t="shared" si="64"/>
        <v>595.78474694239264</v>
      </c>
      <c r="CC76" s="59">
        <f t="shared" si="65"/>
        <v>889.11808027572602</v>
      </c>
      <c r="CD76" s="59">
        <f ca="1">AVERAGE(OFFSET($CC$3,0,0,'Données projet'!$E$12+1,1))-AVERAGE(OFFSET($H$3,0,0,'Données projet'!$E$12+1,1))</f>
        <v>366.69125512029831</v>
      </c>
      <c r="CE76" s="59">
        <f t="shared" si="94"/>
        <v>513.80016421153414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0.68972534021306064</v>
      </c>
      <c r="CL76" s="21">
        <f>EXP(-LN(2)/25)*CL75+(1-EXP(-LN(2)/25))/(LN(2)/25)*Calculateur!CG76*Calculateur!CI76*VLOOKUP('Données projet'!$B$12,Paramètres!$A$1:$I$89,3,0)*0.475*44/12</f>
        <v>2.2411015296320942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2.9308268698451547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7.8425925925925934</v>
      </c>
      <c r="CT76" s="12">
        <f>IF('Données projet'!$A$140&gt;35,CT75+CS76-DB75,IF(A76&lt;'Données projet'!$A$140,$CQ$205^A76,IF(A76='Données projet'!$A$140,'Données projet'!$B$140,CT75+CS76-DB75)))</f>
        <v>219.1146723646726</v>
      </c>
      <c r="CU76" s="17">
        <f>CT76*VLOOKUP('Données projet'!$B$13,Paramètres!$A$1:$I$89,3,0)*VLOOKUP('Données projet'!$B$13,Paramètres!$A$1:$I$89,5,0)</f>
        <v>146.98212222222239</v>
      </c>
      <c r="CV76" s="13">
        <f t="shared" si="95"/>
        <v>37.891952933412185</v>
      </c>
      <c r="CW76" s="20">
        <f t="shared" si="67"/>
        <v>321.98901422939684</v>
      </c>
      <c r="CX76" s="59">
        <f t="shared" si="68"/>
        <v>615.3223475627301</v>
      </c>
      <c r="CY76" s="59">
        <f ca="1">AVERAGE(OFFSET($CX$3,0,0,'Données projet'!$E$13+1,1))-AVERAGE(OFFSET($H$3,0,0,'Données projet'!$E$13+1,1))</f>
        <v>294.94331863127815</v>
      </c>
      <c r="CZ76" s="59">
        <f t="shared" si="96"/>
        <v>218.36990036643977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19.976911970011958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19.976911970011958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263.19999999999982</v>
      </c>
      <c r="DP76" s="17">
        <f>DO76*VLOOKUP('Données projet'!$B$14,Paramètres!$A$1:$I$89,3,0)*VLOOKUP('Données projet'!$B$14,Paramètres!$A$1:$I$89,5,0)</f>
        <v>192.97823999999986</v>
      </c>
      <c r="DQ76" s="13">
        <f t="shared" si="97"/>
        <v>48.197802215761001</v>
      </c>
      <c r="DR76" s="20">
        <f t="shared" si="70"/>
        <v>420.04827352578349</v>
      </c>
      <c r="DS76" s="59">
        <f t="shared" si="71"/>
        <v>713.3816068591168</v>
      </c>
      <c r="DT76" s="59">
        <f ca="1">AVERAGE(OFFSET($DS$3,0,0,'Données projet'!$E$14+1,1))-AVERAGE(OFFSET($H$3,0,0,'Données projet'!$E$14+1,1))</f>
        <v>278.45534008146865</v>
      </c>
      <c r="DU76" s="59">
        <f t="shared" si="98"/>
        <v>272.97841038165217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19.004939382558693</v>
      </c>
      <c r="EB76" s="21">
        <f>EXP(-LN(2)/25)*EB75+(1-EXP(-LN(2)/25))/(LN(2)/25)*Calculateur!DW76*Calculateur!DY76*VLOOKUP('Données projet'!$B$14,Paramètres!$A$1:$I$89,3,0)*0.475*44/12</f>
        <v>6.7596593814470269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25.764598764005719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7.8425925925925934</v>
      </c>
      <c r="EJ76" s="12">
        <f>IF('Données projet'!$A$192&gt;35,EJ75+EI76-ER75,IF(A76&lt;'Données projet'!$A$192,$EG$205^A76,IF(A76='Données projet'!$A$192,'Données projet'!$B$192,EJ75+EI76-ER75)))</f>
        <v>219.1146723646726</v>
      </c>
      <c r="EK76" s="17">
        <f>EJ76*VLOOKUP('Données projet'!$B$15,Paramètres!$A$1:$I$89,3,0)*VLOOKUP('Données projet'!$B$15,Paramètres!$A$1:$I$89,5,0)</f>
        <v>235.85503333333361</v>
      </c>
      <c r="EL76" s="13">
        <f t="shared" si="99"/>
        <v>57.546818491169745</v>
      </c>
      <c r="EM76" s="20">
        <f t="shared" si="73"/>
        <v>511.00822526101001</v>
      </c>
      <c r="EN76" s="59">
        <f t="shared" si="74"/>
        <v>804.34155859434327</v>
      </c>
      <c r="EO76" s="59">
        <f ca="1">AVERAGE(OFFSET($EN$3,0,0,'Données projet'!$E$15+1,1))-AVERAGE(OFFSET($H$3,0,0,'Données projet'!$E$15+1,1))</f>
        <v>449.09332781196957</v>
      </c>
      <c r="EP76" s="59">
        <f t="shared" si="100"/>
        <v>324.85904971519432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26.007677847751417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26.007677847751417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7.8425925925925934</v>
      </c>
      <c r="FE76" s="12">
        <f>IF('Données projet'!$A$218&gt;35,FE75+FD76-FM75,IF(A76&lt;'Données projet'!$A$218,$FB$205^A76,IF(A76='Données projet'!$A$218,'Données projet'!$B$218,FE75+FD76-FM75)))</f>
        <v>219.1146723646726</v>
      </c>
      <c r="FF76" s="17">
        <f>FE76*VLOOKUP('Données projet'!$B$16,Paramètres!$A$1:$I$89,3,0)*VLOOKUP('Données projet'!$B$16,Paramètres!$A$1:$I$89,5,0)</f>
        <v>222.18227777777804</v>
      </c>
      <c r="FG76" s="13">
        <f t="shared" si="101"/>
        <v>54.588920195757851</v>
      </c>
      <c r="FH76" s="20">
        <f t="shared" si="76"/>
        <v>482.04316980390831</v>
      </c>
      <c r="FI76" s="59">
        <f t="shared" si="77"/>
        <v>775.37650313724157</v>
      </c>
      <c r="FJ76" s="59">
        <f ca="1">AVERAGE(OFFSET($FI$3,0,0,'Données projet'!$E$16+1,1))-AVERAGE(OFFSET($H$3,0,0,'Données projet'!$E$16+1,1))</f>
        <v>419.51168383014721</v>
      </c>
      <c r="FK76" s="59">
        <f t="shared" si="102"/>
        <v>213.44145308833384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24.499986378316557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24.499986378316557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3.4</v>
      </c>
      <c r="FZ76" s="12">
        <f>IF('Données projet'!$A$244&gt;35,FZ75+FY76-GH75,IF(A76&lt;'Données projet'!$A$244,$FW$205^A76,IF(A76='Données projet'!$A$244,'Données projet'!$B$244,FZ75+FY76-GH75)))</f>
        <v>263.19999999999982</v>
      </c>
      <c r="GA76" s="17">
        <f>FZ76*VLOOKUP('Données projet'!$B$17,Paramètres!$A$1:$I$89,3,0)*VLOOKUP('Données projet'!$B$17,Paramètres!$A$1:$I$89,5,0)</f>
        <v>229.93151999999986</v>
      </c>
      <c r="GB76" s="13">
        <f t="shared" si="103"/>
        <v>56.26787429746841</v>
      </c>
      <c r="GC76" s="20">
        <f t="shared" si="79"/>
        <v>498.4639450680906</v>
      </c>
      <c r="GD76" s="59">
        <f t="shared" si="80"/>
        <v>791.79727840142391</v>
      </c>
      <c r="GE76" s="59">
        <f ca="1">AVERAGE(OFFSET($GD$3,0,0,'Données projet'!$E$17+1,1))-AVERAGE(OFFSET($H$3,0,0,'Données projet'!$E$17+1,1))</f>
        <v>324.86930206492627</v>
      </c>
      <c r="GF76" s="59">
        <f t="shared" si="104"/>
        <v>317.03005098025352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27.910272185766566</v>
      </c>
      <c r="GM76" s="21">
        <f>EXP(-LN(2)/25)*GM75+(1-EXP(-LN(2)/25))/(LN(2)/25)*Calculateur!GH76*Calculateur!GJ76*VLOOKUP('Données projet'!$B$17,Paramètres!$A$1:$I$89,3,0)*0.475*44/12</f>
        <v>9.9270999723576434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37.837372158124211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7.8425925925925934</v>
      </c>
      <c r="GU76" s="12">
        <f>IF('Données projet'!$A$270&gt;35,GU75+GT76-HC75,IF(A76&lt;'Données projet'!$A$270,$GR$205^A76,IF(A76='Données projet'!$A$270,'Données projet'!$B$270,GU75+GT76-HC75)))</f>
        <v>219.1146723646726</v>
      </c>
      <c r="GV76" s="17">
        <f>GU76*VLOOKUP('Données projet'!$B$18,Paramètres!$A$1:$I$89,3,0)*VLOOKUP('Données projet'!$B$18,Paramètres!$A$1:$I$89,5,0)</f>
        <v>208.50952222222242</v>
      </c>
      <c r="GW76" s="13">
        <f t="shared" si="105"/>
        <v>51.609743905824573</v>
      </c>
      <c r="GX76" s="20">
        <f t="shared" si="82"/>
        <v>453.0410551730152</v>
      </c>
      <c r="GY76" s="59">
        <f t="shared" si="83"/>
        <v>746.37438850634851</v>
      </c>
      <c r="GZ76" s="59">
        <f ca="1">AVERAGE(OFFSET($GY$3,0,0,'Données projet'!$E$18+1,1))-AVERAGE(OFFSET($H$3,0,0,'Données projet'!$E$18+1,1))</f>
        <v>401.81944956556271</v>
      </c>
      <c r="HA76" s="59">
        <f t="shared" si="106"/>
        <v>292.20785523952651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22.992294908881686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22.992294908881686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226.95726495726518</v>
      </c>
      <c r="O77" s="13">
        <f>N77*VLOOKUP('Données projet'!$B$9,Paramètres!$A$1:$I$89,3,0)*VLOOKUP('Données projet'!$B$9,Paramètres!$A$1:$I$89,5,0)</f>
        <v>205.35093333333353</v>
      </c>
      <c r="P77" s="13">
        <f t="shared" si="87"/>
        <v>50.91832775961656</v>
      </c>
      <c r="Q77" s="20">
        <f t="shared" si="54"/>
        <v>446.33562973688805</v>
      </c>
      <c r="R77" s="59">
        <f t="shared" si="55"/>
        <v>739.66896307022137</v>
      </c>
      <c r="S77" s="59">
        <f ca="1">AVERAGE(OFFSET($R$3,0,0,'Données projet'!$E$9+1,1))-AVERAGE(OFFSET($H$3,0,0,'Données projet'!$E$9+1,1))</f>
        <v>384.05928630855732</v>
      </c>
      <c r="T77" s="59">
        <f t="shared" si="88"/>
        <v>279.93992813630513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-6.3550942286383367E-14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335.04906256888819</v>
      </c>
      <c r="AO77" s="59">
        <f t="shared" si="90"/>
        <v>440.84111898279554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155.57972872345456</v>
      </c>
      <c r="AV77" s="21">
        <f>EXP(-LN(2)/25)*AV76+(1-EXP(-LN(2)/25))/(LN(2)/25)*Calculateur!AQ77*Calculateur!AS77*VLOOKUP('Données projet'!$B$10,Paramètres!$A$1:$I$89,3,0)*0.475*44/12</f>
        <v>34.017123890244591</v>
      </c>
      <c r="AW77" s="21">
        <f>EXP(-LN(2)/2)*AW76+(1-EXP(-LN(2)/2))/(LN(2)/2)*AQ77*AT77*VLOOKUP('Données projet'!$B$10,Paramètres!$A$1:$I$89,3,0)*0.475*44/12</f>
        <v>4.7179081475552907E-2</v>
      </c>
      <c r="AX77" s="21">
        <f t="shared" si="60"/>
        <v>189.6440316951747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6.8861538461538547</v>
      </c>
      <c r="BD77" s="12">
        <f>IF('Données projet'!$A$88&gt;35,BD76+BC77-BL76,IF(A77&lt;'Données projet'!$A$88,$BA$205^A77,IF(A77='Données projet'!$A$88,'Données projet'!$B$88,BD76+BC77-BL76)))</f>
        <v>372.90153846153822</v>
      </c>
      <c r="BE77" s="13">
        <f>BD77*VLOOKUP('Données projet'!$B$11,Paramètres!$A$1:$I$89,3,0)*VLOOKUP('Données projet'!$B$11,Paramètres!$A$1:$I$89,5,0)</f>
        <v>213.29967999999988</v>
      </c>
      <c r="BF77" s="13">
        <f t="shared" si="91"/>
        <v>52.655993221206074</v>
      </c>
      <c r="BG77" s="20">
        <f t="shared" si="61"/>
        <v>463.20613086026702</v>
      </c>
      <c r="BH77" s="59">
        <f t="shared" si="62"/>
        <v>756.53946419360034</v>
      </c>
      <c r="BI77" s="59">
        <f ca="1">AVERAGE(OFFSET($BH$3,0,0,'Données projet'!$E$11+1,1))-AVERAGE(OFFSET($H$3,0,0,'Données projet'!$E$11+1,1))</f>
        <v>320.76883487964511</v>
      </c>
      <c r="BJ77" s="59">
        <f t="shared" si="92"/>
        <v>290.51177680335746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37.299821906344775</v>
      </c>
      <c r="BQ77" s="21">
        <f>EXP(-LN(2)/25)*BQ76+(1-EXP(-LN(2)/25))/(LN(2)/25)*Calculateur!BL77*Calculateur!BN77*VLOOKUP('Données projet'!$B$11,Paramètres!$A$1:$I$89,3,0)*0.475*44/12</f>
        <v>11.492158275023877</v>
      </c>
      <c r="BR77" s="21">
        <f>EXP(-LN(2)/2)*BR76+(1-EXP(-LN(2)/2))/(LN(2)/2)*BL77*BO77*VLOOKUP('Données projet'!$B$11,Paramètres!$A$1:$I$89,3,0)*0.475*44/12</f>
        <v>0.50083459108953299</v>
      </c>
      <c r="BS77" s="22">
        <f t="shared" si="63"/>
        <v>49.292814772458186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304.99999999999983</v>
      </c>
      <c r="BZ77" s="13">
        <f>BY77*VLOOKUP('Données projet'!$B$12,Paramètres!$A$1:$I$89,3,0)*VLOOKUP('Données projet'!$B$12,Paramètres!$A$1:$I$89,5,0)</f>
        <v>275.96399999999983</v>
      </c>
      <c r="CA77" s="13">
        <f t="shared" si="93"/>
        <v>66.113366665488854</v>
      </c>
      <c r="CB77" s="20">
        <f t="shared" si="64"/>
        <v>595.78474694239264</v>
      </c>
      <c r="CC77" s="59">
        <f t="shared" si="65"/>
        <v>889.11808027572602</v>
      </c>
      <c r="CD77" s="59">
        <f ca="1">AVERAGE(OFFSET($CC$3,0,0,'Données projet'!$E$12+1,1))-AVERAGE(OFFSET($H$3,0,0,'Données projet'!$E$12+1,1))</f>
        <v>366.69125512029831</v>
      </c>
      <c r="CE77" s="59">
        <f t="shared" si="94"/>
        <v>513.80016421153414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0.67620024698240033</v>
      </c>
      <c r="CL77" s="21">
        <f>EXP(-LN(2)/25)*CL76+(1-EXP(-LN(2)/25))/(LN(2)/25)*Calculateur!CG77*Calculateur!CI77*VLOOKUP('Données projet'!$B$12,Paramètres!$A$1:$I$89,3,0)*0.475*44/12</f>
        <v>2.1798184904498972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2.8560187374322976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7.8425925925925934</v>
      </c>
      <c r="CT77" s="12">
        <f>IF('Données projet'!$A$140&gt;35,CT76+CS77-DB76,IF(A77&lt;'Données projet'!$A$140,$CQ$205^A77,IF(A77='Données projet'!$A$140,'Données projet'!$B$140,CT76+CS77-DB76)))</f>
        <v>226.95726495726518</v>
      </c>
      <c r="CU77" s="17">
        <f>CT77*VLOOKUP('Données projet'!$B$13,Paramètres!$A$1:$I$89,3,0)*VLOOKUP('Données projet'!$B$13,Paramètres!$A$1:$I$89,5,0)</f>
        <v>152.2429333333335</v>
      </c>
      <c r="CV77" s="13">
        <f t="shared" si="95"/>
        <v>39.087859134953582</v>
      </c>
      <c r="CW77" s="20">
        <f t="shared" si="67"/>
        <v>333.23446354893332</v>
      </c>
      <c r="CX77" s="59">
        <f t="shared" si="68"/>
        <v>626.56779688226663</v>
      </c>
      <c r="CY77" s="59">
        <f ca="1">AVERAGE(OFFSET($CX$3,0,0,'Données projet'!$E$13+1,1))-AVERAGE(OFFSET($H$3,0,0,'Données projet'!$E$13+1,1))</f>
        <v>294.94331863127815</v>
      </c>
      <c r="CZ77" s="59">
        <f t="shared" si="96"/>
        <v>218.36990036643977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19.585176910993184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19.585176910993184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266.5999999999998</v>
      </c>
      <c r="DP77" s="17">
        <f>DO77*VLOOKUP('Données projet'!$B$14,Paramètres!$A$1:$I$89,3,0)*VLOOKUP('Données projet'!$B$14,Paramètres!$A$1:$I$89,5,0)</f>
        <v>195.47111999999984</v>
      </c>
      <c r="DQ77" s="13">
        <f t="shared" si="97"/>
        <v>48.747534064963503</v>
      </c>
      <c r="DR77" s="20">
        <f t="shared" si="70"/>
        <v>425.34748916314447</v>
      </c>
      <c r="DS77" s="59">
        <f t="shared" si="71"/>
        <v>718.68082249647773</v>
      </c>
      <c r="DT77" s="59">
        <f ca="1">AVERAGE(OFFSET($DS$3,0,0,'Données projet'!$E$14+1,1))-AVERAGE(OFFSET($H$3,0,0,'Données projet'!$E$14+1,1))</f>
        <v>278.45534008146865</v>
      </c>
      <c r="DU77" s="59">
        <f t="shared" si="98"/>
        <v>272.97841038165217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18.63226411313514</v>
      </c>
      <c r="EB77" s="21">
        <f>EXP(-LN(2)/25)*EB76+(1-EXP(-LN(2)/25))/(LN(2)/25)*Calculateur!DW77*Calculateur!DY77*VLOOKUP('Données projet'!$B$14,Paramètres!$A$1:$I$89,3,0)*0.475*44/12</f>
        <v>6.5748161401863205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25.207080253321461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7.8425925925925934</v>
      </c>
      <c r="EJ77" s="12">
        <f>IF('Données projet'!$A$192&gt;35,EJ76+EI77-ER76,IF(A77&lt;'Données projet'!$A$192,$EG$205^A77,IF(A77='Données projet'!$A$192,'Données projet'!$B$192,EJ76+EI77-ER76)))</f>
        <v>226.95726495726518</v>
      </c>
      <c r="EK77" s="17">
        <f>EJ77*VLOOKUP('Données projet'!$B$15,Paramètres!$A$1:$I$89,3,0)*VLOOKUP('Données projet'!$B$15,Paramètres!$A$1:$I$89,5,0)</f>
        <v>244.29680000000022</v>
      </c>
      <c r="EL77" s="13">
        <f t="shared" si="99"/>
        <v>59.363051009813063</v>
      </c>
      <c r="EM77" s="20">
        <f t="shared" si="73"/>
        <v>528.87424050875813</v>
      </c>
      <c r="EN77" s="59">
        <f t="shared" si="74"/>
        <v>822.20757384209151</v>
      </c>
      <c r="EO77" s="59">
        <f ca="1">AVERAGE(OFFSET($EN$3,0,0,'Données projet'!$E$15+1,1))-AVERAGE(OFFSET($H$3,0,0,'Données projet'!$E$15+1,1))</f>
        <v>449.09332781196957</v>
      </c>
      <c r="EP77" s="59">
        <f t="shared" si="100"/>
        <v>324.85904971519432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25.497683148274145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25.497683148274145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7.8425925925925934</v>
      </c>
      <c r="FE77" s="12">
        <f>IF('Données projet'!$A$218&gt;35,FE76+FD77-FM76,IF(A77&lt;'Données projet'!$A$218,$FB$205^A77,IF(A77='Données projet'!$A$218,'Données projet'!$B$218,FE76+FD77-FM76)))</f>
        <v>226.95726495726518</v>
      </c>
      <c r="FF77" s="17">
        <f>FE77*VLOOKUP('Données projet'!$B$16,Paramètres!$A$1:$I$89,3,0)*VLOOKUP('Données projet'!$B$16,Paramètres!$A$1:$I$89,5,0)</f>
        <v>230.13466666666693</v>
      </c>
      <c r="FG77" s="13">
        <f t="shared" si="101"/>
        <v>56.311798620954782</v>
      </c>
      <c r="FH77" s="20">
        <f t="shared" si="76"/>
        <v>498.89426037594109</v>
      </c>
      <c r="FI77" s="59">
        <f t="shared" si="77"/>
        <v>792.2275937092744</v>
      </c>
      <c r="FJ77" s="59">
        <f ca="1">AVERAGE(OFFSET($FI$3,0,0,'Données projet'!$E$16+1,1))-AVERAGE(OFFSET($H$3,0,0,'Données projet'!$E$16+1,1))</f>
        <v>419.51168383014721</v>
      </c>
      <c r="FK77" s="59">
        <f t="shared" si="102"/>
        <v>213.44145308833384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24.019556588953911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24.019556588953911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3.4</v>
      </c>
      <c r="FZ77" s="12">
        <f>IF('Données projet'!$A$244&gt;35,FZ76+FY77-GH76,IF(A77&lt;'Données projet'!$A$244,$FW$205^A77,IF(A77='Données projet'!$A$244,'Données projet'!$B$244,FZ76+FY77-GH76)))</f>
        <v>266.5999999999998</v>
      </c>
      <c r="GA77" s="17">
        <f>FZ77*VLOOKUP('Données projet'!$B$17,Paramètres!$A$1:$I$89,3,0)*VLOOKUP('Données projet'!$B$17,Paramètres!$A$1:$I$89,5,0)</f>
        <v>232.90175999999985</v>
      </c>
      <c r="GB77" s="13">
        <f t="shared" si="103"/>
        <v>56.909651332233778</v>
      </c>
      <c r="GC77" s="20">
        <f t="shared" si="79"/>
        <v>504.75487473697353</v>
      </c>
      <c r="GD77" s="59">
        <f t="shared" si="80"/>
        <v>798.08820807030679</v>
      </c>
      <c r="GE77" s="59">
        <f ca="1">AVERAGE(OFFSET($GD$3,0,0,'Données projet'!$E$17+1,1))-AVERAGE(OFFSET($H$3,0,0,'Données projet'!$E$17+1,1))</f>
        <v>324.86930206492627</v>
      </c>
      <c r="GF77" s="59">
        <f t="shared" si="104"/>
        <v>317.03005098025352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27.362968771788776</v>
      </c>
      <c r="GM77" s="21">
        <f>EXP(-LN(2)/25)*GM76+(1-EXP(-LN(2)/25))/(LN(2)/25)*Calculateur!GH77*Calculateur!GJ77*VLOOKUP('Données projet'!$B$17,Paramètres!$A$1:$I$89,3,0)*0.475*44/12</f>
        <v>9.6556429015700243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37.018611673358798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7.8425925925925934</v>
      </c>
      <c r="GU77" s="12">
        <f>IF('Données projet'!$A$270&gt;35,GU76+GT77-HC76,IF(A77&lt;'Données projet'!$A$270,$GR$205^A77,IF(A77='Données projet'!$A$270,'Données projet'!$B$270,GU76+GT77-HC76)))</f>
        <v>226.95726495726518</v>
      </c>
      <c r="GV77" s="17">
        <f>GU77*VLOOKUP('Données projet'!$B$18,Paramètres!$A$1:$I$89,3,0)*VLOOKUP('Données projet'!$B$18,Paramètres!$A$1:$I$89,5,0)</f>
        <v>215.97253333333353</v>
      </c>
      <c r="GW77" s="13">
        <f t="shared" si="105"/>
        <v>53.238596683758736</v>
      </c>
      <c r="GX77" s="20">
        <f t="shared" si="82"/>
        <v>468.87605144643567</v>
      </c>
      <c r="GY77" s="59">
        <f t="shared" si="83"/>
        <v>762.20938477976893</v>
      </c>
      <c r="GZ77" s="59">
        <f ca="1">AVERAGE(OFFSET($GY$3,0,0,'Données projet'!$E$18+1,1))-AVERAGE(OFFSET($H$3,0,0,'Données projet'!$E$18+1,1))</f>
        <v>401.81944956556271</v>
      </c>
      <c r="HA77" s="59">
        <f t="shared" si="106"/>
        <v>292.20785523952651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22.541430029633663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22.541430029633663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234.79985754985776</v>
      </c>
      <c r="O78" s="13">
        <f>N78*VLOOKUP('Données projet'!$B$9,Paramètres!$A$1:$I$89,3,0)*VLOOKUP('Données projet'!$B$9,Paramètres!$A$1:$I$89,5,0)</f>
        <v>212.44691111111132</v>
      </c>
      <c r="P78" s="13">
        <f t="shared" si="87"/>
        <v>52.469936290697497</v>
      </c>
      <c r="Q78" s="20">
        <f t="shared" si="54"/>
        <v>461.39684255815035</v>
      </c>
      <c r="R78" s="59">
        <f t="shared" si="55"/>
        <v>754.73017589148367</v>
      </c>
      <c r="S78" s="59">
        <f ca="1">AVERAGE(OFFSET($R$3,0,0,'Données projet'!$E$9+1,1))-AVERAGE(OFFSET($H$3,0,0,'Données projet'!$E$9+1,1))</f>
        <v>384.05928630855732</v>
      </c>
      <c r="T78" s="59">
        <f t="shared" si="88"/>
        <v>279.93992813630513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-6.3550942286383367E-14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335.04906256888819</v>
      </c>
      <c r="AO78" s="59">
        <f t="shared" si="90"/>
        <v>440.84111898279554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152.52890513745211</v>
      </c>
      <c r="AV78" s="21">
        <f>EXP(-LN(2)/25)*AV77+(1-EXP(-LN(2)/25))/(LN(2)/25)*Calculateur!AQ78*Calculateur!AS78*VLOOKUP('Données projet'!$B$10,Paramètres!$A$1:$I$89,3,0)*0.475*44/12</f>
        <v>33.086923848583055</v>
      </c>
      <c r="AW78" s="21">
        <f>EXP(-LN(2)/2)*AW77+(1-EXP(-LN(2)/2))/(LN(2)/2)*AQ78*AT78*VLOOKUP('Données projet'!$B$10,Paramètres!$A$1:$I$89,3,0)*0.475*44/12</f>
        <v>3.3360648441516087E-2</v>
      </c>
      <c r="AX78" s="21">
        <f t="shared" si="60"/>
        <v>185.6491896344767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6.8861538461538547</v>
      </c>
      <c r="BD78" s="12">
        <f>IF('Données projet'!$A$88&gt;35,BD77+BC78-BL77,IF(A78&lt;'Données projet'!$A$88,$BA$205^A78,IF(A78='Données projet'!$A$88,'Données projet'!$B$88,BD77+BC78-BL77)))</f>
        <v>379.78769230769205</v>
      </c>
      <c r="BE78" s="13">
        <f>BD78*VLOOKUP('Données projet'!$B$11,Paramètres!$A$1:$I$89,3,0)*VLOOKUP('Données projet'!$B$11,Paramètres!$A$1:$I$89,5,0)</f>
        <v>217.23855999999984</v>
      </c>
      <c r="BF78" s="13">
        <f t="shared" si="91"/>
        <v>53.514259867376651</v>
      </c>
      <c r="BG78" s="20">
        <f t="shared" si="61"/>
        <v>471.56116126901406</v>
      </c>
      <c r="BH78" s="59">
        <f t="shared" si="62"/>
        <v>764.89449460234732</v>
      </c>
      <c r="BI78" s="59">
        <f ca="1">AVERAGE(OFFSET($BH$3,0,0,'Données projet'!$E$11+1,1))-AVERAGE(OFFSET($H$3,0,0,'Données projet'!$E$11+1,1))</f>
        <v>320.76883487964511</v>
      </c>
      <c r="BJ78" s="59">
        <f t="shared" si="92"/>
        <v>290.51177680335746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36.568395149406278</v>
      </c>
      <c r="BQ78" s="21">
        <f>EXP(-LN(2)/25)*BQ77+(1-EXP(-LN(2)/25))/(LN(2)/25)*Calculateur!BL78*Calculateur!BN78*VLOOKUP('Données projet'!$B$11,Paramètres!$A$1:$I$89,3,0)*0.475*44/12</f>
        <v>11.177904602647011</v>
      </c>
      <c r="BR78" s="21">
        <f>EXP(-LN(2)/2)*BR77+(1-EXP(-LN(2)/2))/(LN(2)/2)*BL78*BO78*VLOOKUP('Données projet'!$B$11,Paramètres!$A$1:$I$89,3,0)*0.475*44/12</f>
        <v>0.35414353561220041</v>
      </c>
      <c r="BS78" s="22">
        <f t="shared" si="63"/>
        <v>48.100443287665492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304.99999999999983</v>
      </c>
      <c r="BZ78" s="13">
        <f>BY78*VLOOKUP('Données projet'!$B$12,Paramètres!$A$1:$I$89,3,0)*VLOOKUP('Données projet'!$B$12,Paramètres!$A$1:$I$89,5,0)</f>
        <v>275.96399999999983</v>
      </c>
      <c r="CA78" s="13">
        <f t="shared" si="93"/>
        <v>66.113366665488854</v>
      </c>
      <c r="CB78" s="20">
        <f t="shared" si="64"/>
        <v>595.78474694239264</v>
      </c>
      <c r="CC78" s="59">
        <f t="shared" si="65"/>
        <v>889.11808027572602</v>
      </c>
      <c r="CD78" s="59">
        <f ca="1">AVERAGE(OFFSET($CC$3,0,0,'Données projet'!$E$12+1,1))-AVERAGE(OFFSET($H$3,0,0,'Données projet'!$E$12+1,1))</f>
        <v>366.69125512029831</v>
      </c>
      <c r="CE78" s="59">
        <f t="shared" si="94"/>
        <v>513.80016421153414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0.66294037258050087</v>
      </c>
      <c r="CL78" s="21">
        <f>EXP(-LN(2)/25)*CL77+(1-EXP(-LN(2)/25))/(LN(2)/25)*Calculateur!CG78*Calculateur!CI78*VLOOKUP('Données projet'!$B$12,Paramètres!$A$1:$I$89,3,0)*0.475*44/12</f>
        <v>2.1202112391968724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2.7831516117773734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7.8425925925925934</v>
      </c>
      <c r="CT78" s="12">
        <f>IF('Données projet'!$A$140&gt;35,CT77+CS78-DB77,IF(A78&lt;'Données projet'!$A$140,$CQ$205^A78,IF(A78='Données projet'!$A$140,'Données projet'!$B$140,CT77+CS78-DB77)))</f>
        <v>234.79985754985776</v>
      </c>
      <c r="CU78" s="17">
        <f>CT78*VLOOKUP('Données projet'!$B$13,Paramètres!$A$1:$I$89,3,0)*VLOOKUP('Données projet'!$B$13,Paramètres!$A$1:$I$89,5,0)</f>
        <v>157.50374444444461</v>
      </c>
      <c r="CV78" s="13">
        <f t="shared" si="95"/>
        <v>40.278963760026976</v>
      </c>
      <c r="CW78" s="20">
        <f t="shared" si="67"/>
        <v>344.47155012278796</v>
      </c>
      <c r="CX78" s="59">
        <f t="shared" si="68"/>
        <v>637.80488345612127</v>
      </c>
      <c r="CY78" s="59">
        <f ca="1">AVERAGE(OFFSET($CX$3,0,0,'Données projet'!$E$13+1,1))-AVERAGE(OFFSET($H$3,0,0,'Données projet'!$E$13+1,1))</f>
        <v>294.94331863127815</v>
      </c>
      <c r="CZ78" s="59">
        <f t="shared" si="96"/>
        <v>218.36990036643977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19.201123537546977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19.201123537546977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270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269.99999999999977</v>
      </c>
      <c r="DP78" s="17">
        <f>DO78*VLOOKUP('Données projet'!$B$14,Paramètres!$A$1:$I$89,3,0)*VLOOKUP('Données projet'!$B$14,Paramètres!$A$1:$I$89,5,0)</f>
        <v>197.96399999999983</v>
      </c>
      <c r="DQ78" s="13">
        <f t="shared" si="97"/>
        <v>49.296450435147719</v>
      </c>
      <c r="DR78" s="20">
        <f t="shared" si="70"/>
        <v>430.64528450788202</v>
      </c>
      <c r="DS78" s="59">
        <f t="shared" si="71"/>
        <v>723.97861784121528</v>
      </c>
      <c r="DT78" s="59">
        <f ca="1">AVERAGE(OFFSET($DS$3,0,0,'Données projet'!$E$14+1,1))-AVERAGE(OFFSET($H$3,0,0,'Données projet'!$E$14+1,1))</f>
        <v>278.45534008146865</v>
      </c>
      <c r="DU78" s="59">
        <f t="shared" si="98"/>
        <v>272.97841038165217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0.38269999999999998</v>
      </c>
      <c r="DY78" s="16">
        <f>IF(ISNA(VLOOKUP(A78,'Données projet'!$A$165:$I$185,6,0)),0%,VLOOKUP(A78,'Données projet'!$A$165:$I$185,6,0)*VLOOKUP('Données projet'!$B$14,Paramètres!$A$1:$I$89,7,0))</f>
        <v>4.7300000000000002E-2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21.05860829625033</v>
      </c>
      <c r="EB78" s="21">
        <f>EXP(-LN(2)/25)*EB77+(1-EXP(-LN(2)/25))/(LN(2)/25)*Calculateur!DW78*Calculateur!DY78*VLOOKUP('Données projet'!$B$14,Paramètres!$A$1:$I$89,3,0)*0.475*44/12</f>
        <v>6.7387118779129862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27.797320174163318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7.8425925925925934</v>
      </c>
      <c r="EJ78" s="12">
        <f>IF('Données projet'!$A$192&gt;35,EJ77+EI78-ER77,IF(A78&lt;'Données projet'!$A$192,$EG$205^A78,IF(A78='Données projet'!$A$192,'Données projet'!$B$192,EJ77+EI78-ER77)))</f>
        <v>234.79985754985776</v>
      </c>
      <c r="EK78" s="17">
        <f>EJ78*VLOOKUP('Données projet'!$B$15,Paramètres!$A$1:$I$89,3,0)*VLOOKUP('Données projet'!$B$15,Paramètres!$A$1:$I$89,5,0)</f>
        <v>252.73856666666691</v>
      </c>
      <c r="EL78" s="13">
        <f t="shared" si="99"/>
        <v>61.171991335046357</v>
      </c>
      <c r="EM78" s="20">
        <f t="shared" si="73"/>
        <v>546.72755518631732</v>
      </c>
      <c r="EN78" s="59">
        <f t="shared" si="74"/>
        <v>840.06088851965069</v>
      </c>
      <c r="EO78" s="59">
        <f ca="1">AVERAGE(OFFSET($EN$3,0,0,'Données projet'!$E$15+1,1))-AVERAGE(OFFSET($H$3,0,0,'Données projet'!$E$15+1,1))</f>
        <v>449.09332781196957</v>
      </c>
      <c r="EP78" s="59">
        <f t="shared" si="100"/>
        <v>324.85904971519432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24.997689133787571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24.997689133787571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7.8425925925925934</v>
      </c>
      <c r="FE78" s="12">
        <f>IF('Données projet'!$A$218&gt;35,FE77+FD78-FM77,IF(A78&lt;'Données projet'!$A$218,$FB$205^A78,IF(A78='Données projet'!$A$218,'Données projet'!$B$218,FE77+FD78-FM77)))</f>
        <v>234.79985754985776</v>
      </c>
      <c r="FF78" s="17">
        <f>FE78*VLOOKUP('Données projet'!$B$16,Paramètres!$A$1:$I$89,3,0)*VLOOKUP('Données projet'!$B$16,Paramètres!$A$1:$I$89,5,0)</f>
        <v>238.08705555555576</v>
      </c>
      <c r="FG78" s="13">
        <f t="shared" si="101"/>
        <v>58.027759670447097</v>
      </c>
      <c r="FH78" s="20">
        <f t="shared" si="76"/>
        <v>515.73330318528826</v>
      </c>
      <c r="FI78" s="59">
        <f t="shared" si="77"/>
        <v>809.06663651862164</v>
      </c>
      <c r="FJ78" s="59">
        <f ca="1">AVERAGE(OFFSET($FI$3,0,0,'Données projet'!$E$16+1,1))-AVERAGE(OFFSET($H$3,0,0,'Données projet'!$E$16+1,1))</f>
        <v>419.51168383014721</v>
      </c>
      <c r="FK78" s="59">
        <f t="shared" si="102"/>
        <v>213.44145308833384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23.548547734727428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23.548547734727428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270</v>
      </c>
      <c r="FX78" s="12">
        <f>VLOOKUP(A78,'Données projet'!$A$243:$I$263,9,0)</f>
        <v>3.4</v>
      </c>
      <c r="FY78" s="12">
        <f t="array" ref="FY78">INDEX(FX:FX,MIN(IF(ISNUMBER(FX78:FX274),ROW(FX78:FX274),"")))</f>
        <v>3.4</v>
      </c>
      <c r="FZ78" s="12">
        <f>IF('Données projet'!$A$244&gt;35,FZ77+FY78-GH77,IF(A78&lt;'Données projet'!$A$244,$FW$205^A78,IF(A78='Données projet'!$A$244,'Données projet'!$B$244,FZ77+FY78-GH77)))</f>
        <v>269.99999999999977</v>
      </c>
      <c r="GA78" s="17">
        <f>FZ78*VLOOKUP('Données projet'!$B$17,Paramètres!$A$1:$I$89,3,0)*VLOOKUP('Données projet'!$B$17,Paramètres!$A$1:$I$89,5,0)</f>
        <v>235.87199999999982</v>
      </c>
      <c r="GB78" s="13">
        <f t="shared" si="103"/>
        <v>57.55047634701522</v>
      </c>
      <c r="GC78" s="20">
        <f t="shared" si="79"/>
        <v>511.04414630438458</v>
      </c>
      <c r="GD78" s="59">
        <f t="shared" si="80"/>
        <v>804.3774796377179</v>
      </c>
      <c r="GE78" s="59">
        <f ca="1">AVERAGE(OFFSET($GD$3,0,0,'Données projet'!$E$17+1,1))-AVERAGE(OFFSET($H$3,0,0,'Données projet'!$E$17+1,1))</f>
        <v>324.86930206492627</v>
      </c>
      <c r="GF78" s="59">
        <f t="shared" si="104"/>
        <v>317.03005098025352</v>
      </c>
      <c r="GG78" s="15">
        <f>IF(ISNA(VLOOKUP(A78,'Données projet'!$A$243:$I$263,3,0)),0,VLOOKUP(A78,'Données projet'!$A$243:$I$263,3,0))</f>
        <v>13</v>
      </c>
      <c r="GH78" s="15">
        <f>IF(ISNA(VLOOKUP(A78,'Données projet'!$A$243:$I$263,4,0)),0,VLOOKUP(A78,'Données projet'!$A$243:$I$263,4,0))</f>
        <v>9</v>
      </c>
      <c r="GI78" s="16">
        <f>IF(ISNA(VLOOKUP(A78,'Données projet'!$A$243:$I$263,5,0)),0%,VLOOKUP(A78,'Données projet'!$A$243:$I$263,5,0)*VLOOKUP('Données projet'!$B$17,Paramètres!$A$1:$I$89,7,0))</f>
        <v>0.47170000000000001</v>
      </c>
      <c r="GJ78" s="16">
        <f>IF(ISNA(VLOOKUP(A78,'Données projet'!$A$243:$I$263,6,0)),0%,VLOOKUP(A78,'Données projet'!$A$243:$I$263,6,0)*VLOOKUP('Données projet'!$B$17,Paramètres!$A$1:$I$89,7,0))</f>
        <v>5.8300000000000005E-2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30.926249096126178</v>
      </c>
      <c r="GM78" s="21">
        <f>EXP(-LN(2)/25)*GM77+(1-EXP(-LN(2)/25))/(LN(2)/25)*Calculateur!GH78*Calculateur!GJ78*VLOOKUP('Données projet'!$B$17,Paramètres!$A$1:$I$89,3,0)*0.475*44/12</f>
        <v>9.8963368894833064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40.822585985609486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7.8425925925925934</v>
      </c>
      <c r="GU78" s="12">
        <f>IF('Données projet'!$A$270&gt;35,GU77+GT78-HC77,IF(A78&lt;'Données projet'!$A$270,$GR$205^A78,IF(A78='Données projet'!$A$270,'Données projet'!$B$270,GU77+GT78-HC77)))</f>
        <v>234.79985754985776</v>
      </c>
      <c r="GV78" s="17">
        <f>GU78*VLOOKUP('Données projet'!$B$18,Paramètres!$A$1:$I$89,3,0)*VLOOKUP('Données projet'!$B$18,Paramètres!$A$1:$I$89,5,0)</f>
        <v>223.43554444444464</v>
      </c>
      <c r="GW78" s="13">
        <f t="shared" si="105"/>
        <v>54.860909599989448</v>
      </c>
      <c r="GX78" s="20">
        <f t="shared" si="82"/>
        <v>484.69965746072268</v>
      </c>
      <c r="GY78" s="59">
        <f t="shared" si="83"/>
        <v>778.03299079405599</v>
      </c>
      <c r="GZ78" s="59">
        <f ca="1">AVERAGE(OFFSET($GY$3,0,0,'Données projet'!$E$18+1,1))-AVERAGE(OFFSET($H$3,0,0,'Données projet'!$E$18+1,1))</f>
        <v>401.81944956556271</v>
      </c>
      <c r="HA78" s="59">
        <f t="shared" si="106"/>
        <v>292.20785523952651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22.099406335667272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22.099406335667272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242.64245014245034</v>
      </c>
      <c r="O79" s="13">
        <f>N79*VLOOKUP('Données projet'!$B$9,Paramètres!$A$1:$I$89,3,0)*VLOOKUP('Données projet'!$B$9,Paramètres!$A$1:$I$89,5,0)</f>
        <v>219.54288888888908</v>
      </c>
      <c r="P79" s="13">
        <f t="shared" si="87"/>
        <v>54.015522855627488</v>
      </c>
      <c r="Q79" s="20">
        <f t="shared" si="54"/>
        <v>476.44756712169959</v>
      </c>
      <c r="R79" s="59">
        <f t="shared" si="55"/>
        <v>769.78090045503291</v>
      </c>
      <c r="S79" s="59">
        <f ca="1">AVERAGE(OFFSET($R$3,0,0,'Données projet'!$E$9+1,1))-AVERAGE(OFFSET($H$3,0,0,'Données projet'!$E$9+1,1))</f>
        <v>384.05928630855732</v>
      </c>
      <c r="T79" s="59">
        <f t="shared" si="88"/>
        <v>279.93992813630513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-6.3550942286383367E-14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335.04906256888819</v>
      </c>
      <c r="AO79" s="59">
        <f t="shared" si="90"/>
        <v>440.84111898279554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149.53790634115254</v>
      </c>
      <c r="AV79" s="21">
        <f>EXP(-LN(2)/25)*AV78+(1-EXP(-LN(2)/25))/(LN(2)/25)*Calculateur!AQ79*Calculateur!AS79*VLOOKUP('Données projet'!$B$10,Paramètres!$A$1:$I$89,3,0)*0.475*44/12</f>
        <v>32.182160175977849</v>
      </c>
      <c r="AW79" s="21">
        <f>EXP(-LN(2)/2)*AW78+(1-EXP(-LN(2)/2))/(LN(2)/2)*AQ79*AT79*VLOOKUP('Données projet'!$B$10,Paramètres!$A$1:$I$89,3,0)*0.475*44/12</f>
        <v>2.3589540737776454E-2</v>
      </c>
      <c r="AX79" s="21">
        <f t="shared" si="60"/>
        <v>181.74365605786818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6.8861538461538547</v>
      </c>
      <c r="BD79" s="12">
        <f>IF('Données projet'!$A$88&gt;35,BD78+BC79-BL78,IF(A79&lt;'Données projet'!$A$88,$BA$205^A79,IF(A79='Données projet'!$A$88,'Données projet'!$B$88,BD78+BC79-BL78)))</f>
        <v>386.67384615384589</v>
      </c>
      <c r="BE79" s="13">
        <f>BD79*VLOOKUP('Données projet'!$B$11,Paramètres!$A$1:$I$89,3,0)*VLOOKUP('Données projet'!$B$11,Paramètres!$A$1:$I$89,5,0)</f>
        <v>221.17743999999985</v>
      </c>
      <c r="BF79" s="13">
        <f t="shared" si="91"/>
        <v>54.370716932682562</v>
      </c>
      <c r="BG79" s="20">
        <f t="shared" si="61"/>
        <v>479.91303999108851</v>
      </c>
      <c r="BH79" s="59">
        <f t="shared" si="62"/>
        <v>773.24637332442182</v>
      </c>
      <c r="BI79" s="59">
        <f ca="1">AVERAGE(OFFSET($BH$3,0,0,'Données projet'!$E$11+1,1))-AVERAGE(OFFSET($H$3,0,0,'Données projet'!$E$11+1,1))</f>
        <v>320.76883487964511</v>
      </c>
      <c r="BJ79" s="59">
        <f t="shared" si="92"/>
        <v>290.51177680335746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35.851311225045073</v>
      </c>
      <c r="BQ79" s="21">
        <f>EXP(-LN(2)/25)*BQ78+(1-EXP(-LN(2)/25))/(LN(2)/25)*Calculateur!BL79*Calculateur!BN79*VLOOKUP('Données projet'!$B$11,Paramètres!$A$1:$I$89,3,0)*0.475*44/12</f>
        <v>10.872244213467173</v>
      </c>
      <c r="BR79" s="21">
        <f>EXP(-LN(2)/2)*BR78+(1-EXP(-LN(2)/2))/(LN(2)/2)*BL79*BO79*VLOOKUP('Données projet'!$B$11,Paramètres!$A$1:$I$89,3,0)*0.475*44/12</f>
        <v>0.25041729554476649</v>
      </c>
      <c r="BS79" s="22">
        <f t="shared" si="63"/>
        <v>46.973972734057014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304.99999999999983</v>
      </c>
      <c r="BZ79" s="13">
        <f>BY79*VLOOKUP('Données projet'!$B$12,Paramètres!$A$1:$I$89,3,0)*VLOOKUP('Données projet'!$B$12,Paramètres!$A$1:$I$89,5,0)</f>
        <v>275.96399999999983</v>
      </c>
      <c r="CA79" s="13">
        <f t="shared" si="93"/>
        <v>66.113366665488854</v>
      </c>
      <c r="CB79" s="20">
        <f t="shared" si="64"/>
        <v>595.78474694239264</v>
      </c>
      <c r="CC79" s="59">
        <f t="shared" si="65"/>
        <v>889.11808027572602</v>
      </c>
      <c r="CD79" s="59">
        <f ca="1">AVERAGE(OFFSET($CC$3,0,0,'Données projet'!$E$12+1,1))-AVERAGE(OFFSET($H$3,0,0,'Données projet'!$E$12+1,1))</f>
        <v>366.69125512029831</v>
      </c>
      <c r="CE79" s="59">
        <f t="shared" si="94"/>
        <v>513.80016421153414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0.64994051622789795</v>
      </c>
      <c r="CL79" s="21">
        <f>EXP(-LN(2)/25)*CL78+(1-EXP(-LN(2)/25))/(LN(2)/25)*Calculateur!CG79*Calculateur!CI79*VLOOKUP('Données projet'!$B$12,Paramètres!$A$1:$I$89,3,0)*0.475*44/12</f>
        <v>2.0622339513639707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2.7121744675918684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7.8425925925925934</v>
      </c>
      <c r="CT79" s="12">
        <f>IF('Données projet'!$A$140&gt;35,CT78+CS79-DB78,IF(A79&lt;'Données projet'!$A$140,$CQ$205^A79,IF(A79='Données projet'!$A$140,'Données projet'!$B$140,CT78+CS79-DB78)))</f>
        <v>242.64245014245034</v>
      </c>
      <c r="CU79" s="17">
        <f>CT79*VLOOKUP('Données projet'!$B$13,Paramètres!$A$1:$I$89,3,0)*VLOOKUP('Données projet'!$B$13,Paramètres!$A$1:$I$89,5,0)</f>
        <v>162.76455555555569</v>
      </c>
      <c r="CV79" s="13">
        <f t="shared" si="95"/>
        <v>41.465445574906497</v>
      </c>
      <c r="CW79" s="20">
        <f t="shared" si="67"/>
        <v>355.70058530222167</v>
      </c>
      <c r="CX79" s="59">
        <f t="shared" si="68"/>
        <v>649.03391863555498</v>
      </c>
      <c r="CY79" s="59">
        <f ca="1">AVERAGE(OFFSET($CX$3,0,0,'Données projet'!$E$13+1,1))-AVERAGE(OFFSET($H$3,0,0,'Données projet'!$E$13+1,1))</f>
        <v>294.94331863127815</v>
      </c>
      <c r="CZ79" s="59">
        <f t="shared" si="96"/>
        <v>218.36990036643977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18.824601216504622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18.824601216504622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263.79999999999978</v>
      </c>
      <c r="DP79" s="17">
        <f>DO79*VLOOKUP('Données projet'!$B$14,Paramètres!$A$1:$I$89,3,0)*VLOOKUP('Données projet'!$B$14,Paramètres!$A$1:$I$89,5,0)</f>
        <v>193.41815999999983</v>
      </c>
      <c r="DQ79" s="13">
        <f t="shared" si="97"/>
        <v>48.29487349052124</v>
      </c>
      <c r="DR79" s="20">
        <f t="shared" si="70"/>
        <v>420.98353332932419</v>
      </c>
      <c r="DS79" s="59">
        <f t="shared" si="71"/>
        <v>714.3168666626575</v>
      </c>
      <c r="DT79" s="59">
        <f ca="1">AVERAGE(OFFSET($DS$3,0,0,'Données projet'!$E$14+1,1))-AVERAGE(OFFSET($H$3,0,0,'Données projet'!$E$14+1,1))</f>
        <v>278.45534008146865</v>
      </c>
      <c r="DU79" s="59">
        <f t="shared" si="98"/>
        <v>272.97841038165217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20.645661832043636</v>
      </c>
      <c r="EB79" s="21">
        <f>EXP(-LN(2)/25)*EB78+(1-EXP(-LN(2)/25))/(LN(2)/25)*Calculateur!DW79*Calculateur!DY79*VLOOKUP('Données projet'!$B$14,Paramètres!$A$1:$I$89,3,0)*0.475*44/12</f>
        <v>6.5544414472379993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27.200103279281635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7.8425925925925934</v>
      </c>
      <c r="EJ79" s="12">
        <f>IF('Données projet'!$A$192&gt;35,EJ78+EI79-ER78,IF(A79&lt;'Données projet'!$A$192,$EG$205^A79,IF(A79='Données projet'!$A$192,'Données projet'!$B$192,EJ78+EI79-ER78)))</f>
        <v>242.64245014245034</v>
      </c>
      <c r="EK79" s="17">
        <f>EJ79*VLOOKUP('Données projet'!$B$15,Paramètres!$A$1:$I$89,3,0)*VLOOKUP('Données projet'!$B$15,Paramètres!$A$1:$I$89,5,0)</f>
        <v>261.18033333333352</v>
      </c>
      <c r="EL79" s="13">
        <f t="shared" si="99"/>
        <v>62.973910960670594</v>
      </c>
      <c r="EM79" s="20">
        <f t="shared" si="73"/>
        <v>564.56864214539053</v>
      </c>
      <c r="EN79" s="59">
        <f t="shared" si="74"/>
        <v>857.9019754787239</v>
      </c>
      <c r="EO79" s="59">
        <f ca="1">AVERAGE(OFFSET($EN$3,0,0,'Données projet'!$E$15+1,1))-AVERAGE(OFFSET($H$3,0,0,'Données projet'!$E$15+1,1))</f>
        <v>449.09332781196957</v>
      </c>
      <c r="EP79" s="59">
        <f t="shared" si="100"/>
        <v>324.85904971519432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24.507499696958842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24.507499696958842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7.8425925925925934</v>
      </c>
      <c r="FE79" s="12">
        <f>IF('Données projet'!$A$218&gt;35,FE78+FD79-FM78,IF(A79&lt;'Données projet'!$A$218,$FB$205^A79,IF(A79='Données projet'!$A$218,'Données projet'!$B$218,FE78+FD79-FM78)))</f>
        <v>242.64245014245034</v>
      </c>
      <c r="FF79" s="17">
        <f>FE79*VLOOKUP('Données projet'!$B$16,Paramètres!$A$1:$I$89,3,0)*VLOOKUP('Données projet'!$B$16,Paramètres!$A$1:$I$89,5,0)</f>
        <v>246.03944444444465</v>
      </c>
      <c r="FG79" s="13">
        <f t="shared" si="101"/>
        <v>59.737060883292813</v>
      </c>
      <c r="FH79" s="20">
        <f t="shared" si="76"/>
        <v>532.56074677914273</v>
      </c>
      <c r="FI79" s="59">
        <f t="shared" si="77"/>
        <v>825.8940801124761</v>
      </c>
      <c r="FJ79" s="59">
        <f ca="1">AVERAGE(OFFSET($FI$3,0,0,'Données projet'!$E$16+1,1))-AVERAGE(OFFSET($H$3,0,0,'Données projet'!$E$16+1,1))</f>
        <v>419.51168383014721</v>
      </c>
      <c r="FK79" s="59">
        <f t="shared" si="102"/>
        <v>213.44145308833384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23.086775076845292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23.086775076845292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2.8</v>
      </c>
      <c r="FZ79" s="12">
        <f>IF('Données projet'!$A$244&gt;35,FZ78+FY79-GH78,IF(A79&lt;'Données projet'!$A$244,$FW$205^A79,IF(A79='Données projet'!$A$244,'Données projet'!$B$244,FZ78+FY79-GH78)))</f>
        <v>263.79999999999978</v>
      </c>
      <c r="GA79" s="17">
        <f>FZ79*VLOOKUP('Données projet'!$B$17,Paramètres!$A$1:$I$89,3,0)*VLOOKUP('Données projet'!$B$17,Paramètres!$A$1:$I$89,5,0)</f>
        <v>230.45567999999983</v>
      </c>
      <c r="GB79" s="13">
        <f t="shared" si="103"/>
        <v>56.381198848277869</v>
      </c>
      <c r="GC79" s="20">
        <f t="shared" si="79"/>
        <v>499.57423066075035</v>
      </c>
      <c r="GD79" s="59">
        <f t="shared" si="80"/>
        <v>792.9075639940836</v>
      </c>
      <c r="GE79" s="59">
        <f ca="1">AVERAGE(OFFSET($GD$3,0,0,'Données projet'!$E$17+1,1))-AVERAGE(OFFSET($H$3,0,0,'Données projet'!$E$17+1,1))</f>
        <v>324.86930206492627</v>
      </c>
      <c r="GF79" s="59">
        <f t="shared" si="104"/>
        <v>317.03005098025352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30.319804214500511</v>
      </c>
      <c r="GM79" s="21">
        <f>EXP(-LN(2)/25)*GM78+(1-EXP(-LN(2)/25))/(LN(2)/25)*Calculateur!GH79*Calculateur!GJ79*VLOOKUP('Données projet'!$B$17,Paramètres!$A$1:$I$89,3,0)*0.475*44/12</f>
        <v>9.625721036814646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39.945525251315161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7.8425925925925934</v>
      </c>
      <c r="GU79" s="12">
        <f>IF('Données projet'!$A$270&gt;35,GU78+GT79-HC78,IF(A79&lt;'Données projet'!$A$270,$GR$205^A79,IF(A79='Données projet'!$A$270,'Données projet'!$B$270,GU78+GT79-HC78)))</f>
        <v>242.64245014245034</v>
      </c>
      <c r="GV79" s="17">
        <f>GU79*VLOOKUP('Données projet'!$B$18,Paramètres!$A$1:$I$89,3,0)*VLOOKUP('Données projet'!$B$18,Paramètres!$A$1:$I$89,5,0)</f>
        <v>230.89855555555573</v>
      </c>
      <c r="GW79" s="13">
        <f t="shared" si="105"/>
        <v>56.47692613844702</v>
      </c>
      <c r="GX79" s="20">
        <f t="shared" si="82"/>
        <v>500.51229728372147</v>
      </c>
      <c r="GY79" s="59">
        <f t="shared" si="83"/>
        <v>793.84563061705478</v>
      </c>
      <c r="GZ79" s="59">
        <f ca="1">AVERAGE(OFFSET($GY$3,0,0,'Données projet'!$E$18+1,1))-AVERAGE(OFFSET($H$3,0,0,'Données projet'!$E$18+1,1))</f>
        <v>401.81944956556271</v>
      </c>
      <c r="HA79" s="59">
        <f t="shared" si="106"/>
        <v>292.20785523952651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21.666050456731732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21.666050456731732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250.48504273504292</v>
      </c>
      <c r="O80" s="13">
        <f>N80*VLOOKUP('Données projet'!$B$9,Paramètres!$A$1:$I$89,3,0)*VLOOKUP('Données projet'!$B$9,Paramètres!$A$1:$I$89,5,0)</f>
        <v>226.63886666666684</v>
      </c>
      <c r="P80" s="13">
        <f t="shared" si="87"/>
        <v>55.555304418491261</v>
      </c>
      <c r="Q80" s="20">
        <f t="shared" si="54"/>
        <v>491.4881813066504</v>
      </c>
      <c r="R80" s="59">
        <f t="shared" si="55"/>
        <v>784.82151463998366</v>
      </c>
      <c r="S80" s="59">
        <f ca="1">AVERAGE(OFFSET($R$3,0,0,'Données projet'!$E$9+1,1))-AVERAGE(OFFSET($H$3,0,0,'Données projet'!$E$9+1,1))</f>
        <v>384.05928630855732</v>
      </c>
      <c r="T80" s="59">
        <f t="shared" si="88"/>
        <v>279.93992813630513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-6.3550942286383367E-14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335.04906256888819</v>
      </c>
      <c r="AO80" s="59">
        <f t="shared" si="90"/>
        <v>440.84111898279554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146.60555920691925</v>
      </c>
      <c r="AV80" s="21">
        <f>EXP(-LN(2)/25)*AV79+(1-EXP(-LN(2)/25))/(LN(2)/25)*Calculateur!AQ80*Calculateur!AS80*VLOOKUP('Données projet'!$B$10,Paramètres!$A$1:$I$89,3,0)*0.475*44/12</f>
        <v>31.302137313579482</v>
      </c>
      <c r="AW80" s="21">
        <f>EXP(-LN(2)/2)*AW79+(1-EXP(-LN(2)/2))/(LN(2)/2)*AQ80*AT80*VLOOKUP('Données projet'!$B$10,Paramètres!$A$1:$I$89,3,0)*0.475*44/12</f>
        <v>1.6680324220758044E-2</v>
      </c>
      <c r="AX80" s="21">
        <f t="shared" si="60"/>
        <v>177.92437684471952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6.8861538461538547</v>
      </c>
      <c r="BD80" s="12">
        <f>IF('Données projet'!$A$88&gt;35,BD79+BC80-BL79,IF(A80&lt;'Données projet'!$A$88,$BA$205^A80,IF(A80='Données projet'!$A$88,'Données projet'!$B$88,BD79+BC80-BL79)))</f>
        <v>393.55999999999972</v>
      </c>
      <c r="BE80" s="13">
        <f>BD80*VLOOKUP('Données projet'!$B$11,Paramètres!$A$1:$I$89,3,0)*VLOOKUP('Données projet'!$B$11,Paramètres!$A$1:$I$89,5,0)</f>
        <v>225.11631999999983</v>
      </c>
      <c r="BF80" s="13">
        <f t="shared" si="91"/>
        <v>55.225400361088361</v>
      </c>
      <c r="BG80" s="20">
        <f t="shared" si="61"/>
        <v>488.26182962889516</v>
      </c>
      <c r="BH80" s="59">
        <f t="shared" si="62"/>
        <v>781.59516296222841</v>
      </c>
      <c r="BI80" s="59">
        <f ca="1">AVERAGE(OFFSET($BH$3,0,0,'Données projet'!$E$11+1,1))-AVERAGE(OFFSET($H$3,0,0,'Données projet'!$E$11+1,1))</f>
        <v>320.76883487964511</v>
      </c>
      <c r="BJ80" s="59">
        <f t="shared" si="92"/>
        <v>290.51177680335746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35.148288879062584</v>
      </c>
      <c r="BQ80" s="21">
        <f>EXP(-LN(2)/25)*BQ79+(1-EXP(-LN(2)/25))/(LN(2)/25)*Calculateur!BL80*Calculateur!BN80*VLOOKUP('Données projet'!$B$11,Paramètres!$A$1:$I$89,3,0)*0.475*44/12</f>
        <v>10.574942123703439</v>
      </c>
      <c r="BR80" s="21">
        <f>EXP(-LN(2)/2)*BR79+(1-EXP(-LN(2)/2))/(LN(2)/2)*BL80*BO80*VLOOKUP('Données projet'!$B$11,Paramètres!$A$1:$I$89,3,0)*0.475*44/12</f>
        <v>0.17707176780610021</v>
      </c>
      <c r="BS80" s="22">
        <f t="shared" si="63"/>
        <v>45.900302770572118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304.99999999999983</v>
      </c>
      <c r="BZ80" s="13">
        <f>BY80*VLOOKUP('Données projet'!$B$12,Paramètres!$A$1:$I$89,3,0)*VLOOKUP('Données projet'!$B$12,Paramètres!$A$1:$I$89,5,0)</f>
        <v>275.96399999999983</v>
      </c>
      <c r="CA80" s="13">
        <f t="shared" si="93"/>
        <v>66.113366665488854</v>
      </c>
      <c r="CB80" s="20">
        <f t="shared" si="64"/>
        <v>595.78474694239264</v>
      </c>
      <c r="CC80" s="59">
        <f t="shared" si="65"/>
        <v>889.11808027572602</v>
      </c>
      <c r="CD80" s="59">
        <f ca="1">AVERAGE(OFFSET($CC$3,0,0,'Données projet'!$E$12+1,1))-AVERAGE(OFFSET($H$3,0,0,'Données projet'!$E$12+1,1))</f>
        <v>366.69125512029831</v>
      </c>
      <c r="CE80" s="59">
        <f t="shared" si="94"/>
        <v>513.80016421153414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0.63719557912924008</v>
      </c>
      <c r="CL80" s="21">
        <f>EXP(-LN(2)/25)*CL79+(1-EXP(-LN(2)/25))/(LN(2)/25)*Calculateur!CG80*Calculateur!CI80*VLOOKUP('Données projet'!$B$12,Paramètres!$A$1:$I$89,3,0)*0.475*44/12</f>
        <v>2.0058420555157528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2.6430376346449931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7.8425925925925934</v>
      </c>
      <c r="CT80" s="12">
        <f>IF('Données projet'!$A$140&gt;35,CT79+CS80-DB79,IF(A80&lt;'Données projet'!$A$140,$CQ$205^A80,IF(A80='Données projet'!$A$140,'Données projet'!$B$140,CT79+CS80-DB79)))</f>
        <v>250.48504273504292</v>
      </c>
      <c r="CU80" s="17">
        <f>CT80*VLOOKUP('Données projet'!$B$13,Paramètres!$A$1:$I$89,3,0)*VLOOKUP('Données projet'!$B$13,Paramètres!$A$1:$I$89,5,0)</f>
        <v>168.0253666666668</v>
      </c>
      <c r="CV80" s="13">
        <f t="shared" si="95"/>
        <v>42.647471133796707</v>
      </c>
      <c r="CW80" s="20">
        <f t="shared" si="67"/>
        <v>366.92185916914059</v>
      </c>
      <c r="CX80" s="59">
        <f t="shared" si="68"/>
        <v>660.25519250247385</v>
      </c>
      <c r="CY80" s="59">
        <f ca="1">AVERAGE(OFFSET($CX$3,0,0,'Données projet'!$E$13+1,1))-AVERAGE(OFFSET($H$3,0,0,'Données projet'!$E$13+1,1))</f>
        <v>294.94331863127815</v>
      </c>
      <c r="CZ80" s="59">
        <f t="shared" si="96"/>
        <v>218.36990036643977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18.455462268521966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18.455462268521966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266.5999999999998</v>
      </c>
      <c r="DP80" s="17">
        <f>DO80*VLOOKUP('Données projet'!$B$14,Paramètres!$A$1:$I$89,3,0)*VLOOKUP('Données projet'!$B$14,Paramètres!$A$1:$I$89,5,0)</f>
        <v>195.47111999999984</v>
      </c>
      <c r="DQ80" s="13">
        <f t="shared" si="97"/>
        <v>48.747534064963503</v>
      </c>
      <c r="DR80" s="20">
        <f t="shared" si="70"/>
        <v>425.34748916314447</v>
      </c>
      <c r="DS80" s="59">
        <f t="shared" si="71"/>
        <v>718.68082249647773</v>
      </c>
      <c r="DT80" s="59">
        <f ca="1">AVERAGE(OFFSET($DS$3,0,0,'Données projet'!$E$14+1,1))-AVERAGE(OFFSET($H$3,0,0,'Données projet'!$E$14+1,1))</f>
        <v>278.45534008146865</v>
      </c>
      <c r="DU80" s="59">
        <f t="shared" si="98"/>
        <v>272.97841038165217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20.240812996127563</v>
      </c>
      <c r="EB80" s="21">
        <f>EXP(-LN(2)/25)*EB79+(1-EXP(-LN(2)/25))/(LN(2)/25)*Calculateur!DW80*Calculateur!DY80*VLOOKUP('Données projet'!$B$14,Paramètres!$A$1:$I$89,3,0)*0.475*44/12</f>
        <v>6.375209901180181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26.616022897307744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7.8425925925925934</v>
      </c>
      <c r="EJ80" s="12">
        <f>IF('Données projet'!$A$192&gt;35,EJ79+EI80-ER79,IF(A80&lt;'Données projet'!$A$192,$EG$205^A80,IF(A80='Données projet'!$A$192,'Données projet'!$B$192,EJ79+EI80-ER79)))</f>
        <v>250.48504273504292</v>
      </c>
      <c r="EK80" s="17">
        <f>EJ80*VLOOKUP('Données projet'!$B$15,Paramètres!$A$1:$I$89,3,0)*VLOOKUP('Données projet'!$B$15,Paramètres!$A$1:$I$89,5,0)</f>
        <v>269.62210000000022</v>
      </c>
      <c r="EL80" s="13">
        <f t="shared" si="99"/>
        <v>64.769062833917033</v>
      </c>
      <c r="EM80" s="20">
        <f t="shared" si="73"/>
        <v>582.39794193573914</v>
      </c>
      <c r="EN80" s="59">
        <f t="shared" si="74"/>
        <v>875.73127526907251</v>
      </c>
      <c r="EO80" s="59">
        <f ca="1">AVERAGE(OFFSET($EN$3,0,0,'Données projet'!$E$15+1,1))-AVERAGE(OFFSET($H$3,0,0,'Données projet'!$E$15+1,1))</f>
        <v>449.09332781196957</v>
      </c>
      <c r="EP80" s="59">
        <f t="shared" si="100"/>
        <v>324.85904971519432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24.026922576000292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24.026922576000292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7.8425925925925934</v>
      </c>
      <c r="FE80" s="12">
        <f>IF('Données projet'!$A$218&gt;35,FE79+FD80-FM79,IF(A80&lt;'Données projet'!$A$218,$FB$205^A80,IF(A80='Données projet'!$A$218,'Données projet'!$B$218,FE79+FD80-FM79)))</f>
        <v>250.48504273504292</v>
      </c>
      <c r="FF80" s="17">
        <f>FE80*VLOOKUP('Données projet'!$B$16,Paramètres!$A$1:$I$89,3,0)*VLOOKUP('Données projet'!$B$16,Paramètres!$A$1:$I$89,5,0)</f>
        <v>253.99183333333355</v>
      </c>
      <c r="FG80" s="13">
        <f t="shared" si="101"/>
        <v>61.439942205271571</v>
      </c>
      <c r="FH80" s="20">
        <f t="shared" si="76"/>
        <v>549.37700906307055</v>
      </c>
      <c r="FI80" s="59">
        <f t="shared" si="77"/>
        <v>842.7103423964038</v>
      </c>
      <c r="FJ80" s="59">
        <f ca="1">AVERAGE(OFFSET($FI$3,0,0,'Données projet'!$E$16+1,1))-AVERAGE(OFFSET($H$3,0,0,'Données projet'!$E$16+1,1))</f>
        <v>419.51168383014721</v>
      </c>
      <c r="FK80" s="59">
        <f t="shared" si="102"/>
        <v>213.44145308833384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22.634057499130716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22.634057499130716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2.8</v>
      </c>
      <c r="FZ80" s="12">
        <f>IF('Données projet'!$A$244&gt;35,FZ79+FY80-GH79,IF(A80&lt;'Données projet'!$A$244,$FW$205^A80,IF(A80='Données projet'!$A$244,'Données projet'!$B$244,FZ79+FY80-GH79)))</f>
        <v>266.5999999999998</v>
      </c>
      <c r="GA80" s="17">
        <f>FZ80*VLOOKUP('Données projet'!$B$17,Paramètres!$A$1:$I$89,3,0)*VLOOKUP('Données projet'!$B$17,Paramètres!$A$1:$I$89,5,0)</f>
        <v>232.90175999999985</v>
      </c>
      <c r="GB80" s="13">
        <f t="shared" si="103"/>
        <v>56.909651332233778</v>
      </c>
      <c r="GC80" s="20">
        <f t="shared" si="79"/>
        <v>504.75487473697353</v>
      </c>
      <c r="GD80" s="59">
        <f t="shared" si="80"/>
        <v>798.08820807030679</v>
      </c>
      <c r="GE80" s="59">
        <f ca="1">AVERAGE(OFFSET($GD$3,0,0,'Données projet'!$E$17+1,1))-AVERAGE(OFFSET($H$3,0,0,'Données projet'!$E$17+1,1))</f>
        <v>324.86930206492627</v>
      </c>
      <c r="GF80" s="59">
        <f t="shared" si="104"/>
        <v>317.03005098025352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29.725251347108671</v>
      </c>
      <c r="GM80" s="21">
        <f>EXP(-LN(2)/25)*GM79+(1-EXP(-LN(2)/25))/(LN(2)/25)*Calculateur!GH80*Calculateur!GJ80*VLOOKUP('Données projet'!$B$17,Paramètres!$A$1:$I$89,3,0)*0.475*44/12</f>
        <v>9.3625051888682798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39.087756535976951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7.8425925925925934</v>
      </c>
      <c r="GU80" s="12">
        <f>IF('Données projet'!$A$270&gt;35,GU79+GT80-HC79,IF(A80&lt;'Données projet'!$A$270,$GR$205^A80,IF(A80='Données projet'!$A$270,'Données projet'!$B$270,GU79+GT80-HC79)))</f>
        <v>250.48504273504292</v>
      </c>
      <c r="GV80" s="17">
        <f>GU80*VLOOKUP('Données projet'!$B$18,Paramètres!$A$1:$I$89,3,0)*VLOOKUP('Données projet'!$B$18,Paramètres!$A$1:$I$89,5,0)</f>
        <v>238.36156666666685</v>
      </c>
      <c r="GW80" s="13">
        <f t="shared" si="105"/>
        <v>58.086873149931648</v>
      </c>
      <c r="GX80" s="20">
        <f t="shared" si="82"/>
        <v>516.31436601390897</v>
      </c>
      <c r="GY80" s="59">
        <f t="shared" si="83"/>
        <v>809.64769934724222</v>
      </c>
      <c r="GZ80" s="59">
        <f ca="1">AVERAGE(OFFSET($GY$3,0,0,'Données projet'!$E$18+1,1))-AVERAGE(OFFSET($H$3,0,0,'Données projet'!$E$18+1,1))</f>
        <v>401.81944956556271</v>
      </c>
      <c r="HA80" s="59">
        <f t="shared" si="106"/>
        <v>292.20785523952651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21.241192422261129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21.241192422261129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258.32763532763551</v>
      </c>
      <c r="O81" s="13">
        <f>N81*VLOOKUP('Données projet'!$B$9,Paramètres!$A$1:$I$89,3,0)*VLOOKUP('Données projet'!$B$9,Paramètres!$A$1:$I$89,5,0)</f>
        <v>233.7348444444446</v>
      </c>
      <c r="P81" s="13">
        <f t="shared" si="87"/>
        <v>57.089483585580787</v>
      </c>
      <c r="Q81" s="20">
        <f t="shared" si="54"/>
        <v>506.51903798562756</v>
      </c>
      <c r="R81" s="59">
        <f t="shared" si="55"/>
        <v>799.85237131896088</v>
      </c>
      <c r="S81" s="59">
        <f ca="1">AVERAGE(OFFSET($R$3,0,0,'Données projet'!$E$9+1,1))-AVERAGE(OFFSET($H$3,0,0,'Données projet'!$E$9+1,1))</f>
        <v>384.05928630855732</v>
      </c>
      <c r="T81" s="59">
        <f t="shared" si="88"/>
        <v>279.93992813630513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-6.3550942286383367E-14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335.04906256888819</v>
      </c>
      <c r="AO81" s="59">
        <f t="shared" si="90"/>
        <v>440.84111898279554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143.73071361143315</v>
      </c>
      <c r="AV81" s="21">
        <f>EXP(-LN(2)/25)*AV80+(1-EXP(-LN(2)/25))/(LN(2)/25)*Calculateur!AQ81*Calculateur!AS81*VLOOKUP('Données projet'!$B$10,Paramètres!$A$1:$I$89,3,0)*0.475*44/12</f>
        <v>30.446178722631792</v>
      </c>
      <c r="AW81" s="21">
        <f>EXP(-LN(2)/2)*AW80+(1-EXP(-LN(2)/2))/(LN(2)/2)*AQ81*AT81*VLOOKUP('Données projet'!$B$10,Paramètres!$A$1:$I$89,3,0)*0.475*44/12</f>
        <v>1.1794770368888227E-2</v>
      </c>
      <c r="AX81" s="21">
        <f t="shared" si="60"/>
        <v>174.18868710443382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>
        <f>VLOOKUP(A81,'Données projet'!$A$87:$I$107,2,0)</f>
        <v>400.44615384615389</v>
      </c>
      <c r="BB81" s="12">
        <f>VLOOKUP(A81,'Données projet'!$A$87:$I$107,9,0)</f>
        <v>6.8861538461538547</v>
      </c>
      <c r="BC81" s="12">
        <f t="array" ref="BC81">INDEX(BB:BB,MIN(IF(ISNUMBER(BB81:BB277),ROW(BB81:BB277),"")))</f>
        <v>6.8861538461538547</v>
      </c>
      <c r="BD81" s="12">
        <f>IF('Données projet'!$A$88&gt;35,BD80+BC81-BL80,IF(A81&lt;'Données projet'!$A$88,$BA$205^A81,IF(A81='Données projet'!$A$88,'Données projet'!$B$88,BD80+BC81-BL80)))</f>
        <v>400.44615384615355</v>
      </c>
      <c r="BE81" s="13">
        <f>BD81*VLOOKUP('Données projet'!$B$11,Paramètres!$A$1:$I$89,3,0)*VLOOKUP('Données projet'!$B$11,Paramètres!$A$1:$I$89,5,0)</f>
        <v>229.05519999999984</v>
      </c>
      <c r="BF81" s="13">
        <f t="shared" si="91"/>
        <v>56.07834476667518</v>
      </c>
      <c r="BG81" s="20">
        <f t="shared" si="61"/>
        <v>496.60759046862569</v>
      </c>
      <c r="BH81" s="59">
        <f t="shared" si="62"/>
        <v>789.940923801959</v>
      </c>
      <c r="BI81" s="59">
        <f ca="1">AVERAGE(OFFSET($BH$3,0,0,'Données projet'!$E$11+1,1))-AVERAGE(OFFSET($H$3,0,0,'Données projet'!$E$11+1,1))</f>
        <v>320.76883487964511</v>
      </c>
      <c r="BJ81" s="59">
        <f t="shared" si="92"/>
        <v>290.51177680335746</v>
      </c>
      <c r="BK81" s="15">
        <f>IF(ISNA(VLOOKUP(A81,'Données projet'!$A$87:$I$107,3,0)),0,VLOOKUP(A81,'Données projet'!$A$87:$I$107,3,0))</f>
        <v>9</v>
      </c>
      <c r="BL81" s="15">
        <f>IF(ISNA(VLOOKUP(A81,'Données projet'!$A$87:$I$107,4,0)),0,VLOOKUP(A81,'Données projet'!$A$87:$I$107,4,0))</f>
        <v>42.9</v>
      </c>
      <c r="BM81" s="16">
        <f>IF(ISNA(VLOOKUP(A81,'Données projet'!$A$87:$I$107,5,0)),0%,VLOOKUP(A81,'Données projet'!$A$87:$I$107,5,0)*VLOOKUP('Données projet'!$B$11,Paramètres!$A$1:$I$89,7,0))</f>
        <v>0.315</v>
      </c>
      <c r="BN81" s="16">
        <f>IF(ISNA(VLOOKUP(A81,'Données projet'!$A$87:$I$107,6,0)),0%,VLOOKUP(A81,'Données projet'!$A$87:$I$107,6,0)*VLOOKUP('Données projet'!$B$11,Paramètres!$A$1:$I$89,7,0))</f>
        <v>7.6500000000000012E-2</v>
      </c>
      <c r="BO81" s="16">
        <f>IF(ISNA(VLOOKUP(A81,'Données projet'!$A$87:$I$107,7,0)),0%,VLOOKUP(A81,'Données projet'!$A$87:$I$107,7,0))</f>
        <v>0.13</v>
      </c>
      <c r="BP81" s="21">
        <f>EXP(-LN(2)/35)*BP80+(1-EXP(-LN(2)/35))/(LN(2)/35)*BL81*BM81*VLOOKUP('Données projet'!$B$11,Paramètres!$A$1:$I$89,3,0)*0.475*44/12</f>
        <v>44.713026828112554</v>
      </c>
      <c r="BQ81" s="21">
        <f>EXP(-LN(2)/25)*BQ80+(1-EXP(-LN(2)/25))/(LN(2)/25)*Calculateur!BL81*Calculateur!BN81*VLOOKUP('Données projet'!$B$11,Paramètres!$A$1:$I$89,3,0)*0.475*44/12</f>
        <v>12.766215647635203</v>
      </c>
      <c r="BR81" s="21">
        <f>EXP(-LN(2)/2)*BR80+(1-EXP(-LN(2)/2))/(LN(2)/2)*BL81*BO81*VLOOKUP('Données projet'!$B$11,Paramètres!$A$1:$I$89,3,0)*0.475*44/12</f>
        <v>3.7370794951029001</v>
      </c>
      <c r="BS81" s="22">
        <f t="shared" si="63"/>
        <v>61.21632197085065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304.99999999999983</v>
      </c>
      <c r="BZ81" s="13">
        <f>BY81*VLOOKUP('Données projet'!$B$12,Paramètres!$A$1:$I$89,3,0)*VLOOKUP('Données projet'!$B$12,Paramètres!$A$1:$I$89,5,0)</f>
        <v>275.96399999999983</v>
      </c>
      <c r="CA81" s="13">
        <f t="shared" si="93"/>
        <v>66.113366665488854</v>
      </c>
      <c r="CB81" s="20">
        <f t="shared" si="64"/>
        <v>595.78474694239264</v>
      </c>
      <c r="CC81" s="59">
        <f t="shared" si="65"/>
        <v>889.11808027572602</v>
      </c>
      <c r="CD81" s="59">
        <f ca="1">AVERAGE(OFFSET($CC$3,0,0,'Données projet'!$E$12+1,1))-AVERAGE(OFFSET($H$3,0,0,'Données projet'!$E$12+1,1))</f>
        <v>366.69125512029831</v>
      </c>
      <c r="CE81" s="59">
        <f t="shared" si="94"/>
        <v>513.80016421153414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0.62470056247344286</v>
      </c>
      <c r="CL81" s="21">
        <f>EXP(-LN(2)/25)*CL80+(1-EXP(-LN(2)/25))/(LN(2)/25)*Calculateur!CG81*Calculateur!CI81*VLOOKUP('Données projet'!$B$12,Paramètres!$A$1:$I$89,3,0)*0.475*44/12</f>
        <v>1.9509921990250252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2.5756927614984679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7.8425925925925934</v>
      </c>
      <c r="CT81" s="12">
        <f>IF('Données projet'!$A$140&gt;35,CT80+CS81-DB80,IF(A81&lt;'Données projet'!$A$140,$CQ$205^A81,IF(A81='Données projet'!$A$140,'Données projet'!$B$140,CT80+CS81-DB80)))</f>
        <v>258.32763532763551</v>
      </c>
      <c r="CU81" s="17">
        <f>CT81*VLOOKUP('Données projet'!$B$13,Paramètres!$A$1:$I$89,3,0)*VLOOKUP('Données projet'!$B$13,Paramètres!$A$1:$I$89,5,0)</f>
        <v>173.28617777777791</v>
      </c>
      <c r="CV81" s="13">
        <f t="shared" si="95"/>
        <v>43.825195969028606</v>
      </c>
      <c r="CW81" s="20">
        <f t="shared" si="67"/>
        <v>378.13564260902132</v>
      </c>
      <c r="CX81" s="59">
        <f t="shared" si="68"/>
        <v>671.46897594235463</v>
      </c>
      <c r="CY81" s="59">
        <f ca="1">AVERAGE(OFFSET($CX$3,0,0,'Données projet'!$E$13+1,1))-AVERAGE(OFFSET($H$3,0,0,'Données projet'!$E$13+1,1))</f>
        <v>294.94331863127815</v>
      </c>
      <c r="CZ81" s="59">
        <f t="shared" si="96"/>
        <v>218.36990036643977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18.093561910156726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18.093561910156726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269.39999999999981</v>
      </c>
      <c r="DP81" s="17">
        <f>DO81*VLOOKUP('Données projet'!$B$14,Paramètres!$A$1:$I$89,3,0)*VLOOKUP('Données projet'!$B$14,Paramètres!$A$1:$I$89,5,0)</f>
        <v>197.52407999999986</v>
      </c>
      <c r="DQ81" s="13">
        <f t="shared" si="97"/>
        <v>49.199641586671113</v>
      </c>
      <c r="DR81" s="20">
        <f t="shared" si="70"/>
        <v>429.71048176345192</v>
      </c>
      <c r="DS81" s="59">
        <f t="shared" si="71"/>
        <v>723.04381509678524</v>
      </c>
      <c r="DT81" s="59">
        <f ca="1">AVERAGE(OFFSET($DS$3,0,0,'Données projet'!$E$14+1,1))-AVERAGE(OFFSET($H$3,0,0,'Données projet'!$E$14+1,1))</f>
        <v>278.45534008146865</v>
      </c>
      <c r="DU81" s="59">
        <f t="shared" si="98"/>
        <v>272.97841038165217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19.843902998950394</v>
      </c>
      <c r="EB81" s="21">
        <f>EXP(-LN(2)/25)*EB80+(1-EXP(-LN(2)/25))/(LN(2)/25)*Calculateur!DW81*Calculateur!DY81*VLOOKUP('Données projet'!$B$14,Paramètres!$A$1:$I$89,3,0)*0.475*44/12</f>
        <v>6.200879451174691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26.044782450125084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7.8425925925925934</v>
      </c>
      <c r="EJ81" s="12">
        <f>IF('Données projet'!$A$192&gt;35,EJ80+EI81-ER80,IF(A81&lt;'Données projet'!$A$192,$EG$205^A81,IF(A81='Données projet'!$A$192,'Données projet'!$B$192,EJ80+EI81-ER80)))</f>
        <v>258.32763532763551</v>
      </c>
      <c r="EK81" s="17">
        <f>EJ81*VLOOKUP('Données projet'!$B$15,Paramètres!$A$1:$I$89,3,0)*VLOOKUP('Données projet'!$B$15,Paramètres!$A$1:$I$89,5,0)</f>
        <v>278.06386666666685</v>
      </c>
      <c r="EL81" s="13">
        <f t="shared" si="99"/>
        <v>66.557683163007226</v>
      </c>
      <c r="EM81" s="20">
        <f t="shared" si="73"/>
        <v>600.21586595334895</v>
      </c>
      <c r="EN81" s="59">
        <f t="shared" si="74"/>
        <v>893.54919928668232</v>
      </c>
      <c r="EO81" s="59">
        <f ca="1">AVERAGE(OFFSET($EN$3,0,0,'Données projet'!$E$15+1,1))-AVERAGE(OFFSET($H$3,0,0,'Données projet'!$E$15+1,1))</f>
        <v>449.09332781196957</v>
      </c>
      <c r="EP81" s="59">
        <f t="shared" si="100"/>
        <v>324.85904971519432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23.555769279260637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23.555769279260637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7.8425925925925934</v>
      </c>
      <c r="FE81" s="12">
        <f>IF('Données projet'!$A$218&gt;35,FE80+FD81-FM80,IF(A81&lt;'Données projet'!$A$218,$FB$205^A81,IF(A81='Données projet'!$A$218,'Données projet'!$B$218,FE80+FD81-FM80)))</f>
        <v>258.32763532763551</v>
      </c>
      <c r="FF81" s="17">
        <f>FE81*VLOOKUP('Données projet'!$B$16,Paramètres!$A$1:$I$89,3,0)*VLOOKUP('Données projet'!$B$16,Paramètres!$A$1:$I$89,5,0)</f>
        <v>261.94422222222244</v>
      </c>
      <c r="FG81" s="13">
        <f t="shared" si="101"/>
        <v>63.136627703535865</v>
      </c>
      <c r="FH81" s="20">
        <f t="shared" si="76"/>
        <v>566.18248028736241</v>
      </c>
      <c r="FI81" s="59">
        <f t="shared" si="77"/>
        <v>859.51581362069578</v>
      </c>
      <c r="FJ81" s="59">
        <f ca="1">AVERAGE(OFFSET($FI$3,0,0,'Données projet'!$E$16+1,1))-AVERAGE(OFFSET($H$3,0,0,'Données projet'!$E$16+1,1))</f>
        <v>419.51168383014721</v>
      </c>
      <c r="FK81" s="59">
        <f t="shared" si="102"/>
        <v>213.44145308833384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22.190217436984664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22.190217436984664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2.8</v>
      </c>
      <c r="FZ81" s="12">
        <f>IF('Données projet'!$A$244&gt;35,FZ80+FY81-GH80,IF(A81&lt;'Données projet'!$A$244,$FW$205^A81,IF(A81='Données projet'!$A$244,'Données projet'!$B$244,FZ80+FY81-GH80)))</f>
        <v>269.39999999999981</v>
      </c>
      <c r="GA81" s="17">
        <f>FZ81*VLOOKUP('Données projet'!$B$17,Paramètres!$A$1:$I$89,3,0)*VLOOKUP('Données projet'!$B$17,Paramètres!$A$1:$I$89,5,0)</f>
        <v>235.34783999999988</v>
      </c>
      <c r="GB81" s="13">
        <f t="shared" si="103"/>
        <v>57.437458162232033</v>
      </c>
      <c r="GC81" s="20">
        <f t="shared" si="79"/>
        <v>509.93439429922063</v>
      </c>
      <c r="GD81" s="59">
        <f t="shared" si="80"/>
        <v>803.26772763255394</v>
      </c>
      <c r="GE81" s="59">
        <f ca="1">AVERAGE(OFFSET($GD$3,0,0,'Données projet'!$E$17+1,1))-AVERAGE(OFFSET($H$3,0,0,'Données projet'!$E$17+1,1))</f>
        <v>324.86930206492627</v>
      </c>
      <c r="GF81" s="59">
        <f t="shared" si="104"/>
        <v>317.03005098025352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29.142357298804942</v>
      </c>
      <c r="GM81" s="21">
        <f>EXP(-LN(2)/25)*GM80+(1-EXP(-LN(2)/25))/(LN(2)/25)*Calculateur!GH81*Calculateur!GJ81*VLOOKUP('Données projet'!$B$17,Paramètres!$A$1:$I$89,3,0)*0.475*44/12</f>
        <v>9.1064869921259266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38.248844290930869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7.8425925925925934</v>
      </c>
      <c r="GU81" s="12">
        <f>IF('Données projet'!$A$270&gt;35,GU80+GT81-HC80,IF(A81&lt;'Données projet'!$A$270,$GR$205^A81,IF(A81='Données projet'!$A$270,'Données projet'!$B$270,GU80+GT81-HC80)))</f>
        <v>258.32763532763551</v>
      </c>
      <c r="GV81" s="17">
        <f>GU81*VLOOKUP('Données projet'!$B$18,Paramètres!$A$1:$I$89,3,0)*VLOOKUP('Données projet'!$B$18,Paramètres!$A$1:$I$89,5,0)</f>
        <v>245.82457777777793</v>
      </c>
      <c r="GW81" s="13">
        <f t="shared" si="105"/>
        <v>59.690962473188755</v>
      </c>
      <c r="GX81" s="20">
        <f t="shared" si="82"/>
        <v>532.1062326037669</v>
      </c>
      <c r="GY81" s="59">
        <f t="shared" si="83"/>
        <v>825.43956593710027</v>
      </c>
      <c r="GZ81" s="59">
        <f ca="1">AVERAGE(OFFSET($GY$3,0,0,'Données projet'!$E$18+1,1))-AVERAGE(OFFSET($H$3,0,0,'Données projet'!$E$18+1,1))</f>
        <v>401.81944956556271</v>
      </c>
      <c r="HA81" s="59">
        <f t="shared" si="106"/>
        <v>292.20785523952651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20.824665594708684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20.824665594708684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266.17022792022811</v>
      </c>
      <c r="O82" s="13">
        <f>N82*VLOOKUP('Données projet'!$B$9,Paramètres!$A$1:$I$89,3,0)*VLOOKUP('Données projet'!$B$9,Paramètres!$A$1:$I$89,5,0)</f>
        <v>240.83082222222239</v>
      </c>
      <c r="P82" s="13">
        <f t="shared" si="87"/>
        <v>58.618249962252264</v>
      </c>
      <c r="Q82" s="20">
        <f t="shared" si="54"/>
        <v>521.54046738795989</v>
      </c>
      <c r="R82" s="59">
        <f t="shared" si="55"/>
        <v>814.87380072129326</v>
      </c>
      <c r="S82" s="59">
        <f ca="1">AVERAGE(OFFSET($R$3,0,0,'Données projet'!$E$9+1,1))-AVERAGE(OFFSET($H$3,0,0,'Données projet'!$E$9+1,1))</f>
        <v>384.05928630855732</v>
      </c>
      <c r="T82" s="59">
        <f t="shared" si="88"/>
        <v>279.93992813630513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-6.3550942286383367E-14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335.04906256888819</v>
      </c>
      <c r="AO82" s="59">
        <f t="shared" si="90"/>
        <v>440.84111898279554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140.91224198459184</v>
      </c>
      <c r="AV82" s="21">
        <f>EXP(-LN(2)/25)*AV81+(1-EXP(-LN(2)/25))/(LN(2)/25)*Calculateur!AQ82*Calculateur!AS82*VLOOKUP('Données projet'!$B$10,Paramètres!$A$1:$I$89,3,0)*0.475*44/12</f>
        <v>29.613626364366471</v>
      </c>
      <c r="AW82" s="21">
        <f>EXP(-LN(2)/2)*AW81+(1-EXP(-LN(2)/2))/(LN(2)/2)*AQ82*AT82*VLOOKUP('Données projet'!$B$10,Paramètres!$A$1:$I$89,3,0)*0.475*44/12</f>
        <v>8.3401621103790218E-3</v>
      </c>
      <c r="AX82" s="21">
        <f t="shared" si="60"/>
        <v>170.5342085110687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5.9607692307692215</v>
      </c>
      <c r="BD82" s="12">
        <f>IF('Données projet'!$A$88&gt;35,BD81+BC82-BL81,IF(A82&lt;'Données projet'!$A$88,$BA$205^A82,IF(A82='Données projet'!$A$88,'Données projet'!$B$88,BD81+BC82-BL81)))</f>
        <v>363.50692307692282</v>
      </c>
      <c r="BE82" s="13">
        <f>BD82*VLOOKUP('Données projet'!$B$11,Paramètres!$A$1:$I$89,3,0)*VLOOKUP('Données projet'!$B$11,Paramètres!$A$1:$I$89,5,0)</f>
        <v>207.92595999999986</v>
      </c>
      <c r="BF82" s="13">
        <f t="shared" si="91"/>
        <v>51.482094294693198</v>
      </c>
      <c r="BG82" s="20">
        <f t="shared" si="61"/>
        <v>451.80236122992369</v>
      </c>
      <c r="BH82" s="59">
        <f t="shared" si="62"/>
        <v>745.13569456325695</v>
      </c>
      <c r="BI82" s="59">
        <f ca="1">AVERAGE(OFFSET($BH$3,0,0,'Données projet'!$E$11+1,1))-AVERAGE(OFFSET($H$3,0,0,'Données projet'!$E$11+1,1))</f>
        <v>320.76883487964511</v>
      </c>
      <c r="BJ82" s="59">
        <f t="shared" si="92"/>
        <v>290.51177680335746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43.836231644266718</v>
      </c>
      <c r="BQ82" s="21">
        <f>EXP(-LN(2)/25)*BQ81+(1-EXP(-LN(2)/25))/(LN(2)/25)*Calculateur!BL82*Calculateur!BN82*VLOOKUP('Données projet'!$B$11,Paramètres!$A$1:$I$89,3,0)*0.475*44/12</f>
        <v>12.417122809404516</v>
      </c>
      <c r="BR82" s="21">
        <f>EXP(-LN(2)/2)*BR81+(1-EXP(-LN(2)/2))/(LN(2)/2)*BL82*BO82*VLOOKUP('Données projet'!$B$11,Paramètres!$A$1:$I$89,3,0)*0.475*44/12</f>
        <v>2.6425142528204599</v>
      </c>
      <c r="BS82" s="22">
        <f t="shared" si="63"/>
        <v>58.895868706491697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304.99999999999983</v>
      </c>
      <c r="BZ82" s="13">
        <f>BY82*VLOOKUP('Données projet'!$B$12,Paramètres!$A$1:$I$89,3,0)*VLOOKUP('Données projet'!$B$12,Paramètres!$A$1:$I$89,5,0)</f>
        <v>275.96399999999983</v>
      </c>
      <c r="CA82" s="13">
        <f t="shared" si="93"/>
        <v>66.113366665488854</v>
      </c>
      <c r="CB82" s="20">
        <f t="shared" si="64"/>
        <v>595.78474694239264</v>
      </c>
      <c r="CC82" s="59">
        <f t="shared" si="65"/>
        <v>889.11808027572602</v>
      </c>
      <c r="CD82" s="59">
        <f ca="1">AVERAGE(OFFSET($CC$3,0,0,'Données projet'!$E$12+1,1))-AVERAGE(OFFSET($H$3,0,0,'Données projet'!$E$12+1,1))</f>
        <v>366.69125512029831</v>
      </c>
      <c r="CE82" s="59">
        <f t="shared" si="94"/>
        <v>513.80016421153414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0.61245056547305821</v>
      </c>
      <c r="CL82" s="21">
        <f>EXP(-LN(2)/25)*CL81+(1-EXP(-LN(2)/25))/(LN(2)/25)*Calculateur!CG82*Calculateur!CI82*VLOOKUP('Données projet'!$B$12,Paramètres!$A$1:$I$89,3,0)*0.475*44/12</f>
        <v>1.8976422147444652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2.5100927802175232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7.8425925925925934</v>
      </c>
      <c r="CT82" s="12">
        <f>IF('Données projet'!$A$140&gt;35,CT81+CS82-DB81,IF(A82&lt;'Données projet'!$A$140,$CQ$205^A82,IF(A82='Données projet'!$A$140,'Données projet'!$B$140,CT81+CS82-DB81)))</f>
        <v>266.17022792022811</v>
      </c>
      <c r="CU82" s="17">
        <f>CT82*VLOOKUP('Données projet'!$B$13,Paramètres!$A$1:$I$89,3,0)*VLOOKUP('Données projet'!$B$13,Paramètres!$A$1:$I$89,5,0)</f>
        <v>178.54698888888902</v>
      </c>
      <c r="CV82" s="13">
        <f t="shared" si="95"/>
        <v>44.998765632661168</v>
      </c>
      <c r="CW82" s="20">
        <f t="shared" si="67"/>
        <v>389.3421891250332</v>
      </c>
      <c r="CX82" s="59">
        <f t="shared" si="68"/>
        <v>682.67552245836646</v>
      </c>
      <c r="CY82" s="59">
        <f ca="1">AVERAGE(OFFSET($CX$3,0,0,'Données projet'!$E$13+1,1))-AVERAGE(OFFSET($H$3,0,0,'Données projet'!$E$13+1,1))</f>
        <v>294.94331863127815</v>
      </c>
      <c r="CZ82" s="59">
        <f t="shared" si="96"/>
        <v>218.36990036643977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17.738758197081605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17.738758197081605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272.19999999999982</v>
      </c>
      <c r="DP82" s="17">
        <f>DO82*VLOOKUP('Données projet'!$B$14,Paramètres!$A$1:$I$89,3,0)*VLOOKUP('Données projet'!$B$14,Paramètres!$A$1:$I$89,5,0)</f>
        <v>199.57703999999987</v>
      </c>
      <c r="DQ82" s="13">
        <f t="shared" si="97"/>
        <v>49.651202469214105</v>
      </c>
      <c r="DR82" s="20">
        <f t="shared" si="70"/>
        <v>434.07252230054763</v>
      </c>
      <c r="DS82" s="59">
        <f t="shared" si="71"/>
        <v>727.40585563388095</v>
      </c>
      <c r="DT82" s="59">
        <f ca="1">AVERAGE(OFFSET($DS$3,0,0,'Données projet'!$E$14+1,1))-AVERAGE(OFFSET($H$3,0,0,'Données projet'!$E$14+1,1))</f>
        <v>278.45534008146865</v>
      </c>
      <c r="DU82" s="59">
        <f t="shared" si="98"/>
        <v>272.97841038165217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19.454776164726677</v>
      </c>
      <c r="EB82" s="21">
        <f>EXP(-LN(2)/25)*EB81+(1-EXP(-LN(2)/25))/(LN(2)/25)*Calculateur!DW82*Calculateur!DY82*VLOOKUP('Données projet'!$B$14,Paramètres!$A$1:$I$89,3,0)*0.475*44/12</f>
        <v>6.0313160764922413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25.48609224121892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7.8425925925925934</v>
      </c>
      <c r="EJ82" s="12">
        <f>IF('Données projet'!$A$192&gt;35,EJ81+EI82-ER81,IF(A82&lt;'Données projet'!$A$192,$EG$205^A82,IF(A82='Données projet'!$A$192,'Données projet'!$B$192,EJ81+EI82-ER81)))</f>
        <v>266.17022792022811</v>
      </c>
      <c r="EK82" s="17">
        <f>EJ82*VLOOKUP('Données projet'!$B$15,Paramètres!$A$1:$I$89,3,0)*VLOOKUP('Données projet'!$B$15,Paramètres!$A$1:$I$89,5,0)</f>
        <v>286.50563333333349</v>
      </c>
      <c r="EL82" s="13">
        <f t="shared" si="99"/>
        <v>68.339992999042579</v>
      </c>
      <c r="EM82" s="20">
        <f t="shared" si="73"/>
        <v>618.02279919555497</v>
      </c>
      <c r="EN82" s="59">
        <f t="shared" si="74"/>
        <v>911.35613252888834</v>
      </c>
      <c r="EO82" s="59">
        <f ca="1">AVERAGE(OFFSET($EN$3,0,0,'Données projet'!$E$15+1,1))-AVERAGE(OFFSET($H$3,0,0,'Données projet'!$E$15+1,1))</f>
        <v>449.09332781196957</v>
      </c>
      <c r="EP82" s="59">
        <f t="shared" si="100"/>
        <v>324.85904971519432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23.093855011294913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23.093855011294913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7.8425925925925934</v>
      </c>
      <c r="FE82" s="12">
        <f>IF('Données projet'!$A$218&gt;35,FE81+FD82-FM81,IF(A82&lt;'Données projet'!$A$218,$FB$205^A82,IF(A82='Données projet'!$A$218,'Données projet'!$B$218,FE81+FD82-FM81)))</f>
        <v>266.17022792022811</v>
      </c>
      <c r="FF82" s="17">
        <f>FE82*VLOOKUP('Données projet'!$B$16,Paramètres!$A$1:$I$89,3,0)*VLOOKUP('Données projet'!$B$16,Paramètres!$A$1:$I$89,5,0)</f>
        <v>269.89661111111133</v>
      </c>
      <c r="FG82" s="13">
        <f t="shared" si="101"/>
        <v>64.82732706719186</v>
      </c>
      <c r="FH82" s="20">
        <f t="shared" si="76"/>
        <v>582.97752566054464</v>
      </c>
      <c r="FI82" s="59">
        <f t="shared" si="77"/>
        <v>876.3108589938779</v>
      </c>
      <c r="FJ82" s="59">
        <f ca="1">AVERAGE(OFFSET($FI$3,0,0,'Données projet'!$E$16+1,1))-AVERAGE(OFFSET($H$3,0,0,'Données projet'!$E$16+1,1))</f>
        <v>419.51168383014721</v>
      </c>
      <c r="FK82" s="59">
        <f t="shared" si="102"/>
        <v>213.44145308833384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21.755080807741592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21.755080807741592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2.8</v>
      </c>
      <c r="FZ82" s="12">
        <f>IF('Données projet'!$A$244&gt;35,FZ81+FY82-GH81,IF(A82&lt;'Données projet'!$A$244,$FW$205^A82,IF(A82='Données projet'!$A$244,'Données projet'!$B$244,FZ81+FY82-GH81)))</f>
        <v>272.19999999999982</v>
      </c>
      <c r="GA82" s="17">
        <f>FZ82*VLOOKUP('Données projet'!$B$17,Paramètres!$A$1:$I$89,3,0)*VLOOKUP('Données projet'!$B$17,Paramètres!$A$1:$I$89,5,0)</f>
        <v>237.79391999999984</v>
      </c>
      <c r="GB82" s="13">
        <f t="shared" si="103"/>
        <v>57.96462682570845</v>
      </c>
      <c r="GC82" s="20">
        <f t="shared" si="79"/>
        <v>515.11280238810866</v>
      </c>
      <c r="GD82" s="59">
        <f t="shared" si="80"/>
        <v>808.44613572144203</v>
      </c>
      <c r="GE82" s="59">
        <f ca="1">AVERAGE(OFFSET($GD$3,0,0,'Données projet'!$E$17+1,1))-AVERAGE(OFFSET($H$3,0,0,'Données projet'!$E$17+1,1))</f>
        <v>324.86930206492627</v>
      </c>
      <c r="GF82" s="59">
        <f t="shared" si="104"/>
        <v>317.03005098025352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28.570893447258186</v>
      </c>
      <c r="GM82" s="21">
        <f>EXP(-LN(2)/25)*GM81+(1-EXP(-LN(2)/25))/(LN(2)/25)*Calculateur!GH82*Calculateur!GJ82*VLOOKUP('Données projet'!$B$17,Paramètres!$A$1:$I$89,3,0)*0.475*44/12</f>
        <v>8.8574696264369059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37.428363073695095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7.8425925925925934</v>
      </c>
      <c r="GU82" s="12">
        <f>IF('Données projet'!$A$270&gt;35,GU81+GT82-HC81,IF(A82&lt;'Données projet'!$A$270,$GR$205^A82,IF(A82='Données projet'!$A$270,'Données projet'!$B$270,GU81+GT82-HC81)))</f>
        <v>266.17022792022811</v>
      </c>
      <c r="GV82" s="17">
        <f>GU82*VLOOKUP('Données projet'!$B$18,Paramètres!$A$1:$I$89,3,0)*VLOOKUP('Données projet'!$B$18,Paramètres!$A$1:$I$89,5,0)</f>
        <v>253.28758888888908</v>
      </c>
      <c r="GW82" s="13">
        <f t="shared" si="105"/>
        <v>61.289392353595275</v>
      </c>
      <c r="GX82" s="20">
        <f t="shared" si="82"/>
        <v>547.8882423306602</v>
      </c>
      <c r="GY82" s="59">
        <f t="shared" si="83"/>
        <v>841.22157566399346</v>
      </c>
      <c r="GZ82" s="59">
        <f ca="1">AVERAGE(OFFSET($GY$3,0,0,'Données projet'!$E$18+1,1))-AVERAGE(OFFSET($H$3,0,0,'Données projet'!$E$18+1,1))</f>
        <v>401.81944956556271</v>
      </c>
      <c r="HA82" s="59">
        <f t="shared" si="106"/>
        <v>292.20785523952651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20.416306604188261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20.416306604188261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274.01282051282072</v>
      </c>
      <c r="O83" s="13">
        <f>N83*VLOOKUP('Données projet'!$B$9,Paramètres!$A$1:$I$89,3,0)*VLOOKUP('Données projet'!$B$9,Paramètres!$A$1:$I$89,5,0)</f>
        <v>247.92680000000016</v>
      </c>
      <c r="P83" s="13">
        <f t="shared" si="87"/>
        <v>60.141781345371967</v>
      </c>
      <c r="Q83" s="20">
        <f t="shared" si="54"/>
        <v>536.55277917652313</v>
      </c>
      <c r="R83" s="59">
        <f t="shared" si="55"/>
        <v>829.8861125098565</v>
      </c>
      <c r="S83" s="59">
        <f ca="1">AVERAGE(OFFSET($R$3,0,0,'Données projet'!$E$9+1,1))-AVERAGE(OFFSET($H$3,0,0,'Données projet'!$E$9+1,1))</f>
        <v>384.05928630855732</v>
      </c>
      <c r="T83" s="59">
        <f t="shared" si="88"/>
        <v>279.93992813630513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-6.3550942286383367E-14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335.04906256888819</v>
      </c>
      <c r="AO83" s="59">
        <f t="shared" si="90"/>
        <v>440.84111898279554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138.14903886725494</v>
      </c>
      <c r="AV83" s="21">
        <f>EXP(-LN(2)/25)*AV82+(1-EXP(-LN(2)/25))/(LN(2)/25)*Calculateur!AQ83*Calculateur!AS83*VLOOKUP('Données projet'!$B$10,Paramètres!$A$1:$I$89,3,0)*0.475*44/12</f>
        <v>28.803840194119942</v>
      </c>
      <c r="AW83" s="21">
        <f>EXP(-LN(2)/2)*AW82+(1-EXP(-LN(2)/2))/(LN(2)/2)*AQ83*AT83*VLOOKUP('Données projet'!$B$10,Paramètres!$A$1:$I$89,3,0)*0.475*44/12</f>
        <v>5.8973851844441134E-3</v>
      </c>
      <c r="AX83" s="21">
        <f t="shared" si="60"/>
        <v>166.95877644655934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5.9607692307692215</v>
      </c>
      <c r="BD83" s="12">
        <f>IF('Données projet'!$A$88&gt;35,BD82+BC83-BL82,IF(A83&lt;'Données projet'!$A$88,$BA$205^A83,IF(A83='Données projet'!$A$88,'Données projet'!$B$88,BD82+BC83-BL82)))</f>
        <v>369.46769230769206</v>
      </c>
      <c r="BE83" s="13">
        <f>BD83*VLOOKUP('Données projet'!$B$11,Paramètres!$A$1:$I$89,3,0)*VLOOKUP('Données projet'!$B$11,Paramètres!$A$1:$I$89,5,0)</f>
        <v>211.33551999999986</v>
      </c>
      <c r="BF83" s="13">
        <f t="shared" si="91"/>
        <v>52.227322653845086</v>
      </c>
      <c r="BG83" s="20">
        <f t="shared" si="61"/>
        <v>459.03861762211324</v>
      </c>
      <c r="BH83" s="59">
        <f t="shared" si="62"/>
        <v>752.37195095544655</v>
      </c>
      <c r="BI83" s="59">
        <f ca="1">AVERAGE(OFFSET($BH$3,0,0,'Données projet'!$E$11+1,1))-AVERAGE(OFFSET($H$3,0,0,'Données projet'!$E$11+1,1))</f>
        <v>320.76883487964511</v>
      </c>
      <c r="BJ83" s="59">
        <f t="shared" si="92"/>
        <v>290.51177680335746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42.976629879183847</v>
      </c>
      <c r="BQ83" s="21">
        <f>EXP(-LN(2)/25)*BQ82+(1-EXP(-LN(2)/25))/(LN(2)/25)*Calculateur!BL83*Calculateur!BN83*VLOOKUP('Données projet'!$B$11,Paramètres!$A$1:$I$89,3,0)*0.475*44/12</f>
        <v>12.077575933193241</v>
      </c>
      <c r="BR83" s="21">
        <f>EXP(-LN(2)/2)*BR82+(1-EXP(-LN(2)/2))/(LN(2)/2)*BL83*BO83*VLOOKUP('Données projet'!$B$11,Paramètres!$A$1:$I$89,3,0)*0.475*44/12</f>
        <v>1.8685397475514502</v>
      </c>
      <c r="BS83" s="22">
        <f t="shared" si="63"/>
        <v>56.922745559928543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304.99999999999983</v>
      </c>
      <c r="BZ83" s="13">
        <f>BY83*VLOOKUP('Données projet'!$B$12,Paramètres!$A$1:$I$89,3,0)*VLOOKUP('Données projet'!$B$12,Paramètres!$A$1:$I$89,5,0)</f>
        <v>275.96399999999983</v>
      </c>
      <c r="CA83" s="13">
        <f t="shared" si="93"/>
        <v>66.113366665488854</v>
      </c>
      <c r="CB83" s="20">
        <f t="shared" si="64"/>
        <v>595.78474694239264</v>
      </c>
      <c r="CC83" s="59">
        <f t="shared" si="65"/>
        <v>889.11808027572602</v>
      </c>
      <c r="CD83" s="59">
        <f ca="1">AVERAGE(OFFSET($CC$3,0,0,'Données projet'!$E$12+1,1))-AVERAGE(OFFSET($H$3,0,0,'Données projet'!$E$12+1,1))</f>
        <v>366.69125512029831</v>
      </c>
      <c r="CE83" s="59">
        <f t="shared" si="94"/>
        <v>513.80016421153414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0.60044078344209073</v>
      </c>
      <c r="CL83" s="21">
        <f>EXP(-LN(2)/25)*CL82+(1-EXP(-LN(2)/25))/(LN(2)/25)*Calculateur!CG83*Calculateur!CI83*VLOOKUP('Données projet'!$B$12,Paramètres!$A$1:$I$89,3,0)*0.475*44/12</f>
        <v>1.8457510885896109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2.4461918720317017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274.01282051282055</v>
      </c>
      <c r="CR83" s="12">
        <f>VLOOKUP(A83,'Données projet'!$A$139:$I$159,9,0)</f>
        <v>7.8425925925925934</v>
      </c>
      <c r="CS83" s="12">
        <f t="array" ref="CS83">INDEX(CR:CR,MIN(IF(ISNUMBER(CR83:CR279),ROW(CR83:CR279),"")))</f>
        <v>7.8425925925925934</v>
      </c>
      <c r="CT83" s="12">
        <f>IF('Données projet'!$A$140&gt;35,CT82+CS83-DB82,IF(A83&lt;'Données projet'!$A$140,$CQ$205^A83,IF(A83='Données projet'!$A$140,'Données projet'!$B$140,CT82+CS83-DB82)))</f>
        <v>274.01282051282072</v>
      </c>
      <c r="CU83" s="17">
        <f>CT83*VLOOKUP('Données projet'!$B$13,Paramètres!$A$1:$I$89,3,0)*VLOOKUP('Données projet'!$B$13,Paramètres!$A$1:$I$89,5,0)</f>
        <v>183.80780000000016</v>
      </c>
      <c r="CV83" s="13">
        <f t="shared" si="95"/>
        <v>46.168316611872598</v>
      </c>
      <c r="CW83" s="20">
        <f t="shared" si="67"/>
        <v>400.54173643234503</v>
      </c>
      <c r="CX83" s="59">
        <f t="shared" si="68"/>
        <v>693.87506976567829</v>
      </c>
      <c r="CY83" s="59">
        <f ca="1">AVERAGE(OFFSET($CX$3,0,0,'Données projet'!$E$13+1,1))-AVERAGE(OFFSET($H$3,0,0,'Données projet'!$E$13+1,1))</f>
        <v>294.94331863127815</v>
      </c>
      <c r="CZ83" s="59">
        <f t="shared" si="96"/>
        <v>218.36990036643977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45.608974358974358</v>
      </c>
      <c r="DC83" s="16">
        <f>IF(ISNA(VLOOKUP(A83,'Données projet'!$A$139:$I$159,5,0)),0%,VLOOKUP(A83,'Données projet'!$A$139:$I$159,5,0)*VLOOKUP('Données projet'!$B$13,Paramètres!$A$1:$I$89,7,0))</f>
        <v>0.371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29.938619286787322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29.938619286787322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275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274.99999999999983</v>
      </c>
      <c r="DP83" s="17">
        <f>DO83*VLOOKUP('Données projet'!$B$14,Paramètres!$A$1:$I$89,3,0)*VLOOKUP('Données projet'!$B$14,Paramètres!$A$1:$I$89,5,0)</f>
        <v>201.62999999999988</v>
      </c>
      <c r="DQ83" s="13">
        <f t="shared" si="97"/>
        <v>50.102222986612503</v>
      </c>
      <c r="DR83" s="20">
        <f t="shared" si="70"/>
        <v>438.43362170168325</v>
      </c>
      <c r="DS83" s="59">
        <f t="shared" si="71"/>
        <v>731.76695503501651</v>
      </c>
      <c r="DT83" s="59">
        <f ca="1">AVERAGE(OFFSET($DS$3,0,0,'Données projet'!$E$14+1,1))-AVERAGE(OFFSET($H$3,0,0,'Données projet'!$E$14+1,1))</f>
        <v>278.45534008146865</v>
      </c>
      <c r="DU83" s="59">
        <f t="shared" si="98"/>
        <v>272.97841038165217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8</v>
      </c>
      <c r="DX83" s="16">
        <f>IF(ISNA(VLOOKUP(A83,'Données projet'!$A$165:$I$185,5,0)),0%,VLOOKUP(A83,'Données projet'!$A$165:$I$185,5,0)*VLOOKUP('Données projet'!$B$14,Paramètres!$A$1:$I$89,7,0))</f>
        <v>0.37840000000000001</v>
      </c>
      <c r="DY83" s="16">
        <f>IF(ISNA(VLOOKUP(A83,'Données projet'!$A$165:$I$185,6,0)),0%,VLOOKUP(A83,'Données projet'!$A$165:$I$185,6,0)*VLOOKUP('Données projet'!$B$14,Paramètres!$A$1:$I$89,7,0))</f>
        <v>5.5899999999999998E-2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21.526918957196674</v>
      </c>
      <c r="EB83" s="21">
        <f>EXP(-LN(2)/25)*EB82+(1-EXP(-LN(2)/25))/(LN(2)/25)*Calculateur!DW83*Calculateur!DY83*VLOOKUP('Données projet'!$B$14,Paramètres!$A$1:$I$89,3,0)*0.475*44/12</f>
        <v>6.227431651579149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27.754350608775823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274.01282051282055</v>
      </c>
      <c r="EH83" s="12">
        <f>VLOOKUP(A83,'Données projet'!$A$191:$I$211,9,0)</f>
        <v>7.8425925925925934</v>
      </c>
      <c r="EI83" s="12">
        <f t="array" ref="EI83">INDEX(EH:EH,MIN(IF(ISNUMBER(EH83:EH279),ROW(EH83:EH279),"")))</f>
        <v>7.8425925925925934</v>
      </c>
      <c r="EJ83" s="12">
        <f>IF('Données projet'!$A$192&gt;35,EJ82+EI83-ER82,IF(A83&lt;'Données projet'!$A$192,$EG$205^A83,IF(A83='Données projet'!$A$192,'Données projet'!$B$192,EJ82+EI83-ER82)))</f>
        <v>274.01282051282072</v>
      </c>
      <c r="EK83" s="17">
        <f>EJ83*VLOOKUP('Données projet'!$B$15,Paramètres!$A$1:$I$89,3,0)*VLOOKUP('Données projet'!$B$15,Paramètres!$A$1:$I$89,5,0)</f>
        <v>294.94740000000024</v>
      </c>
      <c r="EL83" s="13">
        <f t="shared" si="99"/>
        <v>70.116199626215405</v>
      </c>
      <c r="EM83" s="20">
        <f t="shared" si="73"/>
        <v>635.81910268232559</v>
      </c>
      <c r="EN83" s="59">
        <f t="shared" si="74"/>
        <v>929.15243601565885</v>
      </c>
      <c r="EO83" s="59">
        <f ca="1">AVERAGE(OFFSET($EN$3,0,0,'Données projet'!$E$15+1,1))-AVERAGE(OFFSET($H$3,0,0,'Données projet'!$E$15+1,1))</f>
        <v>449.09332781196957</v>
      </c>
      <c r="EP83" s="59">
        <f t="shared" si="100"/>
        <v>324.85904971519432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45.608974358974358</v>
      </c>
      <c r="ES83" s="16">
        <f>IF(ISNA(VLOOKUP(A83,'Données projet'!$A$191:$I$211,5,0)),0%,VLOOKUP(A83,'Données projet'!$A$191:$I$211,5,0)*VLOOKUP('Données projet'!$B$15,Paramètres!$A$1:$I$89,7,0))</f>
        <v>0.30099999999999999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38.976693033741974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38.976693033741974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274.01282051282055</v>
      </c>
      <c r="FC83" s="12">
        <f>VLOOKUP(A83,'Données projet'!$A$217:$I$237,9,0)</f>
        <v>7.8425925925925934</v>
      </c>
      <c r="FD83" s="12">
        <f t="array" ref="FD83">INDEX(FC:FC,MIN(IF(ISNUMBER(FC83:FC279),ROW(FC83:FC279),"")))</f>
        <v>7.8425925925925934</v>
      </c>
      <c r="FE83" s="12">
        <f>IF('Données projet'!$A$218&gt;35,FE82+FD83-FM82,IF(A83&lt;'Données projet'!$A$218,$FB$205^A83,IF(A83='Données projet'!$A$218,'Données projet'!$B$218,FE82+FD83-FM82)))</f>
        <v>274.01282051282072</v>
      </c>
      <c r="FF83" s="17">
        <f>FE83*VLOOKUP('Données projet'!$B$16,Paramètres!$A$1:$I$89,3,0)*VLOOKUP('Données projet'!$B$16,Paramètres!$A$1:$I$89,5,0)</f>
        <v>277.84900000000027</v>
      </c>
      <c r="FG83" s="13">
        <f t="shared" si="101"/>
        <v>66.512236926053845</v>
      </c>
      <c r="FH83" s="20">
        <f t="shared" si="76"/>
        <v>599.76248764621096</v>
      </c>
      <c r="FI83" s="59">
        <f t="shared" si="77"/>
        <v>893.09582097954421</v>
      </c>
      <c r="FJ83" s="59">
        <f ca="1">AVERAGE(OFFSET($FI$3,0,0,'Données projet'!$E$16+1,1))-AVERAGE(OFFSET($H$3,0,0,'Données projet'!$E$16+1,1))</f>
        <v>419.51168383014721</v>
      </c>
      <c r="FK83" s="59">
        <f t="shared" si="102"/>
        <v>213.44145308833384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45.608974358974358</v>
      </c>
      <c r="FN83" s="16">
        <f>IF(ISNA(VLOOKUP(A83,'Données projet'!$A$217:$I$237,5,0)),0%,VLOOKUP(A83,'Données projet'!$A$217:$I$237,5,0)*VLOOKUP('Données projet'!$B$16,Paramètres!$A$1:$I$89,7,0))</f>
        <v>0.30099999999999999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36.717174597003321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36.717174597003321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275</v>
      </c>
      <c r="FX83" s="12">
        <f>VLOOKUP(A83,'Données projet'!$A$243:$I$263,9,0)</f>
        <v>2.8</v>
      </c>
      <c r="FY83" s="12">
        <f t="array" ref="FY83">INDEX(FX:FX,MIN(IF(ISNUMBER(FX83:FX279),ROW(FX83:FX279),"")))</f>
        <v>2.8</v>
      </c>
      <c r="FZ83" s="12">
        <f>IF('Données projet'!$A$244&gt;35,FZ82+FY83-GH82,IF(A83&lt;'Données projet'!$A$244,$FW$205^A83,IF(A83='Données projet'!$A$244,'Données projet'!$B$244,FZ82+FY83-GH82)))</f>
        <v>274.99999999999983</v>
      </c>
      <c r="GA83" s="17">
        <f>FZ83*VLOOKUP('Données projet'!$B$17,Paramètres!$A$1:$I$89,3,0)*VLOOKUP('Données projet'!$B$17,Paramètres!$A$1:$I$89,5,0)</f>
        <v>240.23999999999987</v>
      </c>
      <c r="GB83" s="13">
        <f t="shared" si="103"/>
        <v>58.491164647183084</v>
      </c>
      <c r="GC83" s="20">
        <f t="shared" si="79"/>
        <v>520.29011176051029</v>
      </c>
      <c r="GD83" s="59">
        <f t="shared" si="80"/>
        <v>813.62344509384366</v>
      </c>
      <c r="GE83" s="59">
        <f ca="1">AVERAGE(OFFSET($GD$3,0,0,'Données projet'!$E$17+1,1))-AVERAGE(OFFSET($H$3,0,0,'Données projet'!$E$17+1,1))</f>
        <v>324.86930206492627</v>
      </c>
      <c r="GF83" s="59">
        <f t="shared" si="104"/>
        <v>317.03005098025352</v>
      </c>
      <c r="GG83" s="15">
        <f>IF(ISNA(VLOOKUP(A83,'Données projet'!$A$243:$I$263,3,0)),0,VLOOKUP(A83,'Données projet'!$A$243:$I$263,3,0))</f>
        <v>14</v>
      </c>
      <c r="GH83" s="15">
        <f>IF(ISNA(VLOOKUP(A83,'Données projet'!$A$243:$I$263,4,0)),0,VLOOKUP(A83,'Données projet'!$A$243:$I$263,4,0))</f>
        <v>8</v>
      </c>
      <c r="GI83" s="16">
        <f>IF(ISNA(VLOOKUP(A83,'Données projet'!$A$243:$I$263,5,0)),0%,VLOOKUP(A83,'Données projet'!$A$243:$I$263,5,0)*VLOOKUP('Données projet'!$B$17,Paramètres!$A$1:$I$89,7,0))</f>
        <v>0.46640000000000004</v>
      </c>
      <c r="GJ83" s="16">
        <f>IF(ISNA(VLOOKUP(A83,'Données projet'!$A$243:$I$263,6,0)),0%,VLOOKUP(A83,'Données projet'!$A$243:$I$263,6,0)*VLOOKUP('Données projet'!$B$17,Paramètres!$A$1:$I$89,7,0))</f>
        <v>6.8900000000000003E-2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31.614000724868745</v>
      </c>
      <c r="GM83" s="21">
        <f>EXP(-LN(2)/25)*GM82+(1-EXP(-LN(2)/25))/(LN(2)/25)*Calculateur!GH83*Calculateur!GJ83*VLOOKUP('Données projet'!$B$17,Paramètres!$A$1:$I$89,3,0)*0.475*44/12</f>
        <v>9.1454810202310401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40.759481745099784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274.01282051282055</v>
      </c>
      <c r="GS83" s="12">
        <f>VLOOKUP(A83,'Données projet'!$A$269:$I$289,9,0)</f>
        <v>7.8425925925925934</v>
      </c>
      <c r="GT83" s="12">
        <f t="array" ref="GT83">INDEX(GS:GS,MIN(IF(ISNUMBER(GS83:GS279),ROW(GS83:GS279),"")))</f>
        <v>7.8425925925925934</v>
      </c>
      <c r="GU83" s="12">
        <f>IF('Données projet'!$A$270&gt;35,GU82+GT83-HC82,IF(A83&lt;'Données projet'!$A$270,$GR$205^A83,IF(A83='Données projet'!$A$270,'Données projet'!$B$270,GU82+GT83-HC82)))</f>
        <v>274.01282051282072</v>
      </c>
      <c r="GV83" s="17">
        <f>GU83*VLOOKUP('Données projet'!$B$18,Paramètres!$A$1:$I$89,3,0)*VLOOKUP('Données projet'!$B$18,Paramètres!$A$1:$I$89,5,0)</f>
        <v>260.75060000000019</v>
      </c>
      <c r="GW83" s="13">
        <f t="shared" si="105"/>
        <v>62.882348689943989</v>
      </c>
      <c r="GX83" s="20">
        <f t="shared" si="82"/>
        <v>563.66071896831943</v>
      </c>
      <c r="GY83" s="59">
        <f t="shared" si="83"/>
        <v>856.9940523016528</v>
      </c>
      <c r="GZ83" s="59">
        <f ca="1">AVERAGE(OFFSET($GY$3,0,0,'Données projet'!$E$18+1,1))-AVERAGE(OFFSET($H$3,0,0,'Données projet'!$E$18+1,1))</f>
        <v>401.81944956556271</v>
      </c>
      <c r="HA83" s="59">
        <f t="shared" si="106"/>
        <v>292.20785523952651</v>
      </c>
      <c r="HB83" s="15">
        <f>IF(ISNA(VLOOKUP(A83,'Données projet'!$A$269:$I$289,3,0)),0,VLOOKUP(A83,'Données projet'!$A$269:$I$289,3,0))</f>
        <v>7</v>
      </c>
      <c r="HC83" s="15">
        <f>IF(ISNA(VLOOKUP(A83,'Données projet'!$A$269:$I$289,4,0)),0,VLOOKUP(A83,'Données projet'!$A$269:$I$289,4,0))</f>
        <v>45.608974358974358</v>
      </c>
      <c r="HD83" s="16">
        <f>IF(ISNA(VLOOKUP(A83,'Données projet'!$A$269:$I$289,5,0)),0%,VLOOKUP(A83,'Données projet'!$A$269:$I$289,5,0)*VLOOKUP('Données projet'!$B$18,Paramètres!$A$1:$I$89,7,0))</f>
        <v>0.30099999999999999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34.457656160264648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34.457656160264648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235.89886039886062</v>
      </c>
      <c r="O84" s="13">
        <f>N84*VLOOKUP('Données projet'!$B$9,Paramètres!$A$1:$I$89,3,0)*VLOOKUP('Données projet'!$B$9,Paramètres!$A$1:$I$89,5,0)</f>
        <v>213.44128888888909</v>
      </c>
      <c r="P84" s="13">
        <f t="shared" si="87"/>
        <v>52.686881026481977</v>
      </c>
      <c r="Q84" s="20">
        <f t="shared" si="54"/>
        <v>463.50656260260456</v>
      </c>
      <c r="R84" s="59">
        <f t="shared" si="55"/>
        <v>756.83989593593788</v>
      </c>
      <c r="S84" s="59">
        <f ca="1">AVERAGE(OFFSET($R$3,0,0,'Données projet'!$E$9+1,1))-AVERAGE(OFFSET($H$3,0,0,'Données projet'!$E$9+1,1))</f>
        <v>384.05928630855732</v>
      </c>
      <c r="T84" s="59">
        <f t="shared" si="88"/>
        <v>279.93992813630513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-6.3550942286383367E-14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335.04906256888819</v>
      </c>
      <c r="AO84" s="59">
        <f t="shared" si="90"/>
        <v>440.84111898279554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135.44002047766153</v>
      </c>
      <c r="AV84" s="21">
        <f>EXP(-LN(2)/25)*AV83+(1-EXP(-LN(2)/25))/(LN(2)/25)*Calculateur!AQ84*Calculateur!AS84*VLOOKUP('Données projet'!$B$10,Paramètres!$A$1:$I$89,3,0)*0.475*44/12</f>
        <v>28.01619766928361</v>
      </c>
      <c r="AW84" s="21">
        <f>EXP(-LN(2)/2)*AW83+(1-EXP(-LN(2)/2))/(LN(2)/2)*AQ84*AT84*VLOOKUP('Données projet'!$B$10,Paramètres!$A$1:$I$89,3,0)*0.475*44/12</f>
        <v>4.1700810551895109E-3</v>
      </c>
      <c r="AX84" s="21">
        <f t="shared" si="60"/>
        <v>163.46038822800031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5.9607692307692215</v>
      </c>
      <c r="BD84" s="12">
        <f>IF('Données projet'!$A$88&gt;35,BD83+BC84-BL83,IF(A84&lt;'Données projet'!$A$88,$BA$205^A84,IF(A84='Données projet'!$A$88,'Données projet'!$B$88,BD83+BC84-BL83)))</f>
        <v>375.42846153846131</v>
      </c>
      <c r="BE84" s="13">
        <f>BD84*VLOOKUP('Données projet'!$B$11,Paramètres!$A$1:$I$89,3,0)*VLOOKUP('Données projet'!$B$11,Paramètres!$A$1:$I$89,5,0)</f>
        <v>214.74507999999986</v>
      </c>
      <c r="BF84" s="13">
        <f t="shared" si="91"/>
        <v>52.971152777282462</v>
      </c>
      <c r="BG84" s="20">
        <f t="shared" si="61"/>
        <v>466.27243875376661</v>
      </c>
      <c r="BH84" s="59">
        <f t="shared" si="62"/>
        <v>759.60577208709992</v>
      </c>
      <c r="BI84" s="59">
        <f ca="1">AVERAGE(OFFSET($BH$3,0,0,'Données projet'!$E$11+1,1))-AVERAGE(OFFSET($H$3,0,0,'Données projet'!$E$11+1,1))</f>
        <v>320.76883487964511</v>
      </c>
      <c r="BJ84" s="59">
        <f t="shared" si="92"/>
        <v>290.51177680335746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42.133884380408944</v>
      </c>
      <c r="BQ84" s="21">
        <f>EXP(-LN(2)/25)*BQ83+(1-EXP(-LN(2)/25))/(LN(2)/25)*Calculateur!BL84*Calculateur!BN84*VLOOKUP('Données projet'!$B$11,Paramètres!$A$1:$I$89,3,0)*0.475*44/12</f>
        <v>11.747313984167958</v>
      </c>
      <c r="BR84" s="21">
        <f>EXP(-LN(2)/2)*BR83+(1-EXP(-LN(2)/2))/(LN(2)/2)*BL84*BO84*VLOOKUP('Données projet'!$B$11,Paramètres!$A$1:$I$89,3,0)*0.475*44/12</f>
        <v>1.3212571264102302</v>
      </c>
      <c r="BS84" s="22">
        <f t="shared" si="63"/>
        <v>55.202455490987134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304.99999999999983</v>
      </c>
      <c r="BZ84" s="13">
        <f>BY84*VLOOKUP('Données projet'!$B$12,Paramètres!$A$1:$I$89,3,0)*VLOOKUP('Données projet'!$B$12,Paramètres!$A$1:$I$89,5,0)</f>
        <v>275.96399999999983</v>
      </c>
      <c r="CA84" s="13">
        <f t="shared" si="93"/>
        <v>66.113366665488854</v>
      </c>
      <c r="CB84" s="20">
        <f t="shared" si="64"/>
        <v>595.78474694239264</v>
      </c>
      <c r="CC84" s="59">
        <f t="shared" si="65"/>
        <v>889.11808027572602</v>
      </c>
      <c r="CD84" s="59">
        <f ca="1">AVERAGE(OFFSET($CC$3,0,0,'Données projet'!$E$12+1,1))-AVERAGE(OFFSET($H$3,0,0,'Données projet'!$E$12+1,1))</f>
        <v>366.69125512029831</v>
      </c>
      <c r="CE84" s="59">
        <f t="shared" si="94"/>
        <v>513.80016421153414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0.58866650591150671</v>
      </c>
      <c r="CL84" s="21">
        <f>EXP(-LN(2)/25)*CL83+(1-EXP(-LN(2)/25))/(LN(2)/25)*Calculateur!CG84*Calculateur!CI84*VLOOKUP('Données projet'!$B$12,Paramètres!$A$1:$I$89,3,0)*0.475*44/12</f>
        <v>1.7952789280082968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2.3839454339198034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7.4950142450142421</v>
      </c>
      <c r="CT84" s="12">
        <f>IF('Données projet'!$A$140&gt;35,CT83+CS84-DB83,IF(A84&lt;'Données projet'!$A$140,$CQ$205^A84,IF(A84='Données projet'!$A$140,'Données projet'!$B$140,CT83+CS84-DB83)))</f>
        <v>235.89886039886062</v>
      </c>
      <c r="CU84" s="17">
        <f>CT84*VLOOKUP('Données projet'!$B$13,Paramètres!$A$1:$I$89,3,0)*VLOOKUP('Données projet'!$B$13,Paramètres!$A$1:$I$89,5,0)</f>
        <v>158.2409555555557</v>
      </c>
      <c r="CV84" s="13">
        <f t="shared" si="95"/>
        <v>40.445503111288602</v>
      </c>
      <c r="CW84" s="20">
        <f t="shared" si="67"/>
        <v>346.04558217808716</v>
      </c>
      <c r="CX84" s="59">
        <f t="shared" si="68"/>
        <v>639.37891551142047</v>
      </c>
      <c r="CY84" s="59">
        <f ca="1">AVERAGE(OFFSET($CX$3,0,0,'Données projet'!$E$13+1,1))-AVERAGE(OFFSET($H$3,0,0,'Données projet'!$E$13+1,1))</f>
        <v>294.94331863127815</v>
      </c>
      <c r="CZ84" s="59">
        <f t="shared" si="96"/>
        <v>218.36990036643977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29.351541223328088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29.351541223328088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266.99999999999983</v>
      </c>
      <c r="DP84" s="17">
        <f>DO84*VLOOKUP('Données projet'!$B$14,Paramètres!$A$1:$I$89,3,0)*VLOOKUP('Données projet'!$B$14,Paramètres!$A$1:$I$89,5,0)</f>
        <v>195.76439999999985</v>
      </c>
      <c r="DQ84" s="13">
        <f t="shared" si="97"/>
        <v>48.812154563023455</v>
      </c>
      <c r="DR84" s="20">
        <f t="shared" si="70"/>
        <v>425.9708325305989</v>
      </c>
      <c r="DS84" s="59">
        <f t="shared" si="71"/>
        <v>719.30416586393221</v>
      </c>
      <c r="DT84" s="59">
        <f ca="1">AVERAGE(OFFSET($DS$3,0,0,'Données projet'!$E$14+1,1))-AVERAGE(OFFSET($H$3,0,0,'Données projet'!$E$14+1,1))</f>
        <v>278.45534008146865</v>
      </c>
      <c r="DU84" s="59">
        <f t="shared" si="98"/>
        <v>272.97841038165217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21.104789206570118</v>
      </c>
      <c r="EB84" s="21">
        <f>EXP(-LN(2)/25)*EB83+(1-EXP(-LN(2)/25))/(LN(2)/25)*Calculateur!DW84*Calculateur!DY84*VLOOKUP('Données projet'!$B$14,Paramètres!$A$1:$I$89,3,0)*0.475*44/12</f>
        <v>6.0571422055803197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27.161931412150437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7.4950142450142421</v>
      </c>
      <c r="EJ84" s="12">
        <f>IF('Données projet'!$A$192&gt;35,EJ83+EI84-ER83,IF(A84&lt;'Données projet'!$A$192,$EG$205^A84,IF(A84='Données projet'!$A$192,'Données projet'!$B$192,EJ83+EI84-ER83)))</f>
        <v>235.89886039886062</v>
      </c>
      <c r="EK84" s="17">
        <f>EJ84*VLOOKUP('Données projet'!$B$15,Paramètres!$A$1:$I$89,3,0)*VLOOKUP('Données projet'!$B$15,Paramètres!$A$1:$I$89,5,0)</f>
        <v>253.92153333333357</v>
      </c>
      <c r="EL84" s="13">
        <f t="shared" si="99"/>
        <v>61.424916008407308</v>
      </c>
      <c r="EM84" s="20">
        <f t="shared" si="73"/>
        <v>549.22839927019868</v>
      </c>
      <c r="EN84" s="59">
        <f t="shared" si="74"/>
        <v>842.56173260353194</v>
      </c>
      <c r="EO84" s="59">
        <f ca="1">AVERAGE(OFFSET($EN$3,0,0,'Données projet'!$E$15+1,1))-AVERAGE(OFFSET($H$3,0,0,'Données projet'!$E$15+1,1))</f>
        <v>449.09332781196957</v>
      </c>
      <c r="EP84" s="59">
        <f t="shared" si="100"/>
        <v>324.85904971519432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38.212383856785614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38.212383856785614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7.4950142450142421</v>
      </c>
      <c r="FE84" s="12">
        <f>IF('Données projet'!$A$218&gt;35,FE83+FD84-FM83,IF(A84&lt;'Données projet'!$A$218,$FB$205^A84,IF(A84='Données projet'!$A$218,'Données projet'!$B$218,FE83+FD84-FM83)))</f>
        <v>235.89886039886062</v>
      </c>
      <c r="FF84" s="17">
        <f>FE84*VLOOKUP('Données projet'!$B$16,Paramètres!$A$1:$I$89,3,0)*VLOOKUP('Données projet'!$B$16,Paramètres!$A$1:$I$89,5,0)</f>
        <v>239.20144444444466</v>
      </c>
      <c r="FG84" s="13">
        <f t="shared" si="101"/>
        <v>58.267684051527382</v>
      </c>
      <c r="FH84" s="20">
        <f t="shared" si="76"/>
        <v>518.0920654638179</v>
      </c>
      <c r="FI84" s="59">
        <f t="shared" si="77"/>
        <v>811.42539879715127</v>
      </c>
      <c r="FJ84" s="59">
        <f ca="1">AVERAGE(OFFSET($FI$3,0,0,'Données projet'!$E$16+1,1))-AVERAGE(OFFSET($H$3,0,0,'Données projet'!$E$16+1,1))</f>
        <v>419.51168383014721</v>
      </c>
      <c r="FK84" s="59">
        <f t="shared" si="102"/>
        <v>213.44145308833384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35.997173198421244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35.997173198421244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266.99999999999983</v>
      </c>
      <c r="GA84" s="17">
        <f>FZ84*VLOOKUP('Données projet'!$B$17,Paramètres!$A$1:$I$89,3,0)*VLOOKUP('Données projet'!$B$17,Paramètres!$A$1:$I$89,5,0)</f>
        <v>233.2511999999999</v>
      </c>
      <c r="GB84" s="13">
        <f t="shared" si="103"/>
        <v>56.985091661350864</v>
      </c>
      <c r="GC84" s="20">
        <f t="shared" si="79"/>
        <v>505.49487464351915</v>
      </c>
      <c r="GD84" s="59">
        <f t="shared" si="80"/>
        <v>798.82820797685247</v>
      </c>
      <c r="GE84" s="59">
        <f ca="1">AVERAGE(OFFSET($GD$3,0,0,'Données projet'!$E$17+1,1))-AVERAGE(OFFSET($H$3,0,0,'Données projet'!$E$17+1,1))</f>
        <v>324.86930206492627</v>
      </c>
      <c r="GF84" s="59">
        <f t="shared" si="104"/>
        <v>317.03005098025352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30.994069453290511</v>
      </c>
      <c r="GM84" s="21">
        <f>EXP(-LN(2)/25)*GM83+(1-EXP(-LN(2)/25))/(LN(2)/25)*Calculateur!GH84*Calculateur!GJ84*VLOOKUP('Données projet'!$B$17,Paramètres!$A$1:$I$89,3,0)*0.475*44/12</f>
        <v>8.8953973607928774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39.889466814083391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7.4950142450142421</v>
      </c>
      <c r="GU84" s="12">
        <f>IF('Données projet'!$A$270&gt;35,GU83+GT84-HC83,IF(A84&lt;'Données projet'!$A$270,$GR$205^A84,IF(A84='Données projet'!$A$270,'Données projet'!$B$270,GU83+GT84-HC83)))</f>
        <v>235.89886039886062</v>
      </c>
      <c r="GV84" s="17">
        <f>GU84*VLOOKUP('Données projet'!$B$18,Paramètres!$A$1:$I$89,3,0)*VLOOKUP('Données projet'!$B$18,Paramètres!$A$1:$I$89,5,0)</f>
        <v>224.48135555555575</v>
      </c>
      <c r="GW84" s="13">
        <f t="shared" si="105"/>
        <v>55.087740169634642</v>
      </c>
      <c r="GX84" s="20">
        <f t="shared" si="82"/>
        <v>486.91617505470657</v>
      </c>
      <c r="GY84" s="59">
        <f t="shared" si="83"/>
        <v>780.24950838803989</v>
      </c>
      <c r="GZ84" s="59">
        <f ca="1">AVERAGE(OFFSET($GY$3,0,0,'Données projet'!$E$18+1,1))-AVERAGE(OFFSET($H$3,0,0,'Données projet'!$E$18+1,1))</f>
        <v>401.81944956556271</v>
      </c>
      <c r="HA84" s="59">
        <f t="shared" si="106"/>
        <v>292.20785523952651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33.781962540056853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33.781962540056853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243.39387464387485</v>
      </c>
      <c r="O85" s="13">
        <f>N85*VLOOKUP('Données projet'!$B$9,Paramètres!$A$1:$I$89,3,0)*VLOOKUP('Données projet'!$B$9,Paramètres!$A$1:$I$89,5,0)</f>
        <v>220.22277777777796</v>
      </c>
      <c r="P85" s="13">
        <f t="shared" si="87"/>
        <v>54.163302517364365</v>
      </c>
      <c r="Q85" s="20">
        <f t="shared" si="54"/>
        <v>477.88908984737282</v>
      </c>
      <c r="R85" s="59">
        <f t="shared" si="55"/>
        <v>771.22242318070607</v>
      </c>
      <c r="S85" s="59">
        <f ca="1">AVERAGE(OFFSET($R$3,0,0,'Données projet'!$E$9+1,1))-AVERAGE(OFFSET($H$3,0,0,'Données projet'!$E$9+1,1))</f>
        <v>384.05928630855732</v>
      </c>
      <c r="T85" s="59">
        <f t="shared" si="88"/>
        <v>279.93992813630513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-6.3550942286383367E-14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335.04906256888819</v>
      </c>
      <c r="AO85" s="59">
        <f t="shared" si="90"/>
        <v>440.84111898279554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132.78412428634999</v>
      </c>
      <c r="AV85" s="21">
        <f>EXP(-LN(2)/25)*AV84+(1-EXP(-LN(2)/25))/(LN(2)/25)*Calculateur!AQ85*Calculateur!AS85*VLOOKUP('Données projet'!$B$10,Paramètres!$A$1:$I$89,3,0)*0.475*44/12</f>
        <v>27.250093270709247</v>
      </c>
      <c r="AW85" s="21">
        <f>EXP(-LN(2)/2)*AW84+(1-EXP(-LN(2)/2))/(LN(2)/2)*AQ85*AT85*VLOOKUP('Données projet'!$B$10,Paramètres!$A$1:$I$89,3,0)*0.475*44/12</f>
        <v>2.9486925922220567E-3</v>
      </c>
      <c r="AX85" s="21">
        <f t="shared" si="60"/>
        <v>160.03716624965145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5.9607692307692215</v>
      </c>
      <c r="BD85" s="12">
        <f>IF('Données projet'!$A$88&gt;35,BD84+BC85-BL84,IF(A85&lt;'Données projet'!$A$88,$BA$205^A85,IF(A85='Données projet'!$A$88,'Données projet'!$B$88,BD84+BC85-BL84)))</f>
        <v>381.38923076923055</v>
      </c>
      <c r="BE85" s="13">
        <f>BD85*VLOOKUP('Données projet'!$B$11,Paramètres!$A$1:$I$89,3,0)*VLOOKUP('Données projet'!$B$11,Paramètres!$A$1:$I$89,5,0)</f>
        <v>218.15463999999989</v>
      </c>
      <c r="BF85" s="13">
        <f t="shared" si="91"/>
        <v>53.713609428437721</v>
      </c>
      <c r="BG85" s="20">
        <f t="shared" si="61"/>
        <v>473.50386775452876</v>
      </c>
      <c r="BH85" s="59">
        <f t="shared" si="62"/>
        <v>766.83720108786201</v>
      </c>
      <c r="BI85" s="59">
        <f ca="1">AVERAGE(OFFSET($BH$3,0,0,'Données projet'!$E$11+1,1))-AVERAGE(OFFSET($H$3,0,0,'Données projet'!$E$11+1,1))</f>
        <v>320.76883487964511</v>
      </c>
      <c r="BJ85" s="59">
        <f t="shared" si="92"/>
        <v>290.51177680335746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41.307664606841016</v>
      </c>
      <c r="BQ85" s="21">
        <f>EXP(-LN(2)/25)*BQ84+(1-EXP(-LN(2)/25))/(LN(2)/25)*Calculateur!BL85*Calculateur!BN85*VLOOKUP('Données projet'!$B$11,Paramètres!$A$1:$I$89,3,0)*0.475*44/12</f>
        <v>11.426083065506491</v>
      </c>
      <c r="BR85" s="21">
        <f>EXP(-LN(2)/2)*BR84+(1-EXP(-LN(2)/2))/(LN(2)/2)*BL85*BO85*VLOOKUP('Données projet'!$B$11,Paramètres!$A$1:$I$89,3,0)*0.475*44/12</f>
        <v>0.93426987377572523</v>
      </c>
      <c r="BS85" s="22">
        <f t="shared" si="63"/>
        <v>53.668017546123231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304.99999999999983</v>
      </c>
      <c r="BZ85" s="13">
        <f>BY85*VLOOKUP('Données projet'!$B$12,Paramètres!$A$1:$I$89,3,0)*VLOOKUP('Données projet'!$B$12,Paramètres!$A$1:$I$89,5,0)</f>
        <v>275.96399999999983</v>
      </c>
      <c r="CA85" s="13">
        <f t="shared" si="93"/>
        <v>66.113366665488854</v>
      </c>
      <c r="CB85" s="20">
        <f t="shared" si="64"/>
        <v>595.78474694239264</v>
      </c>
      <c r="CC85" s="59">
        <f t="shared" si="65"/>
        <v>889.11808027572602</v>
      </c>
      <c r="CD85" s="59">
        <f ca="1">AVERAGE(OFFSET($CC$3,0,0,'Données projet'!$E$12+1,1))-AVERAGE(OFFSET($H$3,0,0,'Données projet'!$E$12+1,1))</f>
        <v>366.69125512029831</v>
      </c>
      <c r="CE85" s="59">
        <f t="shared" si="94"/>
        <v>513.80016421153414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0.57712311478169731</v>
      </c>
      <c r="CL85" s="21">
        <f>EXP(-LN(2)/25)*CL84+(1-EXP(-LN(2)/25))/(LN(2)/25)*Calculateur!CG85*Calculateur!CI85*VLOOKUP('Données projet'!$B$12,Paramètres!$A$1:$I$89,3,0)*0.475*44/12</f>
        <v>1.7461869313122942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2.3233100460939915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7.4950142450142421</v>
      </c>
      <c r="CT85" s="12">
        <f>IF('Données projet'!$A$140&gt;35,CT84+CS85-DB84,IF(A85&lt;'Données projet'!$A$140,$CQ$205^A85,IF(A85='Données projet'!$A$140,'Données projet'!$B$140,CT84+CS85-DB84)))</f>
        <v>243.39387464387485</v>
      </c>
      <c r="CU85" s="17">
        <f>CT85*VLOOKUP('Données projet'!$B$13,Paramètres!$A$1:$I$89,3,0)*VLOOKUP('Données projet'!$B$13,Paramètres!$A$1:$I$89,5,0)</f>
        <v>163.26861111111126</v>
      </c>
      <c r="CV85" s="13">
        <f t="shared" si="95"/>
        <v>41.578889807172928</v>
      </c>
      <c r="CW85" s="20">
        <f t="shared" si="67"/>
        <v>356.77606409934492</v>
      </c>
      <c r="CX85" s="59">
        <f t="shared" si="68"/>
        <v>650.10939743267818</v>
      </c>
      <c r="CY85" s="59">
        <f ca="1">AVERAGE(OFFSET($CX$3,0,0,'Données projet'!$E$13+1,1))-AVERAGE(OFFSET($H$3,0,0,'Données projet'!$E$13+1,1))</f>
        <v>294.94331863127815</v>
      </c>
      <c r="CZ85" s="59">
        <f t="shared" si="96"/>
        <v>218.36990036643977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28.775975402611028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28.775975402611028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266.99999999999983</v>
      </c>
      <c r="DP85" s="17">
        <f>DO85*VLOOKUP('Données projet'!$B$14,Paramètres!$A$1:$I$89,3,0)*VLOOKUP('Données projet'!$B$14,Paramètres!$A$1:$I$89,5,0)</f>
        <v>195.76439999999985</v>
      </c>
      <c r="DQ85" s="13">
        <f t="shared" si="97"/>
        <v>48.812154563023455</v>
      </c>
      <c r="DR85" s="20">
        <f t="shared" si="70"/>
        <v>425.9708325305989</v>
      </c>
      <c r="DS85" s="59">
        <f t="shared" si="71"/>
        <v>719.30416586393221</v>
      </c>
      <c r="DT85" s="59">
        <f ca="1">AVERAGE(OFFSET($DS$3,0,0,'Données projet'!$E$14+1,1))-AVERAGE(OFFSET($H$3,0,0,'Données projet'!$E$14+1,1))</f>
        <v>278.45534008146865</v>
      </c>
      <c r="DU85" s="59">
        <f t="shared" si="98"/>
        <v>272.97841038165217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20.690937162879624</v>
      </c>
      <c r="EB85" s="21">
        <f>EXP(-LN(2)/25)*EB84+(1-EXP(-LN(2)/25))/(LN(2)/25)*Calculateur!DW85*Calculateur!DY85*VLOOKUP('Données projet'!$B$14,Paramètres!$A$1:$I$89,3,0)*0.475*44/12</f>
        <v>5.8915093334374609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26.582446496317086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7.4950142450142421</v>
      </c>
      <c r="EJ85" s="12">
        <f>IF('Données projet'!$A$192&gt;35,EJ84+EI85-ER84,IF(A85&lt;'Données projet'!$A$192,$EG$205^A85,IF(A85='Données projet'!$A$192,'Données projet'!$B$192,EJ84+EI85-ER84)))</f>
        <v>243.39387464387485</v>
      </c>
      <c r="EK85" s="17">
        <f>EJ85*VLOOKUP('Données projet'!$B$15,Paramètres!$A$1:$I$89,3,0)*VLOOKUP('Données projet'!$B$15,Paramètres!$A$1:$I$89,5,0)</f>
        <v>261.9891666666669</v>
      </c>
      <c r="EL85" s="13">
        <f t="shared" si="99"/>
        <v>63.146199643034919</v>
      </c>
      <c r="EM85" s="20">
        <f t="shared" si="73"/>
        <v>566.27742965606399</v>
      </c>
      <c r="EN85" s="59">
        <f t="shared" si="74"/>
        <v>859.61076298939724</v>
      </c>
      <c r="EO85" s="59">
        <f ca="1">AVERAGE(OFFSET($EN$3,0,0,'Données projet'!$E$15+1,1))-AVERAGE(OFFSET($H$3,0,0,'Données projet'!$E$15+1,1))</f>
        <v>449.09332781196957</v>
      </c>
      <c r="EP85" s="59">
        <f t="shared" si="100"/>
        <v>324.85904971519432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37.463062316606802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37.463062316606802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7.4950142450142421</v>
      </c>
      <c r="FE85" s="12">
        <f>IF('Données projet'!$A$218&gt;35,FE84+FD85-FM84,IF(A85&lt;'Données projet'!$A$218,$FB$205^A85,IF(A85='Données projet'!$A$218,'Données projet'!$B$218,FE84+FD85-FM84)))</f>
        <v>243.39387464387485</v>
      </c>
      <c r="FF85" s="17">
        <f>FE85*VLOOKUP('Données projet'!$B$16,Paramètres!$A$1:$I$89,3,0)*VLOOKUP('Données projet'!$B$16,Paramètres!$A$1:$I$89,5,0)</f>
        <v>246.80138888888911</v>
      </c>
      <c r="FG85" s="13">
        <f t="shared" si="101"/>
        <v>59.900493951858735</v>
      </c>
      <c r="FH85" s="20">
        <f t="shared" si="76"/>
        <v>534.17244594763577</v>
      </c>
      <c r="FI85" s="59">
        <f t="shared" si="77"/>
        <v>827.50577928096914</v>
      </c>
      <c r="FJ85" s="59">
        <f ca="1">AVERAGE(OFFSET($FI$3,0,0,'Données projet'!$E$16+1,1))-AVERAGE(OFFSET($H$3,0,0,'Données projet'!$E$16+1,1))</f>
        <v>419.51168383014721</v>
      </c>
      <c r="FK85" s="59">
        <f t="shared" si="102"/>
        <v>213.44145308833384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35.29129058810787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35.29129058810787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266.99999999999983</v>
      </c>
      <c r="GA85" s="17">
        <f>FZ85*VLOOKUP('Données projet'!$B$17,Paramètres!$A$1:$I$89,3,0)*VLOOKUP('Données projet'!$B$17,Paramètres!$A$1:$I$89,5,0)</f>
        <v>233.2511999999999</v>
      </c>
      <c r="GB85" s="13">
        <f t="shared" si="103"/>
        <v>56.985091661350864</v>
      </c>
      <c r="GC85" s="20">
        <f t="shared" si="79"/>
        <v>505.49487464351915</v>
      </c>
      <c r="GD85" s="59">
        <f t="shared" si="80"/>
        <v>798.82820797685247</v>
      </c>
      <c r="GE85" s="59">
        <f ca="1">AVERAGE(OFFSET($GD$3,0,0,'Données projet'!$E$17+1,1))-AVERAGE(OFFSET($H$3,0,0,'Données projet'!$E$17+1,1))</f>
        <v>324.86930206492627</v>
      </c>
      <c r="GF85" s="59">
        <f t="shared" si="104"/>
        <v>317.03005098025352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30.386294655827186</v>
      </c>
      <c r="GM85" s="21">
        <f>EXP(-LN(2)/25)*GM84+(1-EXP(-LN(2)/25))/(LN(2)/25)*Calculateur!GH85*Calculateur!GJ85*VLOOKUP('Données projet'!$B$17,Paramètres!$A$1:$I$89,3,0)*0.475*44/12</f>
        <v>8.65215225217338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39.038446908000566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7.4950142450142421</v>
      </c>
      <c r="GU85" s="12">
        <f>IF('Données projet'!$A$270&gt;35,GU84+GT85-HC84,IF(A85&lt;'Données projet'!$A$270,$GR$205^A85,IF(A85='Données projet'!$A$270,'Données projet'!$B$270,GU84+GT85-HC84)))</f>
        <v>243.39387464387485</v>
      </c>
      <c r="GV85" s="17">
        <f>GU85*VLOOKUP('Données projet'!$B$18,Paramètres!$A$1:$I$89,3,0)*VLOOKUP('Données projet'!$B$18,Paramètres!$A$1:$I$89,5,0)</f>
        <v>231.61361111111131</v>
      </c>
      <c r="GW85" s="13">
        <f t="shared" si="105"/>
        <v>56.631439889299457</v>
      </c>
      <c r="GX85" s="20">
        <f t="shared" si="82"/>
        <v>502.02679715904873</v>
      </c>
      <c r="GY85" s="59">
        <f t="shared" si="83"/>
        <v>795.36013049238204</v>
      </c>
      <c r="GZ85" s="59">
        <f ca="1">AVERAGE(OFFSET($GY$3,0,0,'Données projet'!$E$18+1,1))-AVERAGE(OFFSET($H$3,0,0,'Données projet'!$E$18+1,1))</f>
        <v>401.81944956556271</v>
      </c>
      <c r="HA85" s="59">
        <f t="shared" si="106"/>
        <v>292.20785523952651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33.119518859608917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33.119518859608917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250.88888888888908</v>
      </c>
      <c r="O86" s="13">
        <f>N86*VLOOKUP('Données projet'!$B$9,Paramètres!$A$1:$I$89,3,0)*VLOOKUP('Données projet'!$B$9,Paramètres!$A$1:$I$89,5,0)</f>
        <v>227.00426666666684</v>
      </c>
      <c r="P86" s="13">
        <f t="shared" si="87"/>
        <v>55.634440522110118</v>
      </c>
      <c r="Q86" s="20">
        <f t="shared" si="54"/>
        <v>492.26241502045315</v>
      </c>
      <c r="R86" s="59">
        <f t="shared" si="55"/>
        <v>785.59574835378646</v>
      </c>
      <c r="S86" s="59">
        <f ca="1">AVERAGE(OFFSET($R$3,0,0,'Données projet'!$E$9+1,1))-AVERAGE(OFFSET($H$3,0,0,'Données projet'!$E$9+1,1))</f>
        <v>384.05928630855732</v>
      </c>
      <c r="T86" s="59">
        <f t="shared" si="88"/>
        <v>279.93992813630513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-6.3550942286383367E-14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335.04906256888819</v>
      </c>
      <c r="AO86" s="59">
        <f t="shared" si="90"/>
        <v>440.84111898279554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130.18030859941337</v>
      </c>
      <c r="AV86" s="21">
        <f>EXP(-LN(2)/25)*AV85+(1-EXP(-LN(2)/25))/(LN(2)/25)*Calculateur!AQ86*Calculateur!AS86*VLOOKUP('Données projet'!$B$10,Paramètres!$A$1:$I$89,3,0)*0.475*44/12</f>
        <v>26.50493803720158</v>
      </c>
      <c r="AW86" s="21">
        <f>EXP(-LN(2)/2)*AW85+(1-EXP(-LN(2)/2))/(LN(2)/2)*AQ86*AT86*VLOOKUP('Données projet'!$B$10,Paramètres!$A$1:$I$89,3,0)*0.475*44/12</f>
        <v>2.0850405275947555E-3</v>
      </c>
      <c r="AX86" s="21">
        <f t="shared" si="60"/>
        <v>156.68733167714254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5.9607692307692215</v>
      </c>
      <c r="BD86" s="12">
        <f>IF('Données projet'!$A$88&gt;35,BD85+BC86-BL85,IF(A86&lt;'Données projet'!$A$88,$BA$205^A86,IF(A86='Données projet'!$A$88,'Données projet'!$B$88,BD85+BC86-BL85)))</f>
        <v>387.3499999999998</v>
      </c>
      <c r="BE86" s="13">
        <f>BD86*VLOOKUP('Données projet'!$B$11,Paramètres!$A$1:$I$89,3,0)*VLOOKUP('Données projet'!$B$11,Paramètres!$A$1:$I$89,5,0)</f>
        <v>221.56419999999989</v>
      </c>
      <c r="BF86" s="13">
        <f t="shared" si="91"/>
        <v>54.454716552277773</v>
      </c>
      <c r="BG86" s="20">
        <f t="shared" si="61"/>
        <v>480.73294632855033</v>
      </c>
      <c r="BH86" s="59">
        <f t="shared" si="62"/>
        <v>774.06627966188364</v>
      </c>
      <c r="BI86" s="59">
        <f ca="1">AVERAGE(OFFSET($BH$3,0,0,'Données projet'!$E$11+1,1))-AVERAGE(OFFSET($H$3,0,0,'Données projet'!$E$11+1,1))</f>
        <v>320.76883487964511</v>
      </c>
      <c r="BJ86" s="59">
        <f t="shared" si="92"/>
        <v>290.51177680335746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40.497646499088454</v>
      </c>
      <c r="BQ86" s="21">
        <f>EXP(-LN(2)/25)*BQ85+(1-EXP(-LN(2)/25))/(LN(2)/25)*Calculateur!BL86*Calculateur!BN86*VLOOKUP('Données projet'!$B$11,Paramètres!$A$1:$I$89,3,0)*0.475*44/12</f>
        <v>11.113636223208623</v>
      </c>
      <c r="BR86" s="21">
        <f>EXP(-LN(2)/2)*BR85+(1-EXP(-LN(2)/2))/(LN(2)/2)*BL86*BO86*VLOOKUP('Données projet'!$B$11,Paramètres!$A$1:$I$89,3,0)*0.475*44/12</f>
        <v>0.6606285632051152</v>
      </c>
      <c r="BS86" s="22">
        <f t="shared" si="63"/>
        <v>52.271911285502192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304.99999999999983</v>
      </c>
      <c r="BZ86" s="13">
        <f>BY86*VLOOKUP('Données projet'!$B$12,Paramètres!$A$1:$I$89,3,0)*VLOOKUP('Données projet'!$B$12,Paramètres!$A$1:$I$89,5,0)</f>
        <v>275.96399999999983</v>
      </c>
      <c r="CA86" s="13">
        <f t="shared" si="93"/>
        <v>66.113366665488854</v>
      </c>
      <c r="CB86" s="20">
        <f t="shared" si="64"/>
        <v>595.78474694239264</v>
      </c>
      <c r="CC86" s="59">
        <f t="shared" si="65"/>
        <v>889.11808027572602</v>
      </c>
      <c r="CD86" s="59">
        <f ca="1">AVERAGE(OFFSET($CC$3,0,0,'Données projet'!$E$12+1,1))-AVERAGE(OFFSET($H$3,0,0,'Données projet'!$E$12+1,1))</f>
        <v>366.69125512029831</v>
      </c>
      <c r="CE86" s="59">
        <f t="shared" si="94"/>
        <v>513.80016421153414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0.56580608251117015</v>
      </c>
      <c r="CL86" s="21">
        <f>EXP(-LN(2)/25)*CL85+(1-EXP(-LN(2)/25))/(LN(2)/25)*Calculateur!CG86*Calculateur!CI86*VLOOKUP('Données projet'!$B$12,Paramètres!$A$1:$I$89,3,0)*0.475*44/12</f>
        <v>1.6984373578475798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2.2642434403587499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7.4950142450142421</v>
      </c>
      <c r="CT86" s="12">
        <f>IF('Données projet'!$A$140&gt;35,CT85+CS86-DB85,IF(A86&lt;'Données projet'!$A$140,$CQ$205^A86,IF(A86='Données projet'!$A$140,'Données projet'!$B$140,CT85+CS86-DB85)))</f>
        <v>250.88888888888908</v>
      </c>
      <c r="CU86" s="17">
        <f>CT86*VLOOKUP('Données projet'!$B$13,Paramètres!$A$1:$I$89,3,0)*VLOOKUP('Données projet'!$B$13,Paramètres!$A$1:$I$89,5,0)</f>
        <v>168.29626666666681</v>
      </c>
      <c r="CV86" s="13">
        <f t="shared" si="95"/>
        <v>42.708220592917719</v>
      </c>
      <c r="CW86" s="20">
        <f t="shared" si="67"/>
        <v>367.49948197710972</v>
      </c>
      <c r="CX86" s="59">
        <f t="shared" si="68"/>
        <v>660.83281531044304</v>
      </c>
      <c r="CY86" s="59">
        <f ca="1">AVERAGE(OFFSET($CX$3,0,0,'Données projet'!$E$13+1,1))-AVERAGE(OFFSET($H$3,0,0,'Données projet'!$E$13+1,1))</f>
        <v>294.94331863127815</v>
      </c>
      <c r="CZ86" s="59">
        <f t="shared" si="96"/>
        <v>218.36990036643977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28.211696076577745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28.211696076577745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266.99999999999983</v>
      </c>
      <c r="DP86" s="17">
        <f>DO86*VLOOKUP('Données projet'!$B$14,Paramètres!$A$1:$I$89,3,0)*VLOOKUP('Données projet'!$B$14,Paramètres!$A$1:$I$89,5,0)</f>
        <v>195.76439999999985</v>
      </c>
      <c r="DQ86" s="13">
        <f t="shared" si="97"/>
        <v>48.812154563023455</v>
      </c>
      <c r="DR86" s="20">
        <f t="shared" si="70"/>
        <v>425.9708325305989</v>
      </c>
      <c r="DS86" s="59">
        <f t="shared" si="71"/>
        <v>719.30416586393221</v>
      </c>
      <c r="DT86" s="59">
        <f ca="1">AVERAGE(OFFSET($DS$3,0,0,'Données projet'!$E$14+1,1))-AVERAGE(OFFSET($H$3,0,0,'Données projet'!$E$14+1,1))</f>
        <v>278.45534008146865</v>
      </c>
      <c r="DU86" s="59">
        <f t="shared" si="98"/>
        <v>272.97841038165217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20.285200505341081</v>
      </c>
      <c r="EB86" s="21">
        <f>EXP(-LN(2)/25)*EB85+(1-EXP(-LN(2)/25))/(LN(2)/25)*Calculateur!DW86*Calculateur!DY86*VLOOKUP('Données projet'!$B$14,Paramètres!$A$1:$I$89,3,0)*0.475*44/12</f>
        <v>5.7304057008936029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26.015606206234683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7.4950142450142421</v>
      </c>
      <c r="EJ86" s="12">
        <f>IF('Données projet'!$A$192&gt;35,EJ85+EI86-ER85,IF(A86&lt;'Données projet'!$A$192,$EG$205^A86,IF(A86='Données projet'!$A$192,'Données projet'!$B$192,EJ85+EI86-ER85)))</f>
        <v>250.88888888888908</v>
      </c>
      <c r="EK86" s="17">
        <f>EJ86*VLOOKUP('Données projet'!$B$15,Paramètres!$A$1:$I$89,3,0)*VLOOKUP('Données projet'!$B$15,Paramètres!$A$1:$I$89,5,0)</f>
        <v>270.05680000000018</v>
      </c>
      <c r="EL86" s="13">
        <f t="shared" si="99"/>
        <v>64.861323533797474</v>
      </c>
      <c r="EM86" s="20">
        <f t="shared" si="73"/>
        <v>583.31573182136424</v>
      </c>
      <c r="EN86" s="59">
        <f t="shared" si="74"/>
        <v>876.64906515469761</v>
      </c>
      <c r="EO86" s="59">
        <f ca="1">AVERAGE(OFFSET($EN$3,0,0,'Données projet'!$E$15+1,1))-AVERAGE(OFFSET($H$3,0,0,'Données projet'!$E$15+1,1))</f>
        <v>449.09332781196957</v>
      </c>
      <c r="EP86" s="59">
        <f t="shared" si="100"/>
        <v>324.85904971519432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36.728434514789882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36.728434514789882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7.4950142450142421</v>
      </c>
      <c r="FE86" s="12">
        <f>IF('Données projet'!$A$218&gt;35,FE85+FD86-FM85,IF(A86&lt;'Données projet'!$A$218,$FB$205^A86,IF(A86='Données projet'!$A$218,'Données projet'!$B$218,FE85+FD86-FM85)))</f>
        <v>250.88888888888908</v>
      </c>
      <c r="FF86" s="17">
        <f>FE86*VLOOKUP('Données projet'!$B$16,Paramètres!$A$1:$I$89,3,0)*VLOOKUP('Données projet'!$B$16,Paramètres!$A$1:$I$89,5,0)</f>
        <v>254.40133333333353</v>
      </c>
      <c r="FG86" s="13">
        <f t="shared" si="101"/>
        <v>61.527460718284608</v>
      </c>
      <c r="FH86" s="20">
        <f t="shared" si="76"/>
        <v>550.24264963990152</v>
      </c>
      <c r="FI86" s="59">
        <f t="shared" si="77"/>
        <v>843.57598297323489</v>
      </c>
      <c r="FJ86" s="59">
        <f ca="1">AVERAGE(OFFSET($FI$3,0,0,'Données projet'!$E$16+1,1))-AVERAGE(OFFSET($H$3,0,0,'Données projet'!$E$16+1,1))</f>
        <v>419.51168383014721</v>
      </c>
      <c r="FK86" s="59">
        <f t="shared" si="102"/>
        <v>213.44145308833384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34.59924990523686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34.59924990523686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266.99999999999983</v>
      </c>
      <c r="GA86" s="17">
        <f>FZ86*VLOOKUP('Données projet'!$B$17,Paramètres!$A$1:$I$89,3,0)*VLOOKUP('Données projet'!$B$17,Paramètres!$A$1:$I$89,5,0)</f>
        <v>233.2511999999999</v>
      </c>
      <c r="GB86" s="13">
        <f t="shared" si="103"/>
        <v>56.985091661350864</v>
      </c>
      <c r="GC86" s="20">
        <f t="shared" si="79"/>
        <v>505.49487464351915</v>
      </c>
      <c r="GD86" s="59">
        <f t="shared" si="80"/>
        <v>798.82820797685247</v>
      </c>
      <c r="GE86" s="59">
        <f ca="1">AVERAGE(OFFSET($GD$3,0,0,'Données projet'!$E$17+1,1))-AVERAGE(OFFSET($H$3,0,0,'Données projet'!$E$17+1,1))</f>
        <v>324.86930206492627</v>
      </c>
      <c r="GF86" s="59">
        <f t="shared" si="104"/>
        <v>317.03005098025352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29.790437951436093</v>
      </c>
      <c r="GM86" s="21">
        <f>EXP(-LN(2)/25)*GM85+(1-EXP(-LN(2)/25))/(LN(2)/25)*Calculateur!GH86*Calculateur!GJ86*VLOOKUP('Données projet'!$B$17,Paramètres!$A$1:$I$89,3,0)*0.475*44/12</f>
        <v>8.4155586938407865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38.205996645276883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7.4950142450142421</v>
      </c>
      <c r="GU86" s="12">
        <f>IF('Données projet'!$A$270&gt;35,GU85+GT86-HC85,IF(A86&lt;'Données projet'!$A$270,$GR$205^A86,IF(A86='Données projet'!$A$270,'Données projet'!$B$270,GU85+GT86-HC85)))</f>
        <v>250.88888888888908</v>
      </c>
      <c r="GV86" s="17">
        <f>GU86*VLOOKUP('Données projet'!$B$18,Paramètres!$A$1:$I$89,3,0)*VLOOKUP('Données projet'!$B$18,Paramètres!$A$1:$I$89,5,0)</f>
        <v>238.74586666666684</v>
      </c>
      <c r="GW86" s="13">
        <f t="shared" si="105"/>
        <v>58.169615362589944</v>
      </c>
      <c r="GX86" s="20">
        <f t="shared" si="82"/>
        <v>517.12779786762223</v>
      </c>
      <c r="GY86" s="59">
        <f t="shared" si="83"/>
        <v>810.46113120095561</v>
      </c>
      <c r="GZ86" s="59">
        <f ca="1">AVERAGE(OFFSET($GY$3,0,0,'Données projet'!$E$18+1,1))-AVERAGE(OFFSET($H$3,0,0,'Données projet'!$E$18+1,1))</f>
        <v>401.81944956556271</v>
      </c>
      <c r="HA86" s="59">
        <f t="shared" si="106"/>
        <v>292.20785523952651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32.470065295683817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32.470065295683817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258.38390313390335</v>
      </c>
      <c r="O87" s="13">
        <f>N87*VLOOKUP('Données projet'!$B$9,Paramètres!$A$1:$I$89,3,0)*VLOOKUP('Données projet'!$B$9,Paramètres!$A$1:$I$89,5,0)</f>
        <v>233.78575555555574</v>
      </c>
      <c r="P87" s="13">
        <f t="shared" si="87"/>
        <v>57.10047099813341</v>
      </c>
      <c r="Q87" s="20">
        <f t="shared" si="54"/>
        <v>506.62684458100858</v>
      </c>
      <c r="R87" s="59">
        <f t="shared" si="55"/>
        <v>799.9601779143419</v>
      </c>
      <c r="S87" s="59">
        <f ca="1">AVERAGE(OFFSET($R$3,0,0,'Données projet'!$E$9+1,1))-AVERAGE(OFFSET($H$3,0,0,'Données projet'!$E$9+1,1))</f>
        <v>384.05928630855732</v>
      </c>
      <c r="T87" s="59">
        <f t="shared" si="88"/>
        <v>279.93992813630513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-6.3550942286383367E-14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335.04906256888819</v>
      </c>
      <c r="AO87" s="59">
        <f t="shared" si="90"/>
        <v>440.84111898279554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127.6275521499268</v>
      </c>
      <c r="AV87" s="21">
        <f>EXP(-LN(2)/25)*AV86+(1-EXP(-LN(2)/25))/(LN(2)/25)*Calculateur!AQ87*Calculateur!AS87*VLOOKUP('Données projet'!$B$10,Paramètres!$A$1:$I$89,3,0)*0.475*44/12</f>
        <v>25.78015911274019</v>
      </c>
      <c r="AW87" s="21">
        <f>EXP(-LN(2)/2)*AW86+(1-EXP(-LN(2)/2))/(LN(2)/2)*AQ87*AT87*VLOOKUP('Données projet'!$B$10,Paramètres!$A$1:$I$89,3,0)*0.475*44/12</f>
        <v>1.4743462961110284E-3</v>
      </c>
      <c r="AX87" s="21">
        <f t="shared" si="60"/>
        <v>153.4091856089631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5.9607692307692215</v>
      </c>
      <c r="BD87" s="12">
        <f>IF('Données projet'!$A$88&gt;35,BD86+BC87-BL86,IF(A87&lt;'Données projet'!$A$88,$BA$205^A87,IF(A87='Données projet'!$A$88,'Données projet'!$B$88,BD86+BC87-BL86)))</f>
        <v>393.31076923076904</v>
      </c>
      <c r="BE87" s="13">
        <f>BD87*VLOOKUP('Données projet'!$B$11,Paramètres!$A$1:$I$89,3,0)*VLOOKUP('Données projet'!$B$11,Paramètres!$A$1:$I$89,5,0)</f>
        <v>224.97375999999988</v>
      </c>
      <c r="BF87" s="13">
        <f t="shared" si="91"/>
        <v>55.194497314526473</v>
      </c>
      <c r="BG87" s="20">
        <f t="shared" si="61"/>
        <v>487.95971482280015</v>
      </c>
      <c r="BH87" s="59">
        <f t="shared" si="62"/>
        <v>781.29304815613341</v>
      </c>
      <c r="BI87" s="59">
        <f ca="1">AVERAGE(OFFSET($BH$3,0,0,'Données projet'!$E$11+1,1))-AVERAGE(OFFSET($H$3,0,0,'Données projet'!$E$11+1,1))</f>
        <v>320.76883487964511</v>
      </c>
      <c r="BJ87" s="59">
        <f t="shared" si="92"/>
        <v>290.51177680335746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39.703512352366658</v>
      </c>
      <c r="BQ87" s="21">
        <f>EXP(-LN(2)/25)*BQ86+(1-EXP(-LN(2)/25))/(LN(2)/25)*Calculateur!BL87*Calculateur!BN87*VLOOKUP('Données projet'!$B$11,Paramètres!$A$1:$I$89,3,0)*0.475*44/12</f>
        <v>10.809733256244254</v>
      </c>
      <c r="BR87" s="21">
        <f>EXP(-LN(2)/2)*BR86+(1-EXP(-LN(2)/2))/(LN(2)/2)*BL87*BO87*VLOOKUP('Données projet'!$B$11,Paramètres!$A$1:$I$89,3,0)*0.475*44/12</f>
        <v>0.46713493688786273</v>
      </c>
      <c r="BS87" s="22">
        <f t="shared" si="63"/>
        <v>50.980380545498775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304.99999999999983</v>
      </c>
      <c r="BZ87" s="13">
        <f>BY87*VLOOKUP('Données projet'!$B$12,Paramètres!$A$1:$I$89,3,0)*VLOOKUP('Données projet'!$B$12,Paramètres!$A$1:$I$89,5,0)</f>
        <v>275.96399999999983</v>
      </c>
      <c r="CA87" s="13">
        <f t="shared" si="93"/>
        <v>66.113366665488854</v>
      </c>
      <c r="CB87" s="20">
        <f t="shared" si="64"/>
        <v>595.78474694239264</v>
      </c>
      <c r="CC87" s="59">
        <f t="shared" si="65"/>
        <v>889.11808027572602</v>
      </c>
      <c r="CD87" s="59">
        <f ca="1">AVERAGE(OFFSET($CC$3,0,0,'Données projet'!$E$12+1,1))-AVERAGE(OFFSET($H$3,0,0,'Données projet'!$E$12+1,1))</f>
        <v>366.69125512029831</v>
      </c>
      <c r="CE87" s="59">
        <f t="shared" si="94"/>
        <v>513.80016421153414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0.55471097034075989</v>
      </c>
      <c r="CL87" s="21">
        <f>EXP(-LN(2)/25)*CL86+(1-EXP(-LN(2)/25))/(LN(2)/25)*Calculateur!CG87*Calculateur!CI87*VLOOKUP('Données projet'!$B$12,Paramètres!$A$1:$I$89,3,0)*0.475*44/12</f>
        <v>1.6519934989802989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2.2067044693210587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7.4950142450142421</v>
      </c>
      <c r="CT87" s="12">
        <f>IF('Données projet'!$A$140&gt;35,CT86+CS87-DB86,IF(A87&lt;'Données projet'!$A$140,$CQ$205^A87,IF(A87='Données projet'!$A$140,'Données projet'!$B$140,CT86+CS87-DB86)))</f>
        <v>258.38390313390335</v>
      </c>
      <c r="CU87" s="17">
        <f>CT87*VLOOKUP('Données projet'!$B$13,Paramètres!$A$1:$I$89,3,0)*VLOOKUP('Données projet'!$B$13,Paramètres!$A$1:$I$89,5,0)</f>
        <v>173.32392222222236</v>
      </c>
      <c r="CV87" s="13">
        <f t="shared" si="95"/>
        <v>43.833630543630932</v>
      </c>
      <c r="CW87" s="20">
        <f t="shared" si="67"/>
        <v>378.21607106719443</v>
      </c>
      <c r="CX87" s="59">
        <f t="shared" si="68"/>
        <v>671.54940440052769</v>
      </c>
      <c r="CY87" s="59">
        <f ca="1">AVERAGE(OFFSET($CX$3,0,0,'Données projet'!$E$13+1,1))-AVERAGE(OFFSET($H$3,0,0,'Données projet'!$E$13+1,1))</f>
        <v>294.94331863127815</v>
      </c>
      <c r="CZ87" s="59">
        <f t="shared" si="96"/>
        <v>218.36990036643977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27.65848192395157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27.65848192395157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266.99999999999983</v>
      </c>
      <c r="DP87" s="17">
        <f>DO87*VLOOKUP('Données projet'!$B$14,Paramètres!$A$1:$I$89,3,0)*VLOOKUP('Données projet'!$B$14,Paramètres!$A$1:$I$89,5,0)</f>
        <v>195.76439999999985</v>
      </c>
      <c r="DQ87" s="13">
        <f t="shared" si="97"/>
        <v>48.812154563023455</v>
      </c>
      <c r="DR87" s="20">
        <f t="shared" si="70"/>
        <v>425.9708325305989</v>
      </c>
      <c r="DS87" s="59">
        <f t="shared" si="71"/>
        <v>719.30416586393221</v>
      </c>
      <c r="DT87" s="59">
        <f ca="1">AVERAGE(OFFSET($DS$3,0,0,'Données projet'!$E$14+1,1))-AVERAGE(OFFSET($H$3,0,0,'Données projet'!$E$14+1,1))</f>
        <v>278.45534008146865</v>
      </c>
      <c r="DU87" s="59">
        <f t="shared" si="98"/>
        <v>272.97841038165217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19.887420096181941</v>
      </c>
      <c r="EB87" s="21">
        <f>EXP(-LN(2)/25)*EB86+(1-EXP(-LN(2)/25))/(LN(2)/25)*Calculateur!DW87*Calculateur!DY87*VLOOKUP('Données projet'!$B$14,Paramètres!$A$1:$I$89,3,0)*0.475*44/12</f>
        <v>5.5737074556537287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25.46112755183567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7.4950142450142421</v>
      </c>
      <c r="EJ87" s="12">
        <f>IF('Données projet'!$A$192&gt;35,EJ86+EI87-ER86,IF(A87&lt;'Données projet'!$A$192,$EG$205^A87,IF(A87='Données projet'!$A$192,'Données projet'!$B$192,EJ86+EI87-ER86)))</f>
        <v>258.38390313390335</v>
      </c>
      <c r="EK87" s="17">
        <f>EJ87*VLOOKUP('Données projet'!$B$15,Paramètres!$A$1:$I$89,3,0)*VLOOKUP('Données projet'!$B$15,Paramètres!$A$1:$I$89,5,0)</f>
        <v>278.12443333333357</v>
      </c>
      <c r="EL87" s="13">
        <f t="shared" si="99"/>
        <v>66.570492820364976</v>
      </c>
      <c r="EM87" s="20">
        <f t="shared" si="73"/>
        <v>600.34366305102492</v>
      </c>
      <c r="EN87" s="59">
        <f t="shared" si="74"/>
        <v>893.67699638435829</v>
      </c>
      <c r="EO87" s="59">
        <f ca="1">AVERAGE(OFFSET($EN$3,0,0,'Données projet'!$E$15+1,1))-AVERAGE(OFFSET($H$3,0,0,'Données projet'!$E$15+1,1))</f>
        <v>449.09332781196957</v>
      </c>
      <c r="EP87" s="59">
        <f t="shared" si="100"/>
        <v>324.85904971519432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36.008212316087878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36.008212316087878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7.4950142450142421</v>
      </c>
      <c r="FE87" s="12">
        <f>IF('Données projet'!$A$218&gt;35,FE86+FD87-FM86,IF(A87&lt;'Données projet'!$A$218,$FB$205^A87,IF(A87='Données projet'!$A$218,'Données projet'!$B$218,FE86+FD87-FM86)))</f>
        <v>258.38390313390335</v>
      </c>
      <c r="FF87" s="17">
        <f>FE87*VLOOKUP('Données projet'!$B$16,Paramètres!$A$1:$I$89,3,0)*VLOOKUP('Données projet'!$B$16,Paramètres!$A$1:$I$89,5,0)</f>
        <v>262.001277777778</v>
      </c>
      <c r="FG87" s="13">
        <f t="shared" si="101"/>
        <v>63.148778946325088</v>
      </c>
      <c r="FH87" s="20">
        <f t="shared" si="76"/>
        <v>566.30301546114617</v>
      </c>
      <c r="FI87" s="59">
        <f t="shared" si="77"/>
        <v>859.63634879447955</v>
      </c>
      <c r="FJ87" s="59">
        <f ca="1">AVERAGE(OFFSET($FI$3,0,0,'Données projet'!$E$16+1,1))-AVERAGE(OFFSET($H$3,0,0,'Données projet'!$E$16+1,1))</f>
        <v>419.51168383014721</v>
      </c>
      <c r="FK87" s="59">
        <f t="shared" si="102"/>
        <v>213.44145308833384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33.920779718053815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33.920779718053815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266.99999999999983</v>
      </c>
      <c r="GA87" s="17">
        <f>FZ87*VLOOKUP('Données projet'!$B$17,Paramètres!$A$1:$I$89,3,0)*VLOOKUP('Données projet'!$B$17,Paramètres!$A$1:$I$89,5,0)</f>
        <v>233.2511999999999</v>
      </c>
      <c r="GB87" s="13">
        <f t="shared" si="103"/>
        <v>56.985091661350864</v>
      </c>
      <c r="GC87" s="20">
        <f t="shared" si="79"/>
        <v>505.49487464351915</v>
      </c>
      <c r="GD87" s="59">
        <f t="shared" si="80"/>
        <v>798.82820797685247</v>
      </c>
      <c r="GE87" s="59">
        <f ca="1">AVERAGE(OFFSET($GD$3,0,0,'Données projet'!$E$17+1,1))-AVERAGE(OFFSET($H$3,0,0,'Données projet'!$E$17+1,1))</f>
        <v>324.86930206492627</v>
      </c>
      <c r="GF87" s="59">
        <f t="shared" si="104"/>
        <v>317.03005098025352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29.206265633581406</v>
      </c>
      <c r="GM87" s="21">
        <f>EXP(-LN(2)/25)*GM86+(1-EXP(-LN(2)/25))/(LN(2)/25)*Calculateur!GH87*Calculateur!GJ87*VLOOKUP('Données projet'!$B$17,Paramètres!$A$1:$I$89,3,0)*0.475*44/12</f>
        <v>8.1854347988027119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37.39170043238412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7.4950142450142421</v>
      </c>
      <c r="GU87" s="12">
        <f>IF('Données projet'!$A$270&gt;35,GU86+GT87-HC86,IF(A87&lt;'Données projet'!$A$270,$GR$205^A87,IF(A87='Données projet'!$A$270,'Données projet'!$B$270,GU86+GT87-HC86)))</f>
        <v>258.38390313390335</v>
      </c>
      <c r="GV87" s="17">
        <f>GU87*VLOOKUP('Données projet'!$B$18,Paramètres!$A$1:$I$89,3,0)*VLOOKUP('Données projet'!$B$18,Paramètres!$A$1:$I$89,5,0)</f>
        <v>245.87812222222243</v>
      </c>
      <c r="GW87" s="13">
        <f t="shared" si="105"/>
        <v>59.702450565025714</v>
      </c>
      <c r="GX87" s="20">
        <f t="shared" si="82"/>
        <v>532.21949760445716</v>
      </c>
      <c r="GY87" s="59">
        <f t="shared" si="83"/>
        <v>825.55283093779053</v>
      </c>
      <c r="GZ87" s="59">
        <f ca="1">AVERAGE(OFFSET($GY$3,0,0,'Données projet'!$E$18+1,1))-AVERAGE(OFFSET($H$3,0,0,'Données projet'!$E$18+1,1))</f>
        <v>401.81944956556271</v>
      </c>
      <c r="HA87" s="59">
        <f t="shared" si="106"/>
        <v>292.20785523952651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31.833347120019727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31.833347120019727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265.87891737891761</v>
      </c>
      <c r="O88" s="13">
        <f>N88*VLOOKUP('Données projet'!$B$9,Paramètres!$A$1:$I$89,3,0)*VLOOKUP('Données projet'!$B$9,Paramètres!$A$1:$I$89,5,0)</f>
        <v>240.56724444444464</v>
      </c>
      <c r="P88" s="13">
        <f t="shared" si="87"/>
        <v>58.5615591142816</v>
      </c>
      <c r="Q88" s="20">
        <f t="shared" si="54"/>
        <v>520.98266619811488</v>
      </c>
      <c r="R88" s="59">
        <f t="shared" si="55"/>
        <v>814.31599953144814</v>
      </c>
      <c r="S88" s="59">
        <f ca="1">AVERAGE(OFFSET($R$3,0,0,'Données projet'!$E$9+1,1))-AVERAGE(OFFSET($H$3,0,0,'Données projet'!$E$9+1,1))</f>
        <v>384.05928630855732</v>
      </c>
      <c r="T88" s="59">
        <f t="shared" si="88"/>
        <v>279.93992813630513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-6.3550942286383367E-14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335.04906256888819</v>
      </c>
      <c r="AO88" s="59">
        <f t="shared" si="90"/>
        <v>440.84111898279554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125.12485369738698</v>
      </c>
      <c r="AV88" s="21">
        <f>EXP(-LN(2)/25)*AV87+(1-EXP(-LN(2)/25))/(LN(2)/25)*Calculateur!AQ88*Calculateur!AS88*VLOOKUP('Données projet'!$B$10,Paramètres!$A$1:$I$89,3,0)*0.475*44/12</f>
        <v>25.075199306082663</v>
      </c>
      <c r="AW88" s="21">
        <f>EXP(-LN(2)/2)*AW87+(1-EXP(-LN(2)/2))/(LN(2)/2)*AQ88*AT88*VLOOKUP('Données projet'!$B$10,Paramètres!$A$1:$I$89,3,0)*0.475*44/12</f>
        <v>1.0425202637973777E-3</v>
      </c>
      <c r="AX88" s="21">
        <f t="shared" si="60"/>
        <v>150.20109552373344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5.9607692307692215</v>
      </c>
      <c r="BD88" s="12">
        <f>IF('Données projet'!$A$88&gt;35,BD87+BC88-BL87,IF(A88&lt;'Données projet'!$A$88,$BA$205^A88,IF(A88='Données projet'!$A$88,'Données projet'!$B$88,BD87+BC88-BL87)))</f>
        <v>399.27153846153828</v>
      </c>
      <c r="BE88" s="13">
        <f>BD88*VLOOKUP('Données projet'!$B$11,Paramètres!$A$1:$I$89,3,0)*VLOOKUP('Données projet'!$B$11,Paramètres!$A$1:$I$89,5,0)</f>
        <v>228.38331999999988</v>
      </c>
      <c r="BF88" s="13">
        <f t="shared" si="91"/>
        <v>55.932974138441338</v>
      </c>
      <c r="BG88" s="20">
        <f t="shared" si="61"/>
        <v>495.18421229111846</v>
      </c>
      <c r="BH88" s="59">
        <f t="shared" si="62"/>
        <v>788.51754562445171</v>
      </c>
      <c r="BI88" s="59">
        <f ca="1">AVERAGE(OFFSET($BH$3,0,0,'Données projet'!$E$11+1,1))-AVERAGE(OFFSET($H$3,0,0,'Données projet'!$E$11+1,1))</f>
        <v>320.76883487964511</v>
      </c>
      <c r="BJ88" s="59">
        <f t="shared" si="92"/>
        <v>290.51177680335746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38.924950691888078</v>
      </c>
      <c r="BQ88" s="21">
        <f>EXP(-LN(2)/25)*BQ87+(1-EXP(-LN(2)/25))/(LN(2)/25)*Calculateur!BL88*Calculateur!BN88*VLOOKUP('Données projet'!$B$11,Paramètres!$A$1:$I$89,3,0)*0.475*44/12</f>
        <v>10.514140531893089</v>
      </c>
      <c r="BR88" s="21">
        <f>EXP(-LN(2)/2)*BR87+(1-EXP(-LN(2)/2))/(LN(2)/2)*BL88*BO88*VLOOKUP('Données projet'!$B$11,Paramètres!$A$1:$I$89,3,0)*0.475*44/12</f>
        <v>0.33031428160255766</v>
      </c>
      <c r="BS88" s="22">
        <f t="shared" si="63"/>
        <v>49.769405505383723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304.99999999999983</v>
      </c>
      <c r="BZ88" s="13">
        <f>BY88*VLOOKUP('Données projet'!$B$12,Paramètres!$A$1:$I$89,3,0)*VLOOKUP('Données projet'!$B$12,Paramètres!$A$1:$I$89,5,0)</f>
        <v>275.96399999999983</v>
      </c>
      <c r="CA88" s="13">
        <f t="shared" si="93"/>
        <v>66.113366665488854</v>
      </c>
      <c r="CB88" s="20">
        <f t="shared" si="64"/>
        <v>595.78474694239264</v>
      </c>
      <c r="CC88" s="59">
        <f t="shared" si="65"/>
        <v>889.11808027572602</v>
      </c>
      <c r="CD88" s="59">
        <f ca="1">AVERAGE(OFFSET($CC$3,0,0,'Données projet'!$E$12+1,1))-AVERAGE(OFFSET($H$3,0,0,'Données projet'!$E$12+1,1))</f>
        <v>366.69125512029831</v>
      </c>
      <c r="CE88" s="59">
        <f t="shared" si="94"/>
        <v>513.80016421153414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0.5438334265526612</v>
      </c>
      <c r="CL88" s="21">
        <f>EXP(-LN(2)/25)*CL87+(1-EXP(-LN(2)/25))/(LN(2)/25)*Calculateur!CG88*Calculateur!CI88*VLOOKUP('Données projet'!$B$12,Paramètres!$A$1:$I$89,3,0)*0.475*44/12</f>
        <v>1.6068196498761202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2.1506530764287817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7.4950142450142421</v>
      </c>
      <c r="CT88" s="12">
        <f>IF('Données projet'!$A$140&gt;35,CT87+CS88-DB87,IF(A88&lt;'Données projet'!$A$140,$CQ$205^A88,IF(A88='Données projet'!$A$140,'Données projet'!$B$140,CT87+CS88-DB87)))</f>
        <v>265.87891737891761</v>
      </c>
      <c r="CU88" s="17">
        <f>CT88*VLOOKUP('Données projet'!$B$13,Paramètres!$A$1:$I$89,3,0)*VLOOKUP('Données projet'!$B$13,Paramètres!$A$1:$I$89,5,0)</f>
        <v>178.35157777777795</v>
      </c>
      <c r="CV88" s="13">
        <f t="shared" si="95"/>
        <v>44.955246452491394</v>
      </c>
      <c r="CW88" s="20">
        <f t="shared" si="67"/>
        <v>388.92605220105247</v>
      </c>
      <c r="CX88" s="59">
        <f t="shared" si="68"/>
        <v>682.25938553438573</v>
      </c>
      <c r="CY88" s="59">
        <f ca="1">AVERAGE(OFFSET($CX$3,0,0,'Données projet'!$E$13+1,1))-AVERAGE(OFFSET($H$3,0,0,'Données projet'!$E$13+1,1))</f>
        <v>294.94331863127815</v>
      </c>
      <c r="CZ88" s="59">
        <f t="shared" si="96"/>
        <v>218.36990036643977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27.116115963431078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27.116115963431078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266.99999999999983</v>
      </c>
      <c r="DP88" s="17">
        <f>DO88*VLOOKUP('Données projet'!$B$14,Paramètres!$A$1:$I$89,3,0)*VLOOKUP('Données projet'!$B$14,Paramètres!$A$1:$I$89,5,0)</f>
        <v>195.76439999999985</v>
      </c>
      <c r="DQ88" s="13">
        <f t="shared" si="97"/>
        <v>48.812154563023455</v>
      </c>
      <c r="DR88" s="20">
        <f t="shared" si="70"/>
        <v>425.9708325305989</v>
      </c>
      <c r="DS88" s="59">
        <f t="shared" si="71"/>
        <v>719.30416586393221</v>
      </c>
      <c r="DT88" s="59">
        <f ca="1">AVERAGE(OFFSET($DS$3,0,0,'Données projet'!$E$14+1,1))-AVERAGE(OFFSET($H$3,0,0,'Données projet'!$E$14+1,1))</f>
        <v>278.45534008146865</v>
      </c>
      <c r="DU88" s="59">
        <f t="shared" si="98"/>
        <v>272.97841038165217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19.49743991822432</v>
      </c>
      <c r="EB88" s="21">
        <f>EXP(-LN(2)/25)*EB87+(1-EXP(-LN(2)/25))/(LN(2)/25)*Calculateur!DW88*Calculateur!DY88*VLOOKUP('Données projet'!$B$14,Paramètres!$A$1:$I$89,3,0)*0.475*44/12</f>
        <v>5.421294132170341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24.918734050394661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7.4950142450142421</v>
      </c>
      <c r="EJ88" s="12">
        <f>IF('Données projet'!$A$192&gt;35,EJ87+EI88-ER87,IF(A88&lt;'Données projet'!$A$192,$EG$205^A88,IF(A88='Données projet'!$A$192,'Données projet'!$B$192,EJ87+EI88-ER87)))</f>
        <v>265.87891737891761</v>
      </c>
      <c r="EK88" s="17">
        <f>EJ88*VLOOKUP('Données projet'!$B$15,Paramètres!$A$1:$I$89,3,0)*VLOOKUP('Données projet'!$B$15,Paramètres!$A$1:$I$89,5,0)</f>
        <v>286.1920666666669</v>
      </c>
      <c r="EL88" s="13">
        <f t="shared" si="99"/>
        <v>68.273900064573937</v>
      </c>
      <c r="EM88" s="20">
        <f t="shared" si="73"/>
        <v>617.36155872357779</v>
      </c>
      <c r="EN88" s="59">
        <f t="shared" si="74"/>
        <v>910.69489205691116</v>
      </c>
      <c r="EO88" s="59">
        <f ca="1">AVERAGE(OFFSET($EN$3,0,0,'Données projet'!$E$15+1,1))-AVERAGE(OFFSET($H$3,0,0,'Données projet'!$E$15+1,1))</f>
        <v>449.09332781196957</v>
      </c>
      <c r="EP88" s="59">
        <f t="shared" si="100"/>
        <v>324.85904971519432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35.30211323541026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35.30211323541026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7.4950142450142421</v>
      </c>
      <c r="FE88" s="12">
        <f>IF('Données projet'!$A$218&gt;35,FE87+FD88-FM87,IF(A88&lt;'Données projet'!$A$218,$FB$205^A88,IF(A88='Données projet'!$A$218,'Données projet'!$B$218,FE87+FD88-FM87)))</f>
        <v>265.87891737891761</v>
      </c>
      <c r="FF88" s="17">
        <f>FE88*VLOOKUP('Données projet'!$B$16,Paramètres!$A$1:$I$89,3,0)*VLOOKUP('Données projet'!$B$16,Paramètres!$A$1:$I$89,5,0)</f>
        <v>269.60122222222248</v>
      </c>
      <c r="FG88" s="13">
        <f t="shared" si="101"/>
        <v>64.764631300165817</v>
      </c>
      <c r="FH88" s="20">
        <f t="shared" si="76"/>
        <v>582.35386155149297</v>
      </c>
      <c r="FI88" s="59">
        <f t="shared" si="77"/>
        <v>875.68719488482634</v>
      </c>
      <c r="FJ88" s="59">
        <f ca="1">AVERAGE(OFFSET($FI$3,0,0,'Données projet'!$E$16+1,1))-AVERAGE(OFFSET($H$3,0,0,'Données projet'!$E$16+1,1))</f>
        <v>419.51168383014721</v>
      </c>
      <c r="FK88" s="59">
        <f t="shared" si="102"/>
        <v>213.44145308833384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33.255613917415474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33.255613917415474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266.99999999999983</v>
      </c>
      <c r="GA88" s="17">
        <f>FZ88*VLOOKUP('Données projet'!$B$17,Paramètres!$A$1:$I$89,3,0)*VLOOKUP('Données projet'!$B$17,Paramètres!$A$1:$I$89,5,0)</f>
        <v>233.2511999999999</v>
      </c>
      <c r="GB88" s="13">
        <f t="shared" si="103"/>
        <v>56.985091661350864</v>
      </c>
      <c r="GC88" s="20">
        <f t="shared" si="79"/>
        <v>505.49487464351915</v>
      </c>
      <c r="GD88" s="59">
        <f t="shared" si="80"/>
        <v>798.82820797685247</v>
      </c>
      <c r="GE88" s="59">
        <f ca="1">AVERAGE(OFFSET($GD$3,0,0,'Données projet'!$E$17+1,1))-AVERAGE(OFFSET($H$3,0,0,'Données projet'!$E$17+1,1))</f>
        <v>324.86930206492627</v>
      </c>
      <c r="GF88" s="59">
        <f t="shared" si="104"/>
        <v>317.03005098025352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28.633548578569918</v>
      </c>
      <c r="GM88" s="21">
        <f>EXP(-LN(2)/25)*GM87+(1-EXP(-LN(2)/25))/(LN(2)/25)*Calculateur!GH88*Calculateur!GJ88*VLOOKUP('Données projet'!$B$17,Paramètres!$A$1:$I$89,3,0)*0.475*44/12</f>
        <v>7.9616036537761437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36.595152232346059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7.4950142450142421</v>
      </c>
      <c r="GU88" s="12">
        <f>IF('Données projet'!$A$270&gt;35,GU87+GT88-HC87,IF(A88&lt;'Données projet'!$A$270,$GR$205^A88,IF(A88='Données projet'!$A$270,'Données projet'!$B$270,GU87+GT88-HC87)))</f>
        <v>265.87891737891761</v>
      </c>
      <c r="GV88" s="17">
        <f>GU88*VLOOKUP('Données projet'!$B$18,Paramètres!$A$1:$I$89,3,0)*VLOOKUP('Données projet'!$B$18,Paramètres!$A$1:$I$89,5,0)</f>
        <v>253.01037777777799</v>
      </c>
      <c r="GW88" s="13">
        <f t="shared" si="105"/>
        <v>61.230118191941415</v>
      </c>
      <c r="GX88" s="20">
        <f t="shared" si="82"/>
        <v>547.30219714726127</v>
      </c>
      <c r="GY88" s="59">
        <f t="shared" si="83"/>
        <v>840.63553048059453</v>
      </c>
      <c r="GZ88" s="59">
        <f ca="1">AVERAGE(OFFSET($GY$3,0,0,'Données projet'!$E$18+1,1))-AVERAGE(OFFSET($H$3,0,0,'Données projet'!$E$18+1,1))</f>
        <v>401.81944956556271</v>
      </c>
      <c r="HA88" s="59">
        <f t="shared" si="106"/>
        <v>292.20785523952651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31.209114599420673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31.209114599420673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273.37393162393187</v>
      </c>
      <c r="O89" s="13">
        <f>N89*VLOOKUP('Données projet'!$B$9,Paramètres!$A$1:$I$89,3,0)*VLOOKUP('Données projet'!$B$9,Paramètres!$A$1:$I$89,5,0)</f>
        <v>247.34873333333351</v>
      </c>
      <c r="P89" s="13">
        <f t="shared" si="87"/>
        <v>60.017860197565874</v>
      </c>
      <c r="Q89" s="20">
        <f t="shared" si="54"/>
        <v>535.33015039964971</v>
      </c>
      <c r="R89" s="59">
        <f t="shared" si="55"/>
        <v>828.66348373298297</v>
      </c>
      <c r="S89" s="59">
        <f ca="1">AVERAGE(OFFSET($R$3,0,0,'Données projet'!$E$9+1,1))-AVERAGE(OFFSET($H$3,0,0,'Données projet'!$E$9+1,1))</f>
        <v>384.05928630855732</v>
      </c>
      <c r="T89" s="59">
        <f t="shared" si="88"/>
        <v>279.93992813630513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-6.3550942286383367E-14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335.04906256888819</v>
      </c>
      <c r="AO89" s="59">
        <f t="shared" si="90"/>
        <v>440.84111898279554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122.67123163500614</v>
      </c>
      <c r="AV89" s="21">
        <f>EXP(-LN(2)/25)*AV88+(1-EXP(-LN(2)/25))/(LN(2)/25)*Calculateur!AQ89*Calculateur!AS89*VLOOKUP('Données projet'!$B$10,Paramètres!$A$1:$I$89,3,0)*0.475*44/12</f>
        <v>24.389516662410411</v>
      </c>
      <c r="AW89" s="21">
        <f>EXP(-LN(2)/2)*AW88+(1-EXP(-LN(2)/2))/(LN(2)/2)*AQ89*AT89*VLOOKUP('Données projet'!$B$10,Paramètres!$A$1:$I$89,3,0)*0.475*44/12</f>
        <v>7.3717314805551418E-4</v>
      </c>
      <c r="AX89" s="21">
        <f t="shared" si="60"/>
        <v>147.06148547056461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5.9607692307692215</v>
      </c>
      <c r="BD89" s="12">
        <f>IF('Données projet'!$A$88&gt;35,BD88+BC89-BL88,IF(A89&lt;'Données projet'!$A$88,$BA$205^A89,IF(A89='Données projet'!$A$88,'Données projet'!$B$88,BD88+BC89-BL88)))</f>
        <v>405.23230769230753</v>
      </c>
      <c r="BE89" s="13">
        <f>BD89*VLOOKUP('Données projet'!$B$11,Paramètres!$A$1:$I$89,3,0)*VLOOKUP('Données projet'!$B$11,Paramètres!$A$1:$I$89,5,0)</f>
        <v>231.79287999999994</v>
      </c>
      <c r="BF89" s="13">
        <f t="shared" si="91"/>
        <v>56.670168739332162</v>
      </c>
      <c r="BG89" s="20">
        <f t="shared" si="61"/>
        <v>502.40647655433673</v>
      </c>
      <c r="BH89" s="59">
        <f t="shared" si="62"/>
        <v>795.73980988767005</v>
      </c>
      <c r="BI89" s="59">
        <f ca="1">AVERAGE(OFFSET($BH$3,0,0,'Données projet'!$E$11+1,1))-AVERAGE(OFFSET($H$3,0,0,'Données projet'!$E$11+1,1))</f>
        <v>320.76883487964511</v>
      </c>
      <c r="BJ89" s="59">
        <f t="shared" si="92"/>
        <v>290.51177680335746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38.161656150695762</v>
      </c>
      <c r="BQ89" s="21">
        <f>EXP(-LN(2)/25)*BQ88+(1-EXP(-LN(2)/25))/(LN(2)/25)*Calculateur!BL89*Calculateur!BN89*VLOOKUP('Données projet'!$B$11,Paramètres!$A$1:$I$89,3,0)*0.475*44/12</f>
        <v>10.226630806133853</v>
      </c>
      <c r="BR89" s="21">
        <f>EXP(-LN(2)/2)*BR88+(1-EXP(-LN(2)/2))/(LN(2)/2)*BL89*BO89*VLOOKUP('Données projet'!$B$11,Paramètres!$A$1:$I$89,3,0)*0.475*44/12</f>
        <v>0.23356746844393139</v>
      </c>
      <c r="BS89" s="22">
        <f t="shared" si="63"/>
        <v>48.621854425273547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304.99999999999983</v>
      </c>
      <c r="BZ89" s="13">
        <f>BY89*VLOOKUP('Données projet'!$B$12,Paramètres!$A$1:$I$89,3,0)*VLOOKUP('Données projet'!$B$12,Paramètres!$A$1:$I$89,5,0)</f>
        <v>275.96399999999983</v>
      </c>
      <c r="CA89" s="13">
        <f t="shared" si="93"/>
        <v>66.113366665488854</v>
      </c>
      <c r="CB89" s="20">
        <f t="shared" si="64"/>
        <v>595.78474694239264</v>
      </c>
      <c r="CC89" s="59">
        <f t="shared" si="65"/>
        <v>889.11808027572602</v>
      </c>
      <c r="CD89" s="59">
        <f ca="1">AVERAGE(OFFSET($CC$3,0,0,'Données projet'!$E$12+1,1))-AVERAGE(OFFSET($H$3,0,0,'Données projet'!$E$12+1,1))</f>
        <v>366.69125512029831</v>
      </c>
      <c r="CE89" s="59">
        <f t="shared" si="94"/>
        <v>513.80016421153414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0.53316918476360053</v>
      </c>
      <c r="CL89" s="21">
        <f>EXP(-LN(2)/25)*CL88+(1-EXP(-LN(2)/25))/(LN(2)/25)*Calculateur!CG89*Calculateur!CI89*VLOOKUP('Données projet'!$B$12,Paramètres!$A$1:$I$89,3,0)*0.475*44/12</f>
        <v>1.5628810820512848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2.0960502668148853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7.4950142450142421</v>
      </c>
      <c r="CT89" s="12">
        <f>IF('Données projet'!$A$140&gt;35,CT88+CS89-DB88,IF(A89&lt;'Données projet'!$A$140,$CQ$205^A89,IF(A89='Données projet'!$A$140,'Données projet'!$B$140,CT88+CS89-DB88)))</f>
        <v>273.37393162393187</v>
      </c>
      <c r="CU89" s="17">
        <f>CT89*VLOOKUP('Données projet'!$B$13,Paramètres!$A$1:$I$89,3,0)*VLOOKUP('Données projet'!$B$13,Paramètres!$A$1:$I$89,5,0)</f>
        <v>183.3792333333335</v>
      </c>
      <c r="CV89" s="13">
        <f t="shared" si="95"/>
        <v>46.073187557514139</v>
      </c>
      <c r="CW89" s="20">
        <f t="shared" si="67"/>
        <v>399.62963305155955</v>
      </c>
      <c r="CX89" s="59">
        <f t="shared" si="68"/>
        <v>692.96296638489287</v>
      </c>
      <c r="CY89" s="59">
        <f ca="1">AVERAGE(OFFSET($CX$3,0,0,'Données projet'!$E$13+1,1))-AVERAGE(OFFSET($H$3,0,0,'Données projet'!$E$13+1,1))</f>
        <v>294.94331863127815</v>
      </c>
      <c r="CZ89" s="59">
        <f t="shared" si="96"/>
        <v>218.36990036643977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26.584385468585822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26.584385468585822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266.99999999999983</v>
      </c>
      <c r="DP89" s="17">
        <f>DO89*VLOOKUP('Données projet'!$B$14,Paramètres!$A$1:$I$89,3,0)*VLOOKUP('Données projet'!$B$14,Paramètres!$A$1:$I$89,5,0)</f>
        <v>195.76439999999985</v>
      </c>
      <c r="DQ89" s="13">
        <f t="shared" si="97"/>
        <v>48.812154563023455</v>
      </c>
      <c r="DR89" s="20">
        <f t="shared" si="70"/>
        <v>425.9708325305989</v>
      </c>
      <c r="DS89" s="59">
        <f t="shared" si="71"/>
        <v>719.30416586393221</v>
      </c>
      <c r="DT89" s="59">
        <f ca="1">AVERAGE(OFFSET($DS$3,0,0,'Données projet'!$E$14+1,1))-AVERAGE(OFFSET($H$3,0,0,'Données projet'!$E$14+1,1))</f>
        <v>278.45534008146865</v>
      </c>
      <c r="DU89" s="59">
        <f t="shared" si="98"/>
        <v>272.97841038165217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19.115107013692029</v>
      </c>
      <c r="EB89" s="21">
        <f>EXP(-LN(2)/25)*EB88+(1-EXP(-LN(2)/25))/(LN(2)/25)*Calculateur!DW89*Calculateur!DY89*VLOOKUP('Données projet'!$B$14,Paramètres!$A$1:$I$89,3,0)*0.475*44/12</f>
        <v>5.2730485590326754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24.388155572724706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7.4950142450142421</v>
      </c>
      <c r="EJ89" s="12">
        <f>IF('Données projet'!$A$192&gt;35,EJ88+EI89-ER88,IF(A89&lt;'Données projet'!$A$192,$EG$205^A89,IF(A89='Données projet'!$A$192,'Données projet'!$B$192,EJ88+EI89-ER88)))</f>
        <v>273.37393162393187</v>
      </c>
      <c r="EK89" s="17">
        <f>EJ89*VLOOKUP('Données projet'!$B$15,Paramètres!$A$1:$I$89,3,0)*VLOOKUP('Données projet'!$B$15,Paramètres!$A$1:$I$89,5,0)</f>
        <v>294.25970000000024</v>
      </c>
      <c r="EL89" s="13">
        <f t="shared" si="99"/>
        <v>69.971726354172048</v>
      </c>
      <c r="EM89" s="20">
        <f t="shared" si="73"/>
        <v>634.36973423351674</v>
      </c>
      <c r="EN89" s="59">
        <f t="shared" si="74"/>
        <v>927.70306756685</v>
      </c>
      <c r="EO89" s="59">
        <f ca="1">AVERAGE(OFFSET($EN$3,0,0,'Données projet'!$E$15+1,1))-AVERAGE(OFFSET($H$3,0,0,'Données projet'!$E$15+1,1))</f>
        <v>449.09332781196957</v>
      </c>
      <c r="EP89" s="59">
        <f t="shared" si="100"/>
        <v>324.85904971519432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34.609860327026816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34.609860327026816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7.4950142450142421</v>
      </c>
      <c r="FE89" s="12">
        <f>IF('Données projet'!$A$218&gt;35,FE88+FD89-FM88,IF(A89&lt;'Données projet'!$A$218,$FB$205^A89,IF(A89='Données projet'!$A$218,'Données projet'!$B$218,FE88+FD89-FM88)))</f>
        <v>273.37393162393187</v>
      </c>
      <c r="FF89" s="17">
        <f>FE89*VLOOKUP('Données projet'!$B$16,Paramètres!$A$1:$I$89,3,0)*VLOOKUP('Données projet'!$B$16,Paramètres!$A$1:$I$89,5,0)</f>
        <v>277.20116666666695</v>
      </c>
      <c r="FG89" s="13">
        <f t="shared" si="101"/>
        <v>66.37518955966982</v>
      </c>
      <c r="FH89" s="20">
        <f t="shared" si="76"/>
        <v>598.39548709420319</v>
      </c>
      <c r="FI89" s="59">
        <f t="shared" si="77"/>
        <v>891.72882042753645</v>
      </c>
      <c r="FJ89" s="59">
        <f ca="1">AVERAGE(OFFSET($FI$3,0,0,'Données projet'!$E$16+1,1))-AVERAGE(OFFSET($H$3,0,0,'Données projet'!$E$16+1,1))</f>
        <v>419.51168383014721</v>
      </c>
      <c r="FK89" s="59">
        <f t="shared" si="102"/>
        <v>213.44145308833384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32.603491612416576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32.603491612416576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266.99999999999983</v>
      </c>
      <c r="GA89" s="17">
        <f>FZ89*VLOOKUP('Données projet'!$B$17,Paramètres!$A$1:$I$89,3,0)*VLOOKUP('Données projet'!$B$17,Paramètres!$A$1:$I$89,5,0)</f>
        <v>233.2511999999999</v>
      </c>
      <c r="GB89" s="13">
        <f t="shared" si="103"/>
        <v>56.985091661350864</v>
      </c>
      <c r="GC89" s="20">
        <f t="shared" si="79"/>
        <v>505.49487464351915</v>
      </c>
      <c r="GD89" s="59">
        <f t="shared" si="80"/>
        <v>798.82820797685247</v>
      </c>
      <c r="GE89" s="59">
        <f ca="1">AVERAGE(OFFSET($GD$3,0,0,'Données projet'!$E$17+1,1))-AVERAGE(OFFSET($H$3,0,0,'Données projet'!$E$17+1,1))</f>
        <v>324.86930206492627</v>
      </c>
      <c r="GF89" s="59">
        <f t="shared" si="104"/>
        <v>317.03005098025352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28.072062155684296</v>
      </c>
      <c r="GM89" s="21">
        <f>EXP(-LN(2)/25)*GM88+(1-EXP(-LN(2)/25))/(LN(2)/25)*Calculateur!GH89*Calculateur!GJ89*VLOOKUP('Données projet'!$B$17,Paramètres!$A$1:$I$89,3,0)*0.475*44/12</f>
        <v>7.7438931831810951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35.815955338865393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7.4950142450142421</v>
      </c>
      <c r="GU89" s="12">
        <f>IF('Données projet'!$A$270&gt;35,GU88+GT89-HC88,IF(A89&lt;'Données projet'!$A$270,$GR$205^A89,IF(A89='Données projet'!$A$270,'Données projet'!$B$270,GU88+GT89-HC88)))</f>
        <v>273.37393162393187</v>
      </c>
      <c r="GV89" s="17">
        <f>GU89*VLOOKUP('Données projet'!$B$18,Paramètres!$A$1:$I$89,3,0)*VLOOKUP('Données projet'!$B$18,Paramètres!$A$1:$I$89,5,0)</f>
        <v>260.14263333333355</v>
      </c>
      <c r="GW89" s="13">
        <f t="shared" si="105"/>
        <v>62.75278064835819</v>
      </c>
      <c r="GX89" s="20">
        <f t="shared" si="82"/>
        <v>562.37617935144647</v>
      </c>
      <c r="GY89" s="59">
        <f t="shared" si="83"/>
        <v>855.70951268477984</v>
      </c>
      <c r="GZ89" s="59">
        <f ca="1">AVERAGE(OFFSET($GY$3,0,0,'Données projet'!$E$18+1,1))-AVERAGE(OFFSET($H$3,0,0,'Données projet'!$E$18+1,1))</f>
        <v>401.81944956556271</v>
      </c>
      <c r="HA89" s="59">
        <f t="shared" si="106"/>
        <v>292.20785523952651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30.597122897806322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30.597122897806322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280.86894586894613</v>
      </c>
      <c r="O90" s="13">
        <f>N90*VLOOKUP('Données projet'!$B$9,Paramètres!$A$1:$I$89,3,0)*VLOOKUP('Données projet'!$B$9,Paramètres!$A$1:$I$89,5,0)</f>
        <v>254.13022222222247</v>
      </c>
      <c r="P90" s="13">
        <f t="shared" si="87"/>
        <v>61.469520573147591</v>
      </c>
      <c r="Q90" s="20">
        <f t="shared" si="54"/>
        <v>549.66955203526948</v>
      </c>
      <c r="R90" s="59">
        <f t="shared" si="55"/>
        <v>843.00288536860285</v>
      </c>
      <c r="S90" s="59">
        <f ca="1">AVERAGE(OFFSET($R$3,0,0,'Données projet'!$E$9+1,1))-AVERAGE(OFFSET($H$3,0,0,'Données projet'!$E$9+1,1))</f>
        <v>384.05928630855732</v>
      </c>
      <c r="T90" s="59">
        <f t="shared" si="88"/>
        <v>279.93992813630513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-6.3550942286383367E-14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335.04906256888819</v>
      </c>
      <c r="AO90" s="59">
        <f t="shared" si="90"/>
        <v>440.84111898279554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120.26572360470689</v>
      </c>
      <c r="AV90" s="21">
        <f>EXP(-LN(2)/25)*AV89+(1-EXP(-LN(2)/25))/(LN(2)/25)*Calculateur!AQ90*Calculateur!AS90*VLOOKUP('Données projet'!$B$10,Paramètres!$A$1:$I$89,3,0)*0.475*44/12</f>
        <v>23.72258404668786</v>
      </c>
      <c r="AW90" s="21">
        <f>EXP(-LN(2)/2)*AW89+(1-EXP(-LN(2)/2))/(LN(2)/2)*AQ90*AT90*VLOOKUP('Données projet'!$B$10,Paramètres!$A$1:$I$89,3,0)*0.475*44/12</f>
        <v>5.2126013189868886E-4</v>
      </c>
      <c r="AX90" s="21">
        <f t="shared" si="60"/>
        <v>143.98882891152667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5.9607692307692215</v>
      </c>
      <c r="BD90" s="12">
        <f>IF('Données projet'!$A$88&gt;35,BD89+BC90-BL89,IF(A90&lt;'Données projet'!$A$88,$BA$205^A90,IF(A90='Données projet'!$A$88,'Données projet'!$B$88,BD89+BC90-BL89)))</f>
        <v>411.19307692307677</v>
      </c>
      <c r="BE90" s="13">
        <f>BD90*VLOOKUP('Données projet'!$B$11,Paramètres!$A$1:$I$89,3,0)*VLOOKUP('Données projet'!$B$11,Paramètres!$A$1:$I$89,5,0)</f>
        <v>235.20243999999994</v>
      </c>
      <c r="BF90" s="13">
        <f t="shared" si="91"/>
        <v>57.406102156990407</v>
      </c>
      <c r="BG90" s="20">
        <f t="shared" si="61"/>
        <v>509.62654425675811</v>
      </c>
      <c r="BH90" s="59">
        <f t="shared" si="62"/>
        <v>802.95987759009142</v>
      </c>
      <c r="BI90" s="59">
        <f ca="1">AVERAGE(OFFSET($BH$3,0,0,'Données projet'!$E$11+1,1))-AVERAGE(OFFSET($H$3,0,0,'Données projet'!$E$11+1,1))</f>
        <v>320.76883487964511</v>
      </c>
      <c r="BJ90" s="59">
        <f t="shared" si="92"/>
        <v>290.51177680335746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37.413329349892528</v>
      </c>
      <c r="BQ90" s="21">
        <f>EXP(-LN(2)/25)*BQ89+(1-EXP(-LN(2)/25))/(LN(2)/25)*Calculateur!BL90*Calculateur!BN90*VLOOKUP('Données projet'!$B$11,Paramètres!$A$1:$I$89,3,0)*0.475*44/12</f>
        <v>9.9469830489449826</v>
      </c>
      <c r="BR90" s="21">
        <f>EXP(-LN(2)/2)*BR89+(1-EXP(-LN(2)/2))/(LN(2)/2)*BL90*BO90*VLOOKUP('Données projet'!$B$11,Paramètres!$A$1:$I$89,3,0)*0.475*44/12</f>
        <v>0.16515714080127886</v>
      </c>
      <c r="BS90" s="22">
        <f t="shared" si="63"/>
        <v>47.525469539638785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304.99999999999983</v>
      </c>
      <c r="BZ90" s="13">
        <f>BY90*VLOOKUP('Données projet'!$B$12,Paramètres!$A$1:$I$89,3,0)*VLOOKUP('Données projet'!$B$12,Paramètres!$A$1:$I$89,5,0)</f>
        <v>275.96399999999983</v>
      </c>
      <c r="CA90" s="13">
        <f t="shared" si="93"/>
        <v>66.113366665488854</v>
      </c>
      <c r="CB90" s="20">
        <f t="shared" si="64"/>
        <v>595.78474694239264</v>
      </c>
      <c r="CC90" s="59">
        <f t="shared" si="65"/>
        <v>889.11808027572602</v>
      </c>
      <c r="CD90" s="59">
        <f ca="1">AVERAGE(OFFSET($CC$3,0,0,'Données projet'!$E$12+1,1))-AVERAGE(OFFSET($H$3,0,0,'Données projet'!$E$12+1,1))</f>
        <v>366.69125512029831</v>
      </c>
      <c r="CE90" s="59">
        <f t="shared" si="94"/>
        <v>513.80016421153414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0.5227140622514781</v>
      </c>
      <c r="CL90" s="21">
        <f>EXP(-LN(2)/25)*CL89+(1-EXP(-LN(2)/25))/(LN(2)/25)*Calculateur!CG90*Calculateur!CI90*VLOOKUP('Données projet'!$B$12,Paramètres!$A$1:$I$89,3,0)*0.475*44/12</f>
        <v>1.5201440166742484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2.0428580789257262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7.4950142450142421</v>
      </c>
      <c r="CT90" s="12">
        <f>IF('Données projet'!$A$140&gt;35,CT89+CS90-DB89,IF(A90&lt;'Données projet'!$A$140,$CQ$205^A90,IF(A90='Données projet'!$A$140,'Données projet'!$B$140,CT89+CS90-DB89)))</f>
        <v>280.86894586894613</v>
      </c>
      <c r="CU90" s="17">
        <f>CT90*VLOOKUP('Données projet'!$B$13,Paramètres!$A$1:$I$89,3,0)*VLOOKUP('Données projet'!$B$13,Paramètres!$A$1:$I$89,5,0)</f>
        <v>188.40688888888906</v>
      </c>
      <c r="CV90" s="13">
        <f t="shared" si="95"/>
        <v>47.187566186372614</v>
      </c>
      <c r="CW90" s="20">
        <f t="shared" si="67"/>
        <v>410.32700925608077</v>
      </c>
      <c r="CX90" s="59">
        <f t="shared" si="68"/>
        <v>703.66034258941409</v>
      </c>
      <c r="CY90" s="59">
        <f ca="1">AVERAGE(OFFSET($CX$3,0,0,'Données projet'!$E$13+1,1))-AVERAGE(OFFSET($H$3,0,0,'Données projet'!$E$13+1,1))</f>
        <v>294.94331863127815</v>
      </c>
      <c r="CZ90" s="59">
        <f t="shared" si="96"/>
        <v>218.36990036643977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26.063081884420903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26.063081884420903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266.99999999999983</v>
      </c>
      <c r="DP90" s="17">
        <f>DO90*VLOOKUP('Données projet'!$B$14,Paramètres!$A$1:$I$89,3,0)*VLOOKUP('Données projet'!$B$14,Paramètres!$A$1:$I$89,5,0)</f>
        <v>195.76439999999985</v>
      </c>
      <c r="DQ90" s="13">
        <f t="shared" si="97"/>
        <v>48.812154563023455</v>
      </c>
      <c r="DR90" s="20">
        <f t="shared" si="70"/>
        <v>425.9708325305989</v>
      </c>
      <c r="DS90" s="59">
        <f t="shared" si="71"/>
        <v>719.30416586393221</v>
      </c>
      <c r="DT90" s="59">
        <f ca="1">AVERAGE(OFFSET($DS$3,0,0,'Données projet'!$E$14+1,1))-AVERAGE(OFFSET($H$3,0,0,'Données projet'!$E$14+1,1))</f>
        <v>278.45534008146865</v>
      </c>
      <c r="DU90" s="59">
        <f t="shared" si="98"/>
        <v>272.97841038165217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18.740271424217571</v>
      </c>
      <c r="EB90" s="21">
        <f>EXP(-LN(2)/25)*EB89+(1-EXP(-LN(2)/25))/(LN(2)/25)*Calculateur!DW90*Calculateur!DY90*VLOOKUP('Données projet'!$B$14,Paramètres!$A$1:$I$89,3,0)*0.475*44/12</f>
        <v>5.1288567688883546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23.869128193105926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7.4950142450142421</v>
      </c>
      <c r="EJ90" s="12">
        <f>IF('Données projet'!$A$192&gt;35,EJ89+EI90-ER89,IF(A90&lt;'Données projet'!$A$192,$EG$205^A90,IF(A90='Données projet'!$A$192,'Données projet'!$B$192,EJ89+EI90-ER89)))</f>
        <v>280.86894586894613</v>
      </c>
      <c r="EK90" s="17">
        <f>EJ90*VLOOKUP('Données projet'!$B$15,Paramètres!$A$1:$I$89,3,0)*VLOOKUP('Données projet'!$B$15,Paramètres!$A$1:$I$89,5,0)</f>
        <v>302.32733333333357</v>
      </c>
      <c r="EL90" s="13">
        <f t="shared" si="99"/>
        <v>71.664142282114682</v>
      </c>
      <c r="EM90" s="20">
        <f t="shared" si="73"/>
        <v>651.36848669690573</v>
      </c>
      <c r="EN90" s="59">
        <f t="shared" si="74"/>
        <v>944.70182003023911</v>
      </c>
      <c r="EO90" s="59">
        <f ca="1">AVERAGE(OFFSET($EN$3,0,0,'Données projet'!$E$15+1,1))-AVERAGE(OFFSET($H$3,0,0,'Données projet'!$E$15+1,1))</f>
        <v>449.09332781196957</v>
      </c>
      <c r="EP90" s="59">
        <f t="shared" si="100"/>
        <v>324.85904971519432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33.931182075944186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33.931182075944186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7.4950142450142421</v>
      </c>
      <c r="FE90" s="12">
        <f>IF('Données projet'!$A$218&gt;35,FE89+FD90-FM89,IF(A90&lt;'Données projet'!$A$218,$FB$205^A90,IF(A90='Données projet'!$A$218,'Données projet'!$B$218,FE89+FD90-FM89)))</f>
        <v>280.86894586894613</v>
      </c>
      <c r="FF90" s="17">
        <f>FE90*VLOOKUP('Données projet'!$B$16,Paramètres!$A$1:$I$89,3,0)*VLOOKUP('Données projet'!$B$16,Paramètres!$A$1:$I$89,5,0)</f>
        <v>284.80111111111137</v>
      </c>
      <c r="FG90" s="13">
        <f t="shared" si="101"/>
        <v>67.98061554933885</v>
      </c>
      <c r="FH90" s="20">
        <f t="shared" si="76"/>
        <v>614.42817393361736</v>
      </c>
      <c r="FI90" s="59">
        <f t="shared" si="77"/>
        <v>907.76150726695073</v>
      </c>
      <c r="FJ90" s="59">
        <f ca="1">AVERAGE(OFFSET($FI$3,0,0,'Données projet'!$E$16+1,1))-AVERAGE(OFFSET($H$3,0,0,'Données projet'!$E$16+1,1))</f>
        <v>419.51168383014721</v>
      </c>
      <c r="FK90" s="59">
        <f t="shared" si="102"/>
        <v>213.44145308833384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31.964157028063376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31.964157028063376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266.99999999999983</v>
      </c>
      <c r="GA90" s="17">
        <f>FZ90*VLOOKUP('Données projet'!$B$17,Paramètres!$A$1:$I$89,3,0)*VLOOKUP('Données projet'!$B$17,Paramètres!$A$1:$I$89,5,0)</f>
        <v>233.2511999999999</v>
      </c>
      <c r="GB90" s="13">
        <f t="shared" si="103"/>
        <v>56.985091661350864</v>
      </c>
      <c r="GC90" s="20">
        <f t="shared" si="79"/>
        <v>505.49487464351915</v>
      </c>
      <c r="GD90" s="59">
        <f t="shared" si="80"/>
        <v>798.82820797685247</v>
      </c>
      <c r="GE90" s="59">
        <f ca="1">AVERAGE(OFFSET($GD$3,0,0,'Données projet'!$E$17+1,1))-AVERAGE(OFFSET($H$3,0,0,'Données projet'!$E$17+1,1))</f>
        <v>324.86930206492627</v>
      </c>
      <c r="GF90" s="59">
        <f t="shared" si="104"/>
        <v>317.03005098025352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27.521586139078558</v>
      </c>
      <c r="GM90" s="21">
        <f>EXP(-LN(2)/25)*GM89+(1-EXP(-LN(2)/25))/(LN(2)/25)*Calculateur!GH90*Calculateur!GJ90*VLOOKUP('Données projet'!$B$17,Paramètres!$A$1:$I$89,3,0)*0.475*44/12</f>
        <v>7.5321360168533644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35.053722155931922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7.4950142450142421</v>
      </c>
      <c r="GU90" s="12">
        <f>IF('Données projet'!$A$270&gt;35,GU89+GT90-HC89,IF(A90&lt;'Données projet'!$A$270,$GR$205^A90,IF(A90='Données projet'!$A$270,'Données projet'!$B$270,GU89+GT90-HC89)))</f>
        <v>280.86894586894613</v>
      </c>
      <c r="GV90" s="17">
        <f>GU90*VLOOKUP('Données projet'!$B$18,Paramètres!$A$1:$I$89,3,0)*VLOOKUP('Données projet'!$B$18,Paramètres!$A$1:$I$89,5,0)</f>
        <v>267.27488888888911</v>
      </c>
      <c r="GW90" s="13">
        <f t="shared" si="105"/>
        <v>64.270590927247156</v>
      </c>
      <c r="GX90" s="20">
        <f t="shared" si="82"/>
        <v>577.44171067977061</v>
      </c>
      <c r="GY90" s="59">
        <f t="shared" si="83"/>
        <v>870.77504401310398</v>
      </c>
      <c r="GZ90" s="59">
        <f ca="1">AVERAGE(OFFSET($GY$3,0,0,'Données projet'!$E$18+1,1))-AVERAGE(OFFSET($H$3,0,0,'Données projet'!$E$18+1,1))</f>
        <v>401.81944956556271</v>
      </c>
      <c r="HA90" s="59">
        <f t="shared" si="106"/>
        <v>292.20785523952651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29.997131980182548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29.997131980182548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288.36396011396039</v>
      </c>
      <c r="O91" s="13">
        <f>N91*VLOOKUP('Données projet'!$B$9,Paramètres!$A$1:$I$89,3,0)*VLOOKUP('Données projet'!$B$9,Paramètres!$A$1:$I$89,5,0)</f>
        <v>260.91171111111134</v>
      </c>
      <c r="P91" s="13">
        <f t="shared" si="87"/>
        <v>62.916678312142118</v>
      </c>
      <c r="Q91" s="20">
        <f t="shared" si="54"/>
        <v>564.00111157883305</v>
      </c>
      <c r="R91" s="59">
        <f t="shared" si="55"/>
        <v>857.33444491216642</v>
      </c>
      <c r="S91" s="59">
        <f ca="1">AVERAGE(OFFSET($R$3,0,0,'Données projet'!$E$9+1,1))-AVERAGE(OFFSET($H$3,0,0,'Données projet'!$E$9+1,1))</f>
        <v>384.05928630855732</v>
      </c>
      <c r="T91" s="59">
        <f t="shared" si="88"/>
        <v>279.93992813630513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-6.3550942286383367E-14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335.04906256888819</v>
      </c>
      <c r="AO91" s="59">
        <f t="shared" si="90"/>
        <v>440.84111898279554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117.9073861196668</v>
      </c>
      <c r="AV91" s="21">
        <f>EXP(-LN(2)/25)*AV90+(1-EXP(-LN(2)/25))/(LN(2)/25)*Calculateur!AQ91*Calculateur!AS91*VLOOKUP('Données projet'!$B$10,Paramètres!$A$1:$I$89,3,0)*0.475*44/12</f>
        <v>23.073888738414706</v>
      </c>
      <c r="AW91" s="21">
        <f>EXP(-LN(2)/2)*AW90+(1-EXP(-LN(2)/2))/(LN(2)/2)*AQ91*AT91*VLOOKUP('Données projet'!$B$10,Paramètres!$A$1:$I$89,3,0)*0.475*44/12</f>
        <v>3.6858657402775709E-4</v>
      </c>
      <c r="AX91" s="21">
        <f t="shared" si="60"/>
        <v>140.98164344465553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>
        <f>VLOOKUP(A91,'Données projet'!$A$87:$I$107,2,0)</f>
        <v>417.15384615384613</v>
      </c>
      <c r="BB91" s="12">
        <f>VLOOKUP(A91,'Données projet'!$A$87:$I$107,9,0)</f>
        <v>5.9607692307692215</v>
      </c>
      <c r="BC91" s="12">
        <f t="array" ref="BC91">INDEX(BB:BB,MIN(IF(ISNUMBER(BB91:BB287),ROW(BB91:BB287),"")))</f>
        <v>5.9607692307692215</v>
      </c>
      <c r="BD91" s="12">
        <f>IF('Données projet'!$A$88&gt;35,BD90+BC91-BL90,IF(A91&lt;'Données projet'!$A$88,$BA$205^A91,IF(A91='Données projet'!$A$88,'Données projet'!$B$88,BD90+BC91-BL90)))</f>
        <v>417.15384615384602</v>
      </c>
      <c r="BE91" s="13">
        <f>BD91*VLOOKUP('Données projet'!$B$11,Paramètres!$A$1:$I$89,3,0)*VLOOKUP('Données projet'!$B$11,Paramètres!$A$1:$I$89,5,0)</f>
        <v>238.61199999999994</v>
      </c>
      <c r="BF91" s="13">
        <f t="shared" si="91"/>
        <v>58.140794786185374</v>
      </c>
      <c r="BG91" s="20">
        <f t="shared" si="61"/>
        <v>516.84445091927262</v>
      </c>
      <c r="BH91" s="59">
        <f t="shared" si="62"/>
        <v>810.17778425260599</v>
      </c>
      <c r="BI91" s="59">
        <f ca="1">AVERAGE(OFFSET($BH$3,0,0,'Données projet'!$E$11+1,1))-AVERAGE(OFFSET($H$3,0,0,'Données projet'!$E$11+1,1))</f>
        <v>320.76883487964511</v>
      </c>
      <c r="BJ91" s="59">
        <f t="shared" si="92"/>
        <v>290.51177680335746</v>
      </c>
      <c r="BK91" s="15">
        <f>IF(ISNA(VLOOKUP(A91,'Données projet'!$A$87:$I$107,3,0)),0,VLOOKUP(A91,'Données projet'!$A$87:$I$107,3,0))</f>
        <v>10</v>
      </c>
      <c r="BL91" s="15">
        <f>IF(ISNA(VLOOKUP(A91,'Données projet'!$A$87:$I$107,4,0)),0,VLOOKUP(A91,'Données projet'!$A$87:$I$107,4,0))</f>
        <v>247.54615384615383</v>
      </c>
      <c r="BM91" s="16">
        <f>IF(ISNA(VLOOKUP(A91,'Données projet'!$A$87:$I$107,5,0)),0%,VLOOKUP(A91,'Données projet'!$A$87:$I$107,5,0)*VLOOKUP('Données projet'!$B$11,Paramètres!$A$1:$I$89,7,0))</f>
        <v>0.315</v>
      </c>
      <c r="BN91" s="16">
        <f>IF(ISNA(VLOOKUP(A91,'Données projet'!$A$87:$I$107,6,0)),0%,VLOOKUP(A91,'Données projet'!$A$87:$I$107,6,0)*VLOOKUP('Données projet'!$B$11,Paramètres!$A$1:$I$89,7,0))</f>
        <v>7.6500000000000012E-2</v>
      </c>
      <c r="BO91" s="16">
        <f>IF(ISNA(VLOOKUP(A91,'Données projet'!$A$87:$I$107,7,0)),0%,VLOOKUP(A91,'Données projet'!$A$87:$I$107,7,0))</f>
        <v>0.13</v>
      </c>
      <c r="BP91" s="21">
        <f>EXP(-LN(2)/35)*BP90+(1-EXP(-LN(2)/35))/(LN(2)/35)*BL91*BM91*VLOOKUP('Données projet'!$B$11,Paramètres!$A$1:$I$89,3,0)*0.475*44/12</f>
        <v>95.848253427551541</v>
      </c>
      <c r="BQ91" s="21">
        <f>EXP(-LN(2)/25)*BQ90+(1-EXP(-LN(2)/25))/(LN(2)/25)*Calculateur!BL91*Calculateur!BN91*VLOOKUP('Données projet'!$B$11,Paramètres!$A$1:$I$89,3,0)*0.475*44/12</f>
        <v>23.987915503759289</v>
      </c>
      <c r="BR91" s="21">
        <f>EXP(-LN(2)/2)*BR90+(1-EXP(-LN(2)/2))/(LN(2)/2)*BL91*BO91*VLOOKUP('Données projet'!$B$11,Paramètres!$A$1:$I$89,3,0)*0.475*44/12</f>
        <v>20.958385982373901</v>
      </c>
      <c r="BS91" s="22">
        <f t="shared" si="63"/>
        <v>140.79455491368472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304.99999999999983</v>
      </c>
      <c r="BZ91" s="13">
        <f>BY91*VLOOKUP('Données projet'!$B$12,Paramètres!$A$1:$I$89,3,0)*VLOOKUP('Données projet'!$B$12,Paramètres!$A$1:$I$89,5,0)</f>
        <v>275.96399999999983</v>
      </c>
      <c r="CA91" s="13">
        <f t="shared" si="93"/>
        <v>66.113366665488854</v>
      </c>
      <c r="CB91" s="20">
        <f t="shared" si="64"/>
        <v>595.78474694239264</v>
      </c>
      <c r="CC91" s="59">
        <f t="shared" si="65"/>
        <v>889.11808027572602</v>
      </c>
      <c r="CD91" s="59">
        <f ca="1">AVERAGE(OFFSET($CC$3,0,0,'Données projet'!$E$12+1,1))-AVERAGE(OFFSET($H$3,0,0,'Données projet'!$E$12+1,1))</f>
        <v>366.69125512029831</v>
      </c>
      <c r="CE91" s="59">
        <f t="shared" si="94"/>
        <v>513.80016421153414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0.51246395831482328</v>
      </c>
      <c r="CL91" s="21">
        <f>EXP(-LN(2)/25)*CL90+(1-EXP(-LN(2)/25))/(LN(2)/25)*Calculateur!CG91*Calculateur!CI91*VLOOKUP('Données projet'!$B$12,Paramètres!$A$1:$I$89,3,0)*0.475*44/12</f>
        <v>1.4785755985973916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1.9910395569122148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7.4950142450142421</v>
      </c>
      <c r="CT91" s="12">
        <f>IF('Données projet'!$A$140&gt;35,CT90+CS91-DB90,IF(A91&lt;'Données projet'!$A$140,$CQ$205^A91,IF(A91='Données projet'!$A$140,'Données projet'!$B$140,CT90+CS91-DB90)))</f>
        <v>288.36396011396039</v>
      </c>
      <c r="CU91" s="17">
        <f>CT91*VLOOKUP('Données projet'!$B$13,Paramètres!$A$1:$I$89,3,0)*VLOOKUP('Données projet'!$B$13,Paramètres!$A$1:$I$89,5,0)</f>
        <v>193.43454444444464</v>
      </c>
      <c r="CV91" s="13">
        <f t="shared" si="95"/>
        <v>48.298488330456514</v>
      </c>
      <c r="CW91" s="20">
        <f t="shared" si="67"/>
        <v>421.01836541628609</v>
      </c>
      <c r="CX91" s="59">
        <f t="shared" si="68"/>
        <v>714.35169874961935</v>
      </c>
      <c r="CY91" s="59">
        <f ca="1">AVERAGE(OFFSET($CX$3,0,0,'Données projet'!$E$13+1,1))-AVERAGE(OFFSET($H$3,0,0,'Données projet'!$E$13+1,1))</f>
        <v>294.94331863127815</v>
      </c>
      <c r="CZ91" s="59">
        <f t="shared" si="96"/>
        <v>218.36990036643977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25.552000745577669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25.552000745577669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266.99999999999983</v>
      </c>
      <c r="DP91" s="17">
        <f>DO91*VLOOKUP('Données projet'!$B$14,Paramètres!$A$1:$I$89,3,0)*VLOOKUP('Données projet'!$B$14,Paramètres!$A$1:$I$89,5,0)</f>
        <v>195.76439999999985</v>
      </c>
      <c r="DQ91" s="13">
        <f t="shared" si="97"/>
        <v>48.812154563023455</v>
      </c>
      <c r="DR91" s="20">
        <f t="shared" si="70"/>
        <v>425.9708325305989</v>
      </c>
      <c r="DS91" s="59">
        <f t="shared" si="71"/>
        <v>719.30416586393221</v>
      </c>
      <c r="DT91" s="59">
        <f ca="1">AVERAGE(OFFSET($DS$3,0,0,'Données projet'!$E$14+1,1))-AVERAGE(OFFSET($H$3,0,0,'Données projet'!$E$14+1,1))</f>
        <v>278.45534008146865</v>
      </c>
      <c r="DU91" s="59">
        <f t="shared" si="98"/>
        <v>272.97841038165217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18.372786132025571</v>
      </c>
      <c r="EB91" s="21">
        <f>EXP(-LN(2)/25)*EB90+(1-EXP(-LN(2)/25))/(LN(2)/25)*Calculateur!DW91*Calculateur!DY91*VLOOKUP('Données projet'!$B$14,Paramètres!$A$1:$I$89,3,0)*0.475*44/12</f>
        <v>4.9886079108282475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23.361394042853817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7.4950142450142421</v>
      </c>
      <c r="EJ91" s="12">
        <f>IF('Données projet'!$A$192&gt;35,EJ90+EI91-ER90,IF(A91&lt;'Données projet'!$A$192,$EG$205^A91,IF(A91='Données projet'!$A$192,'Données projet'!$B$192,EJ90+EI91-ER90)))</f>
        <v>288.36396011396039</v>
      </c>
      <c r="EK91" s="17">
        <f>EJ91*VLOOKUP('Données projet'!$B$15,Paramètres!$A$1:$I$89,3,0)*VLOOKUP('Données projet'!$B$15,Paramètres!$A$1:$I$89,5,0)</f>
        <v>310.39496666666696</v>
      </c>
      <c r="EL91" s="13">
        <f t="shared" si="99"/>
        <v>73.351308818391132</v>
      </c>
      <c r="EM91" s="20">
        <f t="shared" si="73"/>
        <v>668.35809646980954</v>
      </c>
      <c r="EN91" s="59">
        <f t="shared" si="74"/>
        <v>961.69142980314291</v>
      </c>
      <c r="EO91" s="59">
        <f ca="1">AVERAGE(OFFSET($EN$3,0,0,'Données projet'!$E$15+1,1))-AVERAGE(OFFSET($H$3,0,0,'Données projet'!$E$15+1,1))</f>
        <v>449.09332781196957</v>
      </c>
      <c r="EP91" s="59">
        <f t="shared" si="100"/>
        <v>324.85904971519432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33.265812291412431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33.265812291412431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7.4950142450142421</v>
      </c>
      <c r="FE91" s="12">
        <f>IF('Données projet'!$A$218&gt;35,FE90+FD91-FM90,IF(A91&lt;'Données projet'!$A$218,$FB$205^A91,IF(A91='Données projet'!$A$218,'Données projet'!$B$218,FE90+FD91-FM90)))</f>
        <v>288.36396011396039</v>
      </c>
      <c r="FF91" s="17">
        <f>FE91*VLOOKUP('Données projet'!$B$16,Paramètres!$A$1:$I$89,3,0)*VLOOKUP('Données projet'!$B$16,Paramètres!$A$1:$I$89,5,0)</f>
        <v>292.40105555555584</v>
      </c>
      <c r="FG91" s="13">
        <f t="shared" si="101"/>
        <v>69.581061965327606</v>
      </c>
      <c r="FH91" s="20">
        <f t="shared" si="76"/>
        <v>630.45218801553858</v>
      </c>
      <c r="FI91" s="59">
        <f t="shared" si="77"/>
        <v>923.78552134887195</v>
      </c>
      <c r="FJ91" s="59">
        <f ca="1">AVERAGE(OFFSET($FI$3,0,0,'Données projet'!$E$16+1,1))-AVERAGE(OFFSET($H$3,0,0,'Données projet'!$E$16+1,1))</f>
        <v>419.51168383014721</v>
      </c>
      <c r="FK91" s="59">
        <f t="shared" si="102"/>
        <v>213.44145308833384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31.337359404953748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31.337359404953748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266.99999999999983</v>
      </c>
      <c r="GA91" s="17">
        <f>FZ91*VLOOKUP('Données projet'!$B$17,Paramètres!$A$1:$I$89,3,0)*VLOOKUP('Données projet'!$B$17,Paramètres!$A$1:$I$89,5,0)</f>
        <v>233.2511999999999</v>
      </c>
      <c r="GB91" s="13">
        <f t="shared" si="103"/>
        <v>56.985091661350864</v>
      </c>
      <c r="GC91" s="20">
        <f t="shared" si="79"/>
        <v>505.49487464351915</v>
      </c>
      <c r="GD91" s="59">
        <f t="shared" si="80"/>
        <v>798.82820797685247</v>
      </c>
      <c r="GE91" s="59">
        <f ca="1">AVERAGE(OFFSET($GD$3,0,0,'Données projet'!$E$17+1,1))-AVERAGE(OFFSET($H$3,0,0,'Données projet'!$E$17+1,1))</f>
        <v>324.86930206492627</v>
      </c>
      <c r="GF91" s="59">
        <f t="shared" si="104"/>
        <v>317.03005098025352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26.981904621401242</v>
      </c>
      <c r="GM91" s="21">
        <f>EXP(-LN(2)/25)*GM90+(1-EXP(-LN(2)/25))/(LN(2)/25)*Calculateur!GH91*Calculateur!GJ91*VLOOKUP('Données projet'!$B$17,Paramètres!$A$1:$I$89,3,0)*0.475*44/12</f>
        <v>7.3261693613746912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34.30807398277593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7.4950142450142421</v>
      </c>
      <c r="GU91" s="12">
        <f>IF('Données projet'!$A$270&gt;35,GU90+GT91-HC90,IF(A91&lt;'Données projet'!$A$270,$GR$205^A91,IF(A91='Données projet'!$A$270,'Données projet'!$B$270,GU90+GT91-HC90)))</f>
        <v>288.36396011396039</v>
      </c>
      <c r="GV91" s="17">
        <f>GU91*VLOOKUP('Données projet'!$B$18,Paramètres!$A$1:$I$89,3,0)*VLOOKUP('Données projet'!$B$18,Paramètres!$A$1:$I$89,5,0)</f>
        <v>274.40714444444473</v>
      </c>
      <c r="GW91" s="13">
        <f t="shared" si="105"/>
        <v>65.78369339140977</v>
      </c>
      <c r="GX91" s="20">
        <f t="shared" si="82"/>
        <v>592.49904256411321</v>
      </c>
      <c r="GY91" s="59">
        <f t="shared" si="83"/>
        <v>885.83237589744658</v>
      </c>
      <c r="GZ91" s="59">
        <f ca="1">AVERAGE(OFFSET($GY$3,0,0,'Données projet'!$E$18+1,1))-AVERAGE(OFFSET($H$3,0,0,'Données projet'!$E$18+1,1))</f>
        <v>401.81944956556271</v>
      </c>
      <c r="HA91" s="59">
        <f t="shared" si="106"/>
        <v>292.20785523952651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29.408906518495051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29.408906518495051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295.85897435897465</v>
      </c>
      <c r="O92" s="13">
        <f>N92*VLOOKUP('Données projet'!$B$9,Paramètres!$A$1:$I$89,3,0)*VLOOKUP('Données projet'!$B$9,Paramètres!$A$1:$I$89,5,0)</f>
        <v>267.69320000000022</v>
      </c>
      <c r="P92" s="13">
        <f t="shared" si="87"/>
        <v>64.359463899490166</v>
      </c>
      <c r="Q92" s="20">
        <f t="shared" si="54"/>
        <v>578.32505629161233</v>
      </c>
      <c r="R92" s="59">
        <f t="shared" si="55"/>
        <v>871.65838962494558</v>
      </c>
      <c r="S92" s="59">
        <f ca="1">AVERAGE(OFFSET($R$3,0,0,'Données projet'!$E$9+1,1))-AVERAGE(OFFSET($H$3,0,0,'Données projet'!$E$9+1,1))</f>
        <v>384.05928630855732</v>
      </c>
      <c r="T92" s="59">
        <f t="shared" si="88"/>
        <v>279.93992813630513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-6.3550942286383367E-14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335.04906256888819</v>
      </c>
      <c r="AO92" s="59">
        <f t="shared" si="90"/>
        <v>440.84111898279554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115.59529419426451</v>
      </c>
      <c r="AV92" s="21">
        <f>EXP(-LN(2)/25)*AV91+(1-EXP(-LN(2)/25))/(LN(2)/25)*Calculateur!AQ92*Calculateur!AS92*VLOOKUP('Données projet'!$B$10,Paramètres!$A$1:$I$89,3,0)*0.475*44/12</f>
        <v>22.442932037459684</v>
      </c>
      <c r="AW92" s="21">
        <f>EXP(-LN(2)/2)*AW91+(1-EXP(-LN(2)/2))/(LN(2)/2)*AQ92*AT92*VLOOKUP('Données projet'!$B$10,Paramètres!$A$1:$I$89,3,0)*0.475*44/12</f>
        <v>2.6063006594934443E-4</v>
      </c>
      <c r="AX92" s="21">
        <f t="shared" si="60"/>
        <v>138.03848686179015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3.2153846153846168</v>
      </c>
      <c r="BD92" s="12">
        <f>IF('Données projet'!$A$88&gt;35,BD91+BC92-BL91,IF(A92&lt;'Données projet'!$A$88,$BA$205^A92,IF(A92='Données projet'!$A$88,'Données projet'!$B$88,BD91+BC92-BL91)))</f>
        <v>172.8230769230768</v>
      </c>
      <c r="BE92" s="13">
        <f>BD92*VLOOKUP('Données projet'!$B$11,Paramètres!$A$1:$I$89,3,0)*VLOOKUP('Données projet'!$B$11,Paramètres!$A$1:$I$89,5,0)</f>
        <v>98.85479999999994</v>
      </c>
      <c r="BF92" s="13">
        <f t="shared" si="91"/>
        <v>26.688986818913847</v>
      </c>
      <c r="BG92" s="20">
        <f t="shared" si="61"/>
        <v>218.65542870960817</v>
      </c>
      <c r="BH92" s="59">
        <f t="shared" si="62"/>
        <v>511.98876204294152</v>
      </c>
      <c r="BI92" s="59">
        <f ca="1">AVERAGE(OFFSET($BH$3,0,0,'Données projet'!$E$11+1,1))-AVERAGE(OFFSET($H$3,0,0,'Données projet'!$E$11+1,1))</f>
        <v>320.76883487964511</v>
      </c>
      <c r="BJ92" s="59">
        <f t="shared" si="92"/>
        <v>290.51177680335746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93.968727639499235</v>
      </c>
      <c r="BQ92" s="21">
        <f>EXP(-LN(2)/25)*BQ91+(1-EXP(-LN(2)/25))/(LN(2)/25)*Calculateur!BL92*Calculateur!BN92*VLOOKUP('Données projet'!$B$11,Paramètres!$A$1:$I$89,3,0)*0.475*44/12</f>
        <v>23.331964692839339</v>
      </c>
      <c r="BR92" s="21">
        <f>EXP(-LN(2)/2)*BR91+(1-EXP(-LN(2)/2))/(LN(2)/2)*BL92*BO92*VLOOKUP('Données projet'!$B$11,Paramètres!$A$1:$I$89,3,0)*0.475*44/12</f>
        <v>14.819816850861669</v>
      </c>
      <c r="BS92" s="22">
        <f t="shared" si="63"/>
        <v>132.12050918320023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304.99999999999983</v>
      </c>
      <c r="BZ92" s="13">
        <f>BY92*VLOOKUP('Données projet'!$B$12,Paramètres!$A$1:$I$89,3,0)*VLOOKUP('Données projet'!$B$12,Paramètres!$A$1:$I$89,5,0)</f>
        <v>275.96399999999983</v>
      </c>
      <c r="CA92" s="13">
        <f t="shared" si="93"/>
        <v>66.113366665488854</v>
      </c>
      <c r="CB92" s="20">
        <f t="shared" si="64"/>
        <v>595.78474694239264</v>
      </c>
      <c r="CC92" s="59">
        <f t="shared" si="65"/>
        <v>889.11808027572602</v>
      </c>
      <c r="CD92" s="59">
        <f ca="1">AVERAGE(OFFSET($CC$3,0,0,'Données projet'!$E$12+1,1))-AVERAGE(OFFSET($H$3,0,0,'Données projet'!$E$12+1,1))</f>
        <v>366.69125512029831</v>
      </c>
      <c r="CE92" s="59">
        <f t="shared" si="94"/>
        <v>513.80016421153414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0.50241485266442021</v>
      </c>
      <c r="CL92" s="21">
        <f>EXP(-LN(2)/25)*CL91+(1-EXP(-LN(2)/25))/(LN(2)/25)*Calculateur!CG92*Calculateur!CI92*VLOOKUP('Données projet'!$B$12,Paramètres!$A$1:$I$89,3,0)*0.475*44/12</f>
        <v>1.4381438710988346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1.9405587237632549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>
        <f>VLOOKUP(A92,'Données projet'!$A$139:$I$159,2,0)</f>
        <v>295.85897435897436</v>
      </c>
      <c r="CR92" s="12">
        <f>VLOOKUP(A92,'Données projet'!$A$139:$I$159,9,0)</f>
        <v>7.4950142450142421</v>
      </c>
      <c r="CS92" s="12">
        <f t="array" ref="CS92">INDEX(CR:CR,MIN(IF(ISNUMBER(CR92:CR288),ROW(CR92:CR288),"")))</f>
        <v>7.4950142450142421</v>
      </c>
      <c r="CT92" s="12">
        <f>IF('Données projet'!$A$140&gt;35,CT91+CS92-DB91,IF(A92&lt;'Données projet'!$A$140,$CQ$205^A92,IF(A92='Données projet'!$A$140,'Données projet'!$B$140,CT91+CS92-DB91)))</f>
        <v>295.85897435897465</v>
      </c>
      <c r="CU92" s="17">
        <f>CT92*VLOOKUP('Données projet'!$B$13,Paramètres!$A$1:$I$89,3,0)*VLOOKUP('Données projet'!$B$13,Paramètres!$A$1:$I$89,5,0)</f>
        <v>198.46220000000019</v>
      </c>
      <c r="CV92" s="13">
        <f t="shared" si="95"/>
        <v>49.406054157567723</v>
      </c>
      <c r="CW92" s="20">
        <f t="shared" si="67"/>
        <v>431.70387599109745</v>
      </c>
      <c r="CX92" s="59">
        <f t="shared" si="68"/>
        <v>725.03720932443071</v>
      </c>
      <c r="CY92" s="59">
        <f ca="1">AVERAGE(OFFSET($CX$3,0,0,'Données projet'!$E$13+1,1))-AVERAGE(OFFSET($H$3,0,0,'Données projet'!$E$13+1,1))</f>
        <v>294.94331863127815</v>
      </c>
      <c r="CZ92" s="59">
        <f t="shared" si="96"/>
        <v>218.36990036643977</v>
      </c>
      <c r="DA92" s="15">
        <f>IF(ISNA(VLOOKUP(A92,'Données projet'!$A$139:$I$159,3,0)),0,VLOOKUP(A92,'Données projet'!$A$139:$I$159,3,0))</f>
        <v>8</v>
      </c>
      <c r="DB92" s="15">
        <f>IF(ISNA(VLOOKUP(A92,'Données projet'!$A$139:$I$159,4,0)),0,VLOOKUP(A92,'Données projet'!$A$139:$I$159,4,0))</f>
        <v>49.391025641025635</v>
      </c>
      <c r="DC92" s="16">
        <f>IF(ISNA(VLOOKUP(A92,'Données projet'!$A$139:$I$159,5,0)),0%,VLOOKUP(A92,'Données projet'!$A$139:$I$159,5,0)*VLOOKUP('Données projet'!$B$13,Paramètres!$A$1:$I$89,7,0))</f>
        <v>0.371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38.639147483431429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38.639147483431429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266.99999999999983</v>
      </c>
      <c r="DP92" s="17">
        <f>DO92*VLOOKUP('Données projet'!$B$14,Paramètres!$A$1:$I$89,3,0)*VLOOKUP('Données projet'!$B$14,Paramètres!$A$1:$I$89,5,0)</f>
        <v>195.76439999999985</v>
      </c>
      <c r="DQ92" s="13">
        <f t="shared" si="97"/>
        <v>48.812154563023455</v>
      </c>
      <c r="DR92" s="20">
        <f t="shared" si="70"/>
        <v>425.9708325305989</v>
      </c>
      <c r="DS92" s="59">
        <f t="shared" si="71"/>
        <v>719.30416586393221</v>
      </c>
      <c r="DT92" s="59">
        <f ca="1">AVERAGE(OFFSET($DS$3,0,0,'Données projet'!$E$14+1,1))-AVERAGE(OFFSET($H$3,0,0,'Données projet'!$E$14+1,1))</f>
        <v>278.45534008146865</v>
      </c>
      <c r="DU92" s="59">
        <f t="shared" si="98"/>
        <v>272.97841038165217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18.012507002269562</v>
      </c>
      <c r="EB92" s="21">
        <f>EXP(-LN(2)/25)*EB91+(1-EXP(-LN(2)/25))/(LN(2)/25)*Calculateur!DW92*Calculateur!DY92*VLOOKUP('Données projet'!$B$14,Paramètres!$A$1:$I$89,3,0)*0.475*44/12</f>
        <v>4.8521941651671607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22.864701167436721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>
        <f>VLOOKUP(A92,'Données projet'!$A$191:$I$211,2,0)</f>
        <v>295.85897435897436</v>
      </c>
      <c r="EH92" s="12">
        <f>VLOOKUP(A92,'Données projet'!$A$191:$I$211,9,0)</f>
        <v>7.4950142450142421</v>
      </c>
      <c r="EI92" s="12">
        <f t="array" ref="EI92">INDEX(EH:EH,MIN(IF(ISNUMBER(EH92:EH288),ROW(EH92:EH288),"")))</f>
        <v>7.4950142450142421</v>
      </c>
      <c r="EJ92" s="12">
        <f>IF('Données projet'!$A$192&gt;35,EJ91+EI92-ER91,IF(A92&lt;'Données projet'!$A$192,$EG$205^A92,IF(A92='Données projet'!$A$192,'Données projet'!$B$192,EJ91+EI92-ER91)))</f>
        <v>295.85897435897465</v>
      </c>
      <c r="EK92" s="17">
        <f>EJ92*VLOOKUP('Données projet'!$B$15,Paramètres!$A$1:$I$89,3,0)*VLOOKUP('Données projet'!$B$15,Paramètres!$A$1:$I$89,5,0)</f>
        <v>318.46260000000029</v>
      </c>
      <c r="EL92" s="13">
        <f t="shared" si="99"/>
        <v>75.033378088660697</v>
      </c>
      <c r="EM92" s="20">
        <f t="shared" si="73"/>
        <v>685.33882850441785</v>
      </c>
      <c r="EN92" s="59">
        <f t="shared" si="74"/>
        <v>978.67216183775122</v>
      </c>
      <c r="EO92" s="59">
        <f ca="1">AVERAGE(OFFSET($EN$3,0,0,'Données projet'!$E$15+1,1))-AVERAGE(OFFSET($H$3,0,0,'Données projet'!$E$15+1,1))</f>
        <v>449.09332781196957</v>
      </c>
      <c r="EP92" s="59">
        <f t="shared" si="100"/>
        <v>324.85904971519432</v>
      </c>
      <c r="EQ92" s="15">
        <f>IF(ISNA(VLOOKUP(A92,'Données projet'!$A$191:$I$211,3,0)),0,VLOOKUP(A92,'Données projet'!$A$191:$I$211,3,0))</f>
        <v>8</v>
      </c>
      <c r="ER92" s="15">
        <f>IF(ISNA(VLOOKUP(A92,'Données projet'!$A$191:$I$211,4,0)),0,VLOOKUP(A92,'Données projet'!$A$191:$I$211,4,0))</f>
        <v>49.391025641025635</v>
      </c>
      <c r="ES92" s="16">
        <f>IF(ISNA(VLOOKUP(A92,'Données projet'!$A$191:$I$211,5,0)),0%,VLOOKUP(A92,'Données projet'!$A$191:$I$211,5,0)*VLOOKUP('Données projet'!$B$15,Paramètres!$A$1:$I$89,7,0))</f>
        <v>0.30099999999999999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50.303795780316378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50.303795780316378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>
        <f>VLOOKUP(A92,'Données projet'!$A$217:$I$237,2,0)</f>
        <v>295.85897435897436</v>
      </c>
      <c r="FC92" s="12">
        <f>VLOOKUP(A92,'Données projet'!$A$217:$I$237,9,0)</f>
        <v>7.4950142450142421</v>
      </c>
      <c r="FD92" s="12">
        <f t="array" ref="FD92">INDEX(FC:FC,MIN(IF(ISNUMBER(FC92:FC288),ROW(FC92:FC288),"")))</f>
        <v>7.4950142450142421</v>
      </c>
      <c r="FE92" s="12">
        <f>IF('Données projet'!$A$218&gt;35,FE91+FD92-FM91,IF(A92&lt;'Données projet'!$A$218,$FB$205^A92,IF(A92='Données projet'!$A$218,'Données projet'!$B$218,FE91+FD92-FM91)))</f>
        <v>295.85897435897465</v>
      </c>
      <c r="FF92" s="17">
        <f>FE92*VLOOKUP('Données projet'!$B$16,Paramètres!$A$1:$I$89,3,0)*VLOOKUP('Données projet'!$B$16,Paramètres!$A$1:$I$89,5,0)</f>
        <v>300.00100000000032</v>
      </c>
      <c r="FG92" s="13">
        <f t="shared" si="101"/>
        <v>71.176673114058119</v>
      </c>
      <c r="FH92" s="20">
        <f t="shared" si="76"/>
        <v>646.46778067365187</v>
      </c>
      <c r="FI92" s="59">
        <f t="shared" si="77"/>
        <v>939.80111400698524</v>
      </c>
      <c r="FJ92" s="59">
        <f ca="1">AVERAGE(OFFSET($FI$3,0,0,'Données projet'!$E$16+1,1))-AVERAGE(OFFSET($H$3,0,0,'Données projet'!$E$16+1,1))</f>
        <v>419.51168383014721</v>
      </c>
      <c r="FK92" s="59">
        <f t="shared" si="102"/>
        <v>213.44145308833384</v>
      </c>
      <c r="FL92" s="15">
        <f>IF(ISNA(VLOOKUP(A92,'Données projet'!$A$217:$I$237,3,0)),0,VLOOKUP(A92,'Données projet'!$A$217:$I$237,3,0))</f>
        <v>8</v>
      </c>
      <c r="FM92" s="15">
        <f>IF(ISNA(VLOOKUP(A92,'Données projet'!$A$217:$I$237,4,0)),0,VLOOKUP(A92,'Données projet'!$A$217:$I$237,4,0))</f>
        <v>49.391025641025635</v>
      </c>
      <c r="FN92" s="16">
        <f>IF(ISNA(VLOOKUP(A92,'Données projet'!$A$217:$I$237,5,0)),0%,VLOOKUP(A92,'Données projet'!$A$217:$I$237,5,0)*VLOOKUP('Données projet'!$B$16,Paramètres!$A$1:$I$89,7,0))</f>
        <v>0.30099999999999999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47.387633706095151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47.387633706095151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266.99999999999983</v>
      </c>
      <c r="GA92" s="17">
        <f>FZ92*VLOOKUP('Données projet'!$B$17,Paramètres!$A$1:$I$89,3,0)*VLOOKUP('Données projet'!$B$17,Paramètres!$A$1:$I$89,5,0)</f>
        <v>233.2511999999999</v>
      </c>
      <c r="GB92" s="13">
        <f t="shared" si="103"/>
        <v>56.985091661350864</v>
      </c>
      <c r="GC92" s="20">
        <f t="shared" si="79"/>
        <v>505.49487464351915</v>
      </c>
      <c r="GD92" s="59">
        <f t="shared" si="80"/>
        <v>798.82820797685247</v>
      </c>
      <c r="GE92" s="59">
        <f ca="1">AVERAGE(OFFSET($GD$3,0,0,'Données projet'!$E$17+1,1))-AVERAGE(OFFSET($H$3,0,0,'Données projet'!$E$17+1,1))</f>
        <v>324.86930206492627</v>
      </c>
      <c r="GF92" s="59">
        <f t="shared" si="104"/>
        <v>317.03005098025352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26.452805929112355</v>
      </c>
      <c r="GM92" s="21">
        <f>EXP(-LN(2)/25)*GM91+(1-EXP(-LN(2)/25))/(LN(2)/25)*Calculateur!GH92*Calculateur!GJ92*VLOOKUP('Données projet'!$B$17,Paramètres!$A$1:$I$89,3,0)*0.475*44/12</f>
        <v>7.1258348749213978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33.578640804033753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>
        <f>VLOOKUP(A92,'Données projet'!$A$269:$I$289,2,0)</f>
        <v>295.85897435897436</v>
      </c>
      <c r="GS92" s="12">
        <f>VLOOKUP(A92,'Données projet'!$A$269:$I$289,9,0)</f>
        <v>7.4950142450142421</v>
      </c>
      <c r="GT92" s="12">
        <f t="array" ref="GT92">INDEX(GS:GS,MIN(IF(ISNUMBER(GS92:GS288),ROW(GS92:GS288),"")))</f>
        <v>7.4950142450142421</v>
      </c>
      <c r="GU92" s="12">
        <f>IF('Données projet'!$A$270&gt;35,GU91+GT92-HC91,IF(A92&lt;'Données projet'!$A$270,$GR$205^A92,IF(A92='Données projet'!$A$270,'Données projet'!$B$270,GU91+GT92-HC91)))</f>
        <v>295.85897435897465</v>
      </c>
      <c r="GV92" s="17">
        <f>GU92*VLOOKUP('Données projet'!$B$18,Paramètres!$A$1:$I$89,3,0)*VLOOKUP('Données projet'!$B$18,Paramètres!$A$1:$I$89,5,0)</f>
        <v>281.53940000000028</v>
      </c>
      <c r="GW92" s="13">
        <f t="shared" si="105"/>
        <v>67.29222447178195</v>
      </c>
      <c r="GX92" s="20">
        <f t="shared" si="82"/>
        <v>607.54841262168736</v>
      </c>
      <c r="GY92" s="59">
        <f t="shared" si="83"/>
        <v>900.88174595502073</v>
      </c>
      <c r="GZ92" s="59">
        <f ca="1">AVERAGE(OFFSET($GY$3,0,0,'Données projet'!$E$18+1,1))-AVERAGE(OFFSET($H$3,0,0,'Données projet'!$E$18+1,1))</f>
        <v>401.81944956556271</v>
      </c>
      <c r="HA92" s="59">
        <f t="shared" si="106"/>
        <v>292.20785523952651</v>
      </c>
      <c r="HB92" s="15">
        <f>IF(ISNA(VLOOKUP(A92,'Données projet'!$A$269:$I$289,3,0)),0,VLOOKUP(A92,'Données projet'!$A$269:$I$289,3,0))</f>
        <v>8</v>
      </c>
      <c r="HC92" s="15">
        <f>IF(ISNA(VLOOKUP(A92,'Données projet'!$A$269:$I$289,4,0)),0,VLOOKUP(A92,'Données projet'!$A$269:$I$289,4,0))</f>
        <v>49.391025641025635</v>
      </c>
      <c r="HD92" s="16">
        <f>IF(ISNA(VLOOKUP(A92,'Données projet'!$A$269:$I$289,5,0)),0%,VLOOKUP(A92,'Données projet'!$A$269:$I$289,5,0)*VLOOKUP('Données projet'!$B$18,Paramètres!$A$1:$I$89,7,0))</f>
        <v>0.30099999999999999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44.471471631873911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44.471471631873911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253.64615384615416</v>
      </c>
      <c r="O93" s="13">
        <f>N93*VLOOKUP('Données projet'!$B$9,Paramètres!$A$1:$I$89,3,0)*VLOOKUP('Données projet'!$B$9,Paramètres!$A$1:$I$89,5,0)</f>
        <v>229.49904000000029</v>
      </c>
      <c r="P93" s="13">
        <f t="shared" si="87"/>
        <v>56.174348524497042</v>
      </c>
      <c r="Q93" s="20">
        <f t="shared" si="54"/>
        <v>497.54781834683286</v>
      </c>
      <c r="R93" s="59">
        <f t="shared" si="55"/>
        <v>790.88115168016611</v>
      </c>
      <c r="S93" s="59">
        <f ca="1">AVERAGE(OFFSET($R$3,0,0,'Données projet'!$E$9+1,1))-AVERAGE(OFFSET($H$3,0,0,'Données projet'!$E$9+1,1))</f>
        <v>384.05928630855732</v>
      </c>
      <c r="T93" s="59">
        <f t="shared" si="88"/>
        <v>279.93992813630513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-6.3550942286383367E-14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335.04906256888819</v>
      </c>
      <c r="AO93" s="59">
        <f t="shared" si="90"/>
        <v>440.84111898279554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113.32854098128254</v>
      </c>
      <c r="AV93" s="21">
        <f>EXP(-LN(2)/25)*AV92+(1-EXP(-LN(2)/25))/(LN(2)/25)*Calculateur!AQ93*Calculateur!AS93*VLOOKUP('Données projet'!$B$10,Paramètres!$A$1:$I$89,3,0)*0.475*44/12</f>
        <v>21.829228880672847</v>
      </c>
      <c r="AW93" s="21">
        <f>EXP(-LN(2)/2)*AW92+(1-EXP(-LN(2)/2))/(LN(2)/2)*AQ93*AT93*VLOOKUP('Données projet'!$B$10,Paramètres!$A$1:$I$89,3,0)*0.475*44/12</f>
        <v>1.8429328701387854E-4</v>
      </c>
      <c r="AX93" s="21">
        <f t="shared" si="60"/>
        <v>135.15795415524241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3.2153846153846168</v>
      </c>
      <c r="BD93" s="12">
        <f>IF('Données projet'!$A$88&gt;35,BD92+BC93-BL92,IF(A93&lt;'Données projet'!$A$88,$BA$205^A93,IF(A93='Données projet'!$A$88,'Données projet'!$B$88,BD92+BC93-BL92)))</f>
        <v>176.03846153846141</v>
      </c>
      <c r="BE93" s="13">
        <f>BD93*VLOOKUP('Données projet'!$B$11,Paramètres!$A$1:$I$89,3,0)*VLOOKUP('Données projet'!$B$11,Paramètres!$A$1:$I$89,5,0)</f>
        <v>100.69399999999993</v>
      </c>
      <c r="BF93" s="13">
        <f t="shared" si="91"/>
        <v>27.127266869657319</v>
      </c>
      <c r="BG93" s="20">
        <f t="shared" si="61"/>
        <v>222.62203979798639</v>
      </c>
      <c r="BH93" s="59">
        <f t="shared" si="62"/>
        <v>515.95537313131967</v>
      </c>
      <c r="BI93" s="59">
        <f ca="1">AVERAGE(OFFSET($BH$3,0,0,'Données projet'!$E$11+1,1))-AVERAGE(OFFSET($H$3,0,0,'Données projet'!$E$11+1,1))</f>
        <v>320.76883487964511</v>
      </c>
      <c r="BJ93" s="59">
        <f t="shared" si="92"/>
        <v>290.51177680335746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92.126058205753097</v>
      </c>
      <c r="BQ93" s="21">
        <f>EXP(-LN(2)/25)*BQ92+(1-EXP(-LN(2)/25))/(LN(2)/25)*Calculateur!BL93*Calculateur!BN93*VLOOKUP('Données projet'!$B$11,Paramètres!$A$1:$I$89,3,0)*0.475*44/12</f>
        <v>22.69395089133895</v>
      </c>
      <c r="BR93" s="21">
        <f>EXP(-LN(2)/2)*BR92+(1-EXP(-LN(2)/2))/(LN(2)/2)*BL93*BO93*VLOOKUP('Données projet'!$B$11,Paramètres!$A$1:$I$89,3,0)*0.475*44/12</f>
        <v>10.479192991186952</v>
      </c>
      <c r="BS93" s="22">
        <f t="shared" si="63"/>
        <v>125.299202088279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304.99999999999983</v>
      </c>
      <c r="BZ93" s="13">
        <f>BY93*VLOOKUP('Données projet'!$B$12,Paramètres!$A$1:$I$89,3,0)*VLOOKUP('Données projet'!$B$12,Paramètres!$A$1:$I$89,5,0)</f>
        <v>275.96399999999983</v>
      </c>
      <c r="CA93" s="13">
        <f t="shared" si="93"/>
        <v>66.113366665488854</v>
      </c>
      <c r="CB93" s="20">
        <f t="shared" si="64"/>
        <v>595.78474694239264</v>
      </c>
      <c r="CC93" s="59">
        <f t="shared" si="65"/>
        <v>889.11808027572602</v>
      </c>
      <c r="CD93" s="59">
        <f ca="1">AVERAGE(OFFSET($CC$3,0,0,'Données projet'!$E$12+1,1))-AVERAGE(OFFSET($H$3,0,0,'Données projet'!$E$12+1,1))</f>
        <v>366.69125512029831</v>
      </c>
      <c r="CE93" s="59">
        <f t="shared" si="94"/>
        <v>513.80016421153414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0.49256280384647233</v>
      </c>
      <c r="CL93" s="21">
        <f>EXP(-LN(2)/25)*CL92+(1-EXP(-LN(2)/25))/(LN(2)/25)*Calculateur!CG93*Calculateur!CI93*VLOOKUP('Données projet'!$B$12,Paramètres!$A$1:$I$89,3,0)*0.475*44/12</f>
        <v>1.3988177513149376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1.89138055516141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7.1782051282051267</v>
      </c>
      <c r="CT93" s="12">
        <f>IF('Données projet'!$A$140&gt;35,CT92+CS93-DB92,IF(A93&lt;'Données projet'!$A$140,$CQ$205^A93,IF(A93='Données projet'!$A$140,'Données projet'!$B$140,CT92+CS93-DB92)))</f>
        <v>253.64615384615416</v>
      </c>
      <c r="CU93" s="17">
        <f>CT93*VLOOKUP('Données projet'!$B$13,Paramètres!$A$1:$I$89,3,0)*VLOOKUP('Données projet'!$B$13,Paramètres!$A$1:$I$89,5,0)</f>
        <v>170.14584000000022</v>
      </c>
      <c r="CV93" s="13">
        <f t="shared" si="95"/>
        <v>43.122685263532333</v>
      </c>
      <c r="CW93" s="20">
        <f t="shared" si="67"/>
        <v>371.4426815006525</v>
      </c>
      <c r="CX93" s="59">
        <f t="shared" si="68"/>
        <v>664.77601483398576</v>
      </c>
      <c r="CY93" s="59">
        <f ca="1">AVERAGE(OFFSET($CX$3,0,0,'Données projet'!$E$13+1,1))-AVERAGE(OFFSET($H$3,0,0,'Données projet'!$E$13+1,1))</f>
        <v>294.94331863127815</v>
      </c>
      <c r="CZ93" s="59">
        <f t="shared" si="96"/>
        <v>218.36990036643977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37.881457368834198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37.881457368834198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266.99999999999983</v>
      </c>
      <c r="DP93" s="17">
        <f>DO93*VLOOKUP('Données projet'!$B$14,Paramètres!$A$1:$I$89,3,0)*VLOOKUP('Données projet'!$B$14,Paramètres!$A$1:$I$89,5,0)</f>
        <v>195.76439999999985</v>
      </c>
      <c r="DQ93" s="13">
        <f t="shared" si="97"/>
        <v>48.812154563023455</v>
      </c>
      <c r="DR93" s="20">
        <f t="shared" si="70"/>
        <v>425.9708325305989</v>
      </c>
      <c r="DS93" s="59">
        <f t="shared" si="71"/>
        <v>719.30416586393221</v>
      </c>
      <c r="DT93" s="59">
        <f ca="1">AVERAGE(OFFSET($DS$3,0,0,'Données projet'!$E$14+1,1))-AVERAGE(OFFSET($H$3,0,0,'Données projet'!$E$14+1,1))</f>
        <v>278.45534008146865</v>
      </c>
      <c r="DU93" s="59">
        <f t="shared" si="98"/>
        <v>272.97841038165217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17.659292726499494</v>
      </c>
      <c r="EB93" s="21">
        <f>EXP(-LN(2)/25)*EB92+(1-EXP(-LN(2)/25))/(LN(2)/25)*Calculateur!DW93*Calculateur!DY93*VLOOKUP('Données projet'!$B$14,Paramètres!$A$1:$I$89,3,0)*0.475*44/12</f>
        <v>4.7195106605548638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22.378803387054358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7.1782051282051267</v>
      </c>
      <c r="EJ93" s="12">
        <f>IF('Données projet'!$A$192&gt;35,EJ92+EI93-ER92,IF(A93&lt;'Données projet'!$A$192,$EG$205^A93,IF(A93='Données projet'!$A$192,'Données projet'!$B$192,EJ92+EI93-ER92)))</f>
        <v>253.64615384615416</v>
      </c>
      <c r="EK93" s="17">
        <f>EJ93*VLOOKUP('Données projet'!$B$15,Paramètres!$A$1:$I$89,3,0)*VLOOKUP('Données projet'!$B$15,Paramètres!$A$1:$I$89,5,0)</f>
        <v>273.02472000000034</v>
      </c>
      <c r="EL93" s="13">
        <f t="shared" si="99"/>
        <v>65.490774415169966</v>
      </c>
      <c r="EM93" s="20">
        <f t="shared" si="73"/>
        <v>589.58115277308832</v>
      </c>
      <c r="EN93" s="59">
        <f t="shared" si="74"/>
        <v>882.91448610642169</v>
      </c>
      <c r="EO93" s="59">
        <f ca="1">AVERAGE(OFFSET($EN$3,0,0,'Données projet'!$E$15+1,1))-AVERAGE(OFFSET($H$3,0,0,'Données projet'!$E$15+1,1))</f>
        <v>449.09332781196957</v>
      </c>
      <c r="EP93" s="59">
        <f t="shared" si="100"/>
        <v>324.85904971519432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49.317369027350175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49.317369027350175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7.1782051282051267</v>
      </c>
      <c r="FE93" s="12">
        <f>IF('Données projet'!$A$218&gt;35,FE92+FD93-FM92,IF(A93&lt;'Données projet'!$A$218,$FB$205^A93,IF(A93='Données projet'!$A$218,'Données projet'!$B$218,FE92+FD93-FM92)))</f>
        <v>253.64615384615416</v>
      </c>
      <c r="FF93" s="17">
        <f>FE93*VLOOKUP('Données projet'!$B$16,Paramètres!$A$1:$I$89,3,0)*VLOOKUP('Données projet'!$B$16,Paramètres!$A$1:$I$89,5,0)</f>
        <v>257.19720000000035</v>
      </c>
      <c r="FG93" s="13">
        <f t="shared" si="101"/>
        <v>62.124557913773614</v>
      </c>
      <c r="FH93" s="20">
        <f t="shared" si="76"/>
        <v>556.15206169982298</v>
      </c>
      <c r="FI93" s="59">
        <f t="shared" si="77"/>
        <v>849.48539503315624</v>
      </c>
      <c r="FJ93" s="59">
        <f ca="1">AVERAGE(OFFSET($FI$3,0,0,'Données projet'!$E$16+1,1))-AVERAGE(OFFSET($H$3,0,0,'Données projet'!$E$16+1,1))</f>
        <v>419.51168383014721</v>
      </c>
      <c r="FK93" s="59">
        <f t="shared" si="102"/>
        <v>213.44145308833384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46.458391112721195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46.458391112721195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266.99999999999983</v>
      </c>
      <c r="GA93" s="17">
        <f>FZ93*VLOOKUP('Données projet'!$B$17,Paramètres!$A$1:$I$89,3,0)*VLOOKUP('Données projet'!$B$17,Paramètres!$A$1:$I$89,5,0)</f>
        <v>233.2511999999999</v>
      </c>
      <c r="GB93" s="13">
        <f t="shared" si="103"/>
        <v>56.985091661350864</v>
      </c>
      <c r="GC93" s="20">
        <f t="shared" si="79"/>
        <v>505.49487464351915</v>
      </c>
      <c r="GD93" s="59">
        <f t="shared" si="80"/>
        <v>798.82820797685247</v>
      </c>
      <c r="GE93" s="59">
        <f ca="1">AVERAGE(OFFSET($GD$3,0,0,'Données projet'!$E$17+1,1))-AVERAGE(OFFSET($H$3,0,0,'Données projet'!$E$17+1,1))</f>
        <v>324.86930206492627</v>
      </c>
      <c r="GF93" s="59">
        <f t="shared" si="104"/>
        <v>317.03005098025352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25.934082539460917</v>
      </c>
      <c r="GM93" s="21">
        <f>EXP(-LN(2)/25)*GM92+(1-EXP(-LN(2)/25))/(LN(2)/25)*Calculateur!GH93*Calculateur!GJ93*VLOOKUP('Données projet'!$B$17,Paramètres!$A$1:$I$89,3,0)*0.475*44/12</f>
        <v>6.9309785455353028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32.865061084996221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7.1782051282051267</v>
      </c>
      <c r="GU93" s="12">
        <f>IF('Données projet'!$A$270&gt;35,GU92+GT93-HC92,IF(A93&lt;'Données projet'!$A$270,$GR$205^A93,IF(A93='Données projet'!$A$270,'Données projet'!$B$270,GU92+GT93-HC92)))</f>
        <v>253.64615384615416</v>
      </c>
      <c r="GV93" s="17">
        <f>GU93*VLOOKUP('Données projet'!$B$18,Paramètres!$A$1:$I$89,3,0)*VLOOKUP('Données projet'!$B$18,Paramètres!$A$1:$I$89,5,0)</f>
        <v>241.36968000000027</v>
      </c>
      <c r="GW93" s="13">
        <f t="shared" si="105"/>
        <v>58.734126132093422</v>
      </c>
      <c r="GX93" s="20">
        <f t="shared" si="82"/>
        <v>522.68079568006328</v>
      </c>
      <c r="GY93" s="59">
        <f t="shared" si="83"/>
        <v>816.01412901339654</v>
      </c>
      <c r="GZ93" s="59">
        <f ca="1">AVERAGE(OFFSET($GY$3,0,0,'Données projet'!$E$18+1,1))-AVERAGE(OFFSET($H$3,0,0,'Données projet'!$E$18+1,1))</f>
        <v>401.81944956556271</v>
      </c>
      <c r="HA93" s="59">
        <f t="shared" si="106"/>
        <v>292.20785523952651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43.599413198092194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43.599413198092194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260.82435897435931</v>
      </c>
      <c r="O94" s="13">
        <f>N94*VLOOKUP('Données projet'!$B$9,Paramètres!$A$1:$I$89,3,0)*VLOOKUP('Données projet'!$B$9,Paramètres!$A$1:$I$89,5,0)</f>
        <v>235.99388000000027</v>
      </c>
      <c r="P94" s="13">
        <f t="shared" si="87"/>
        <v>57.57675164364376</v>
      </c>
      <c r="Q94" s="20">
        <f t="shared" si="54"/>
        <v>511.30218344601343</v>
      </c>
      <c r="R94" s="59">
        <f t="shared" si="55"/>
        <v>804.63551677934674</v>
      </c>
      <c r="S94" s="59">
        <f ca="1">AVERAGE(OFFSET($R$3,0,0,'Données projet'!$E$9+1,1))-AVERAGE(OFFSET($H$3,0,0,'Données projet'!$E$9+1,1))</f>
        <v>384.05928630855732</v>
      </c>
      <c r="T94" s="59">
        <f t="shared" si="88"/>
        <v>279.93992813630513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-6.3550942286383367E-14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335.04906256888819</v>
      </c>
      <c r="AO94" s="59">
        <f t="shared" si="90"/>
        <v>440.84111898279554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111.1062374162242</v>
      </c>
      <c r="AV94" s="21">
        <f>EXP(-LN(2)/25)*AV93+(1-EXP(-LN(2)/25))/(LN(2)/25)*Calculateur!AQ94*Calculateur!AS94*VLOOKUP('Données projet'!$B$10,Paramètres!$A$1:$I$89,3,0)*0.475*44/12</f>
        <v>21.232307468981592</v>
      </c>
      <c r="AW94" s="21">
        <f>EXP(-LN(2)/2)*AW93+(1-EXP(-LN(2)/2))/(LN(2)/2)*AQ94*AT94*VLOOKUP('Données projet'!$B$10,Paramètres!$A$1:$I$89,3,0)*0.475*44/12</f>
        <v>1.3031503297467222E-4</v>
      </c>
      <c r="AX94" s="21">
        <f t="shared" si="60"/>
        <v>132.33867520023878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>
        <f>VLOOKUP(A94,'Données projet'!$A$87:$I$107,2,0)</f>
        <v>179.25384615384615</v>
      </c>
      <c r="BB94" s="12">
        <f>VLOOKUP(A94,'Données projet'!$A$87:$I$107,9,0)</f>
        <v>3.2153846153846168</v>
      </c>
      <c r="BC94" s="12">
        <f t="array" ref="BC94">INDEX(BB:BB,MIN(IF(ISNUMBER(BB94:BB290),ROW(BB94:BB290),"")))</f>
        <v>3.2153846153846168</v>
      </c>
      <c r="BD94" s="12">
        <f>IF('Données projet'!$A$88&gt;35,BD93+BC94-BL93,IF(A94&lt;'Données projet'!$A$88,$BA$205^A94,IF(A94='Données projet'!$A$88,'Données projet'!$B$88,BD93+BC94-BL93)))</f>
        <v>179.25384615384601</v>
      </c>
      <c r="BE94" s="13">
        <f>BD94*VLOOKUP('Données projet'!$B$11,Paramètres!$A$1:$I$89,3,0)*VLOOKUP('Données projet'!$B$11,Paramètres!$A$1:$I$89,5,0)</f>
        <v>102.53319999999992</v>
      </c>
      <c r="BF94" s="13">
        <f t="shared" si="91"/>
        <v>27.564616039781431</v>
      </c>
      <c r="BG94" s="20">
        <f t="shared" si="61"/>
        <v>226.58702960261917</v>
      </c>
      <c r="BH94" s="59">
        <f t="shared" si="62"/>
        <v>519.92036293595243</v>
      </c>
      <c r="BI94" s="59">
        <f ca="1">AVERAGE(OFFSET($BH$3,0,0,'Données projet'!$E$11+1,1))-AVERAGE(OFFSET($H$3,0,0,'Données projet'!$E$11+1,1))</f>
        <v>320.76883487964511</v>
      </c>
      <c r="BJ94" s="59">
        <f t="shared" si="92"/>
        <v>290.51177680335746</v>
      </c>
      <c r="BK94" s="15">
        <f>IF(ISNA(VLOOKUP(A94,'Données projet'!$A$87:$I$107,3,0)),0,VLOOKUP(A94,'Données projet'!$A$87:$I$107,3,0))</f>
        <v>11</v>
      </c>
      <c r="BL94" s="15">
        <f>IF(ISNA(VLOOKUP(A94,'Données projet'!$A$87:$I$107,4,0)),0,VLOOKUP(A94,'Données projet'!$A$87:$I$107,4,0))</f>
        <v>179.25384615384615</v>
      </c>
      <c r="BM94" s="16">
        <f>IF(ISNA(VLOOKUP(A94,'Données projet'!$A$87:$I$107,5,0)),0%,VLOOKUP(A94,'Données projet'!$A$87:$I$107,5,0)*VLOOKUP('Données projet'!$B$11,Paramètres!$A$1:$I$89,7,0))</f>
        <v>0.315</v>
      </c>
      <c r="BN94" s="16">
        <f>IF(ISNA(VLOOKUP(A94,'Données projet'!$A$87:$I$107,6,0)),0%,VLOOKUP(A94,'Données projet'!$A$87:$I$107,6,0)*VLOOKUP('Données projet'!$B$11,Paramètres!$A$1:$I$89,7,0))</f>
        <v>7.6500000000000012E-2</v>
      </c>
      <c r="BO94" s="16">
        <f>IF(ISNA(VLOOKUP(A94,'Données projet'!$A$87:$I$107,7,0)),0%,VLOOKUP(A94,'Données projet'!$A$87:$I$107,7,0))</f>
        <v>0.13</v>
      </c>
      <c r="BP94" s="21">
        <f>EXP(-LN(2)/35)*BP93+(1-EXP(-LN(2)/35))/(LN(2)/35)*BL94*BM94*VLOOKUP('Données projet'!$B$11,Paramètres!$A$1:$I$89,3,0)*0.475*44/12</f>
        <v>133.16484546176449</v>
      </c>
      <c r="BQ94" s="21">
        <f>EXP(-LN(2)/25)*BQ93+(1-EXP(-LN(2)/25))/(LN(2)/25)*Calculateur!BL94*Calculateur!BN94*VLOOKUP('Données projet'!$B$11,Paramètres!$A$1:$I$89,3,0)*0.475*44/12</f>
        <v>32.437706753148568</v>
      </c>
      <c r="BR94" s="21">
        <f>EXP(-LN(2)/2)*BR93+(1-EXP(-LN(2)/2))/(LN(2)/2)*BL94*BO94*VLOOKUP('Données projet'!$B$11,Paramètres!$A$1:$I$89,3,0)*0.475*44/12</f>
        <v>22.501790504567118</v>
      </c>
      <c r="BS94" s="22">
        <f t="shared" si="63"/>
        <v>188.10434271948017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304.99999999999983</v>
      </c>
      <c r="BZ94" s="13">
        <f>BY94*VLOOKUP('Données projet'!$B$12,Paramètres!$A$1:$I$89,3,0)*VLOOKUP('Données projet'!$B$12,Paramètres!$A$1:$I$89,5,0)</f>
        <v>275.96399999999983</v>
      </c>
      <c r="CA94" s="13">
        <f t="shared" si="93"/>
        <v>66.113366665488854</v>
      </c>
      <c r="CB94" s="20">
        <f t="shared" si="64"/>
        <v>595.78474694239264</v>
      </c>
      <c r="CC94" s="59">
        <f t="shared" si="65"/>
        <v>889.11808027572602</v>
      </c>
      <c r="CD94" s="59">
        <f ca="1">AVERAGE(OFFSET($CC$3,0,0,'Données projet'!$E$12+1,1))-AVERAGE(OFFSET($H$3,0,0,'Données projet'!$E$12+1,1))</f>
        <v>366.69125512029831</v>
      </c>
      <c r="CE94" s="59">
        <f t="shared" si="94"/>
        <v>513.80016421153414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0.48290394769668799</v>
      </c>
      <c r="CL94" s="21">
        <f>EXP(-LN(2)/25)*CL93+(1-EXP(-LN(2)/25))/(LN(2)/25)*Calculateur!CG94*Calculateur!CI94*VLOOKUP('Données projet'!$B$12,Paramètres!$A$1:$I$89,3,0)*0.475*44/12</f>
        <v>1.360567006344602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1.8434709540412899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7.1782051282051267</v>
      </c>
      <c r="CT94" s="12">
        <f>IF('Données projet'!$A$140&gt;35,CT93+CS94-DB93,IF(A94&lt;'Données projet'!$A$140,$CQ$205^A94,IF(A94='Données projet'!$A$140,'Données projet'!$B$140,CT93+CS94-DB93)))</f>
        <v>260.82435897435931</v>
      </c>
      <c r="CU94" s="17">
        <f>CT94*VLOOKUP('Données projet'!$B$13,Paramètres!$A$1:$I$89,3,0)*VLOOKUP('Données projet'!$B$13,Paramètres!$A$1:$I$89,5,0)</f>
        <v>174.96098000000023</v>
      </c>
      <c r="CV94" s="13">
        <f t="shared" si="95"/>
        <v>44.199251167864752</v>
      </c>
      <c r="CW94" s="20">
        <f t="shared" si="67"/>
        <v>381.7040692840315</v>
      </c>
      <c r="CX94" s="59">
        <f t="shared" si="68"/>
        <v>675.03740261736482</v>
      </c>
      <c r="CY94" s="59">
        <f ca="1">AVERAGE(OFFSET($CX$3,0,0,'Données projet'!$E$13+1,1))-AVERAGE(OFFSET($H$3,0,0,'Données projet'!$E$13+1,1))</f>
        <v>294.94331863127815</v>
      </c>
      <c r="CZ94" s="59">
        <f t="shared" si="96"/>
        <v>218.36990036643977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37.138625095238886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37.138625095238886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266.99999999999983</v>
      </c>
      <c r="DP94" s="17">
        <f>DO94*VLOOKUP('Données projet'!$B$14,Paramètres!$A$1:$I$89,3,0)*VLOOKUP('Données projet'!$B$14,Paramètres!$A$1:$I$89,5,0)</f>
        <v>195.76439999999985</v>
      </c>
      <c r="DQ94" s="13">
        <f t="shared" si="97"/>
        <v>48.812154563023455</v>
      </c>
      <c r="DR94" s="20">
        <f t="shared" si="70"/>
        <v>425.9708325305989</v>
      </c>
      <c r="DS94" s="59">
        <f t="shared" si="71"/>
        <v>719.30416586393221</v>
      </c>
      <c r="DT94" s="59">
        <f ca="1">AVERAGE(OFFSET($DS$3,0,0,'Données projet'!$E$14+1,1))-AVERAGE(OFFSET($H$3,0,0,'Données projet'!$E$14+1,1))</f>
        <v>278.45534008146865</v>
      </c>
      <c r="DU94" s="59">
        <f t="shared" si="98"/>
        <v>272.97841038165217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17.313004767237842</v>
      </c>
      <c r="EB94" s="21">
        <f>EXP(-LN(2)/25)*EB93+(1-EXP(-LN(2)/25))/(LN(2)/25)*Calculateur!DW94*Calculateur!DY94*VLOOKUP('Données projet'!$B$14,Paramètres!$A$1:$I$89,3,0)*0.475*44/12</f>
        <v>4.5904553933537118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21.903460160591553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7.1782051282051267</v>
      </c>
      <c r="EJ94" s="12">
        <f>IF('Données projet'!$A$192&gt;35,EJ93+EI94-ER93,IF(A94&lt;'Données projet'!$A$192,$EG$205^A94,IF(A94='Données projet'!$A$192,'Données projet'!$B$192,EJ93+EI94-ER93)))</f>
        <v>260.82435897435931</v>
      </c>
      <c r="EK94" s="17">
        <f>EJ94*VLOOKUP('Données projet'!$B$15,Paramètres!$A$1:$I$89,3,0)*VLOOKUP('Données projet'!$B$15,Paramètres!$A$1:$I$89,5,0)</f>
        <v>280.75134000000037</v>
      </c>
      <c r="EL94" s="13">
        <f t="shared" si="99"/>
        <v>67.125763849450919</v>
      </c>
      <c r="EM94" s="20">
        <f t="shared" si="73"/>
        <v>605.88595587112752</v>
      </c>
      <c r="EN94" s="59">
        <f t="shared" si="74"/>
        <v>899.21928920446089</v>
      </c>
      <c r="EO94" s="59">
        <f ca="1">AVERAGE(OFFSET($EN$3,0,0,'Données projet'!$E$15+1,1))-AVERAGE(OFFSET($H$3,0,0,'Données projet'!$E$15+1,1))</f>
        <v>449.09332781196957</v>
      </c>
      <c r="EP94" s="59">
        <f t="shared" si="100"/>
        <v>324.85904971519432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48.350285501348729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48.350285501348729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7.1782051282051267</v>
      </c>
      <c r="FE94" s="12">
        <f>IF('Données projet'!$A$218&gt;35,FE93+FD94-FM93,IF(A94&lt;'Données projet'!$A$218,$FB$205^A94,IF(A94='Données projet'!$A$218,'Données projet'!$B$218,FE93+FD94-FM93)))</f>
        <v>260.82435897435931</v>
      </c>
      <c r="FF94" s="17">
        <f>FE94*VLOOKUP('Données projet'!$B$16,Paramètres!$A$1:$I$89,3,0)*VLOOKUP('Données projet'!$B$16,Paramètres!$A$1:$I$89,5,0)</f>
        <v>264.47590000000037</v>
      </c>
      <c r="FG94" s="13">
        <f t="shared" si="101"/>
        <v>63.675509123397234</v>
      </c>
      <c r="FH94" s="20">
        <f t="shared" si="76"/>
        <v>571.53037088991744</v>
      </c>
      <c r="FI94" s="59">
        <f t="shared" si="77"/>
        <v>864.86370422325081</v>
      </c>
      <c r="FJ94" s="59">
        <f ca="1">AVERAGE(OFFSET($FI$3,0,0,'Données projet'!$E$16+1,1))-AVERAGE(OFFSET($H$3,0,0,'Données projet'!$E$16+1,1))</f>
        <v>419.51168383014721</v>
      </c>
      <c r="FK94" s="59">
        <f t="shared" si="102"/>
        <v>213.44145308833384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45.547370399821283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45.547370399821283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266.99999999999983</v>
      </c>
      <c r="GA94" s="17">
        <f>FZ94*VLOOKUP('Données projet'!$B$17,Paramètres!$A$1:$I$89,3,0)*VLOOKUP('Données projet'!$B$17,Paramètres!$A$1:$I$89,5,0)</f>
        <v>233.2511999999999</v>
      </c>
      <c r="GB94" s="13">
        <f t="shared" si="103"/>
        <v>56.985091661350864</v>
      </c>
      <c r="GC94" s="20">
        <f t="shared" si="79"/>
        <v>505.49487464351915</v>
      </c>
      <c r="GD94" s="59">
        <f t="shared" si="80"/>
        <v>798.82820797685247</v>
      </c>
      <c r="GE94" s="59">
        <f ca="1">AVERAGE(OFFSET($GD$3,0,0,'Données projet'!$E$17+1,1))-AVERAGE(OFFSET($H$3,0,0,'Données projet'!$E$17+1,1))</f>
        <v>324.86930206492627</v>
      </c>
      <c r="GF94" s="59">
        <f t="shared" si="104"/>
        <v>317.03005098025352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25.425530999090515</v>
      </c>
      <c r="GM94" s="21">
        <f>EXP(-LN(2)/25)*GM93+(1-EXP(-LN(2)/25))/(LN(2)/25)*Calculateur!GH94*Calculateur!GJ94*VLOOKUP('Données projet'!$B$17,Paramètres!$A$1:$I$89,3,0)*0.475*44/12</f>
        <v>6.7414505727233189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32.166981571813835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7.1782051282051267</v>
      </c>
      <c r="GU94" s="12">
        <f>IF('Données projet'!$A$270&gt;35,GU93+GT94-HC93,IF(A94&lt;'Données projet'!$A$270,$GR$205^A94,IF(A94='Données projet'!$A$270,'Données projet'!$B$270,GU93+GT94-HC93)))</f>
        <v>260.82435897435931</v>
      </c>
      <c r="GV94" s="17">
        <f>GU94*VLOOKUP('Données projet'!$B$18,Paramètres!$A$1:$I$89,3,0)*VLOOKUP('Données projet'!$B$18,Paramètres!$A$1:$I$89,5,0)</f>
        <v>248.20046000000033</v>
      </c>
      <c r="GW94" s="13">
        <f t="shared" si="105"/>
        <v>60.200434578057589</v>
      </c>
      <c r="GX94" s="20">
        <f t="shared" si="82"/>
        <v>537.13155805678423</v>
      </c>
      <c r="GY94" s="59">
        <f t="shared" si="83"/>
        <v>830.4648913901176</v>
      </c>
      <c r="GZ94" s="59">
        <f ca="1">AVERAGE(OFFSET($GY$3,0,0,'Données projet'!$E$18+1,1))-AVERAGE(OFFSET($H$3,0,0,'Données projet'!$E$18+1,1))</f>
        <v>401.81944956556271</v>
      </c>
      <c r="HA94" s="59">
        <f t="shared" si="106"/>
        <v>292.20785523952651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42.744455298293815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42.744455298293815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268.00256410256446</v>
      </c>
      <c r="O95" s="13">
        <f>N95*VLOOKUP('Données projet'!$B$9,Paramètres!$A$1:$I$89,3,0)*VLOOKUP('Données projet'!$B$9,Paramètres!$A$1:$I$89,5,0)</f>
        <v>242.48872000000031</v>
      </c>
      <c r="P95" s="13">
        <f t="shared" si="87"/>
        <v>58.974668795914049</v>
      </c>
      <c r="Q95" s="20">
        <f t="shared" si="54"/>
        <v>525.04873548621742</v>
      </c>
      <c r="R95" s="59">
        <f t="shared" si="55"/>
        <v>818.3820688195508</v>
      </c>
      <c r="S95" s="59">
        <f ca="1">AVERAGE(OFFSET($R$3,0,0,'Données projet'!$E$9+1,1))-AVERAGE(OFFSET($H$3,0,0,'Données projet'!$E$9+1,1))</f>
        <v>384.05928630855732</v>
      </c>
      <c r="T95" s="59">
        <f t="shared" si="88"/>
        <v>279.93992813630513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-6.3550942286383367E-14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335.04906256888819</v>
      </c>
      <c r="AO95" s="59">
        <f t="shared" si="90"/>
        <v>440.84111898279554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108.92751186860532</v>
      </c>
      <c r="AV95" s="21">
        <f>EXP(-LN(2)/25)*AV94+(1-EXP(-LN(2)/25))/(LN(2)/25)*Calculateur!AQ95*Calculateur!AS95*VLOOKUP('Données projet'!$B$10,Paramètres!$A$1:$I$89,3,0)*0.475*44/12</f>
        <v>20.651708904683769</v>
      </c>
      <c r="AW95" s="21">
        <f>EXP(-LN(2)/2)*AW94+(1-EXP(-LN(2)/2))/(LN(2)/2)*AQ95*AT95*VLOOKUP('Données projet'!$B$10,Paramètres!$A$1:$I$89,3,0)*0.475*44/12</f>
        <v>9.2146643506939272E-5</v>
      </c>
      <c r="AX95" s="21">
        <f t="shared" si="60"/>
        <v>129.57931291993259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-1.4210854715202004E-13</v>
      </c>
      <c r="BE95" s="13">
        <f>BD95*VLOOKUP('Données projet'!$B$11,Paramètres!$A$1:$I$89,3,0)*VLOOKUP('Données projet'!$B$11,Paramètres!$A$1:$I$89,5,0)</f>
        <v>-8.128608897095547E-14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320.76883487964511</v>
      </c>
      <c r="BJ95" s="59">
        <f t="shared" si="92"/>
        <v>290.51177680335746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130.55356406479495</v>
      </c>
      <c r="BQ95" s="21">
        <f>EXP(-LN(2)/25)*BQ94+(1-EXP(-LN(2)/25))/(LN(2)/25)*Calculateur!BL95*Calculateur!BN95*VLOOKUP('Données projet'!$B$11,Paramètres!$A$1:$I$89,3,0)*0.475*44/12</f>
        <v>31.550695956158858</v>
      </c>
      <c r="BR95" s="21">
        <f>EXP(-LN(2)/2)*BR94+(1-EXP(-LN(2)/2))/(LN(2)/2)*BL95*BO95*VLOOKUP('Données projet'!$B$11,Paramètres!$A$1:$I$89,3,0)*0.475*44/12</f>
        <v>15.911168654618475</v>
      </c>
      <c r="BS95" s="22">
        <f t="shared" si="63"/>
        <v>178.01542867557228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304.99999999999983</v>
      </c>
      <c r="BZ95" s="13">
        <f>BY95*VLOOKUP('Données projet'!$B$12,Paramètres!$A$1:$I$89,3,0)*VLOOKUP('Données projet'!$B$12,Paramètres!$A$1:$I$89,5,0)</f>
        <v>275.96399999999983</v>
      </c>
      <c r="CA95" s="13">
        <f t="shared" si="93"/>
        <v>66.113366665488854</v>
      </c>
      <c r="CB95" s="20">
        <f t="shared" si="64"/>
        <v>595.78474694239264</v>
      </c>
      <c r="CC95" s="59">
        <f t="shared" si="65"/>
        <v>889.11808027572602</v>
      </c>
      <c r="CD95" s="59">
        <f ca="1">AVERAGE(OFFSET($CC$3,0,0,'Données projet'!$E$12+1,1))-AVERAGE(OFFSET($H$3,0,0,'Données projet'!$E$12+1,1))</f>
        <v>366.69125512029831</v>
      </c>
      <c r="CE95" s="59">
        <f t="shared" si="94"/>
        <v>513.80016421153414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0.47343449582468039</v>
      </c>
      <c r="CL95" s="21">
        <f>EXP(-LN(2)/25)*CL94+(1-EXP(-LN(2)/25))/(LN(2)/25)*Calculateur!CG95*Calculateur!CI95*VLOOKUP('Données projet'!$B$12,Paramètres!$A$1:$I$89,3,0)*0.475*44/12</f>
        <v>1.3233622300069996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1.7967967258316799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7.1782051282051267</v>
      </c>
      <c r="CT95" s="12">
        <f>IF('Données projet'!$A$140&gt;35,CT94+CS95-DB94,IF(A95&lt;'Données projet'!$A$140,$CQ$205^A95,IF(A95='Données projet'!$A$140,'Données projet'!$B$140,CT94+CS95-DB94)))</f>
        <v>268.00256410256446</v>
      </c>
      <c r="CU95" s="17">
        <f>CT95*VLOOKUP('Données projet'!$B$13,Paramètres!$A$1:$I$89,3,0)*VLOOKUP('Données projet'!$B$13,Paramètres!$A$1:$I$89,5,0)</f>
        <v>179.77612000000025</v>
      </c>
      <c r="CV95" s="13">
        <f t="shared" si="95"/>
        <v>45.272373384058447</v>
      </c>
      <c r="CW95" s="20">
        <f t="shared" si="67"/>
        <v>391.95945931056889</v>
      </c>
      <c r="CX95" s="59">
        <f t="shared" si="68"/>
        <v>685.2927926439022</v>
      </c>
      <c r="CY95" s="59">
        <f ca="1">AVERAGE(OFFSET($CX$3,0,0,'Données projet'!$E$13+1,1))-AVERAGE(OFFSET($H$3,0,0,'Données projet'!$E$13+1,1))</f>
        <v>294.94331863127815</v>
      </c>
      <c r="CZ95" s="59">
        <f t="shared" si="96"/>
        <v>218.36990036643977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36.41035930944583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36.41035930944583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266.99999999999983</v>
      </c>
      <c r="DP95" s="17">
        <f>DO95*VLOOKUP('Données projet'!$B$14,Paramètres!$A$1:$I$89,3,0)*VLOOKUP('Données projet'!$B$14,Paramètres!$A$1:$I$89,5,0)</f>
        <v>195.76439999999985</v>
      </c>
      <c r="DQ95" s="13">
        <f t="shared" si="97"/>
        <v>48.812154563023455</v>
      </c>
      <c r="DR95" s="20">
        <f t="shared" si="70"/>
        <v>425.9708325305989</v>
      </c>
      <c r="DS95" s="59">
        <f t="shared" si="71"/>
        <v>719.30416586393221</v>
      </c>
      <c r="DT95" s="59">
        <f ca="1">AVERAGE(OFFSET($DS$3,0,0,'Données projet'!$E$14+1,1))-AVERAGE(OFFSET($H$3,0,0,'Données projet'!$E$14+1,1))</f>
        <v>278.45534008146865</v>
      </c>
      <c r="DU95" s="59">
        <f t="shared" si="98"/>
        <v>272.97841038165217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16.973507303642513</v>
      </c>
      <c r="EB95" s="21">
        <f>EXP(-LN(2)/25)*EB94+(1-EXP(-LN(2)/25))/(LN(2)/25)*Calculateur!DW95*Calculateur!DY95*VLOOKUP('Données projet'!$B$14,Paramètres!$A$1:$I$89,3,0)*0.475*44/12</f>
        <v>4.4649291492208967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21.43843645286341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7.1782051282051267</v>
      </c>
      <c r="EJ95" s="12">
        <f>IF('Données projet'!$A$192&gt;35,EJ94+EI95-ER94,IF(A95&lt;'Données projet'!$A$192,$EG$205^A95,IF(A95='Données projet'!$A$192,'Données projet'!$B$192,EJ94+EI95-ER94)))</f>
        <v>268.00256410256446</v>
      </c>
      <c r="EK95" s="17">
        <f>EJ95*VLOOKUP('Données projet'!$B$15,Paramètres!$A$1:$I$89,3,0)*VLOOKUP('Données projet'!$B$15,Paramètres!$A$1:$I$89,5,0)</f>
        <v>288.47796000000034</v>
      </c>
      <c r="EL95" s="13">
        <f t="shared" si="99"/>
        <v>68.755523326421141</v>
      </c>
      <c r="EM95" s="20">
        <f t="shared" si="73"/>
        <v>622.18165012685074</v>
      </c>
      <c r="EN95" s="59">
        <f t="shared" si="74"/>
        <v>915.51498346018411</v>
      </c>
      <c r="EO95" s="59">
        <f ca="1">AVERAGE(OFFSET($EN$3,0,0,'Données projet'!$E$15+1,1))-AVERAGE(OFFSET($H$3,0,0,'Données projet'!$E$15+1,1))</f>
        <v>449.09332781196957</v>
      </c>
      <c r="EP95" s="59">
        <f t="shared" si="100"/>
        <v>324.85904971519432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47.402165893429462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47.402165893429462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7.1782051282051267</v>
      </c>
      <c r="FE95" s="12">
        <f>IF('Données projet'!$A$218&gt;35,FE94+FD95-FM94,IF(A95&lt;'Données projet'!$A$218,$FB$205^A95,IF(A95='Données projet'!$A$218,'Données projet'!$B$218,FE94+FD95-FM94)))</f>
        <v>268.00256410256446</v>
      </c>
      <c r="FF95" s="17">
        <f>FE95*VLOOKUP('Données projet'!$B$16,Paramètres!$A$1:$I$89,3,0)*VLOOKUP('Données projet'!$B$16,Paramètres!$A$1:$I$89,5,0)</f>
        <v>271.75460000000038</v>
      </c>
      <c r="FG95" s="13">
        <f t="shared" si="101"/>
        <v>65.221499194772917</v>
      </c>
      <c r="FH95" s="20">
        <f t="shared" si="76"/>
        <v>586.90003943089675</v>
      </c>
      <c r="FI95" s="59">
        <f t="shared" si="77"/>
        <v>880.23337276423013</v>
      </c>
      <c r="FJ95" s="59">
        <f ca="1">AVERAGE(OFFSET($FI$3,0,0,'Données projet'!$E$16+1,1))-AVERAGE(OFFSET($H$3,0,0,'Données projet'!$E$16+1,1))</f>
        <v>419.51168383014721</v>
      </c>
      <c r="FK95" s="59">
        <f t="shared" si="102"/>
        <v>213.44145308833384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44.654214247433572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44.654214247433572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266.99999999999983</v>
      </c>
      <c r="GA95" s="17">
        <f>FZ95*VLOOKUP('Données projet'!$B$17,Paramètres!$A$1:$I$89,3,0)*VLOOKUP('Données projet'!$B$17,Paramètres!$A$1:$I$89,5,0)</f>
        <v>233.2511999999999</v>
      </c>
      <c r="GB95" s="13">
        <f t="shared" si="103"/>
        <v>56.985091661350864</v>
      </c>
      <c r="GC95" s="20">
        <f t="shared" si="79"/>
        <v>505.49487464351915</v>
      </c>
      <c r="GD95" s="59">
        <f t="shared" si="80"/>
        <v>798.82820797685247</v>
      </c>
      <c r="GE95" s="59">
        <f ca="1">AVERAGE(OFFSET($GD$3,0,0,'Données projet'!$E$17+1,1))-AVERAGE(OFFSET($H$3,0,0,'Données projet'!$E$17+1,1))</f>
        <v>324.86930206492627</v>
      </c>
      <c r="GF95" s="59">
        <f t="shared" si="104"/>
        <v>317.03005098025352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24.926951844240968</v>
      </c>
      <c r="GM95" s="21">
        <f>EXP(-LN(2)/25)*GM94+(1-EXP(-LN(2)/25))/(LN(2)/25)*Calculateur!GH95*Calculateur!GJ95*VLOOKUP('Données projet'!$B$17,Paramètres!$A$1:$I$89,3,0)*0.475*44/12</f>
        <v>6.557105252294722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31.48405709653569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7.1782051282051267</v>
      </c>
      <c r="GU95" s="12">
        <f>IF('Données projet'!$A$270&gt;35,GU94+GT95-HC94,IF(A95&lt;'Données projet'!$A$270,$GR$205^A95,IF(A95='Données projet'!$A$270,'Données projet'!$B$270,GU94+GT95-HC94)))</f>
        <v>268.00256410256446</v>
      </c>
      <c r="GV95" s="17">
        <f>GU95*VLOOKUP('Données projet'!$B$18,Paramètres!$A$1:$I$89,3,0)*VLOOKUP('Données projet'!$B$18,Paramètres!$A$1:$I$89,5,0)</f>
        <v>255.03124000000034</v>
      </c>
      <c r="GW95" s="13">
        <f t="shared" si="105"/>
        <v>61.662052638618768</v>
      </c>
      <c r="GX95" s="20">
        <f t="shared" si="82"/>
        <v>551.57415134559483</v>
      </c>
      <c r="GY95" s="59">
        <f t="shared" si="83"/>
        <v>844.90748467892809</v>
      </c>
      <c r="GZ95" s="59">
        <f ca="1">AVERAGE(OFFSET($GY$3,0,0,'Données projet'!$E$18+1,1))-AVERAGE(OFFSET($H$3,0,0,'Données projet'!$E$18+1,1))</f>
        <v>401.81944956556271</v>
      </c>
      <c r="HA95" s="59">
        <f t="shared" si="106"/>
        <v>292.20785523952651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41.906262601437653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41.906262601437653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275.18076923076961</v>
      </c>
      <c r="O96" s="13">
        <f>N96*VLOOKUP('Données projet'!$B$9,Paramètres!$A$1:$I$89,3,0)*VLOOKUP('Données projet'!$B$9,Paramètres!$A$1:$I$89,5,0)</f>
        <v>248.98356000000032</v>
      </c>
      <c r="P96" s="13">
        <f t="shared" si="87"/>
        <v>60.368233943158614</v>
      </c>
      <c r="Q96" s="20">
        <f t="shared" si="54"/>
        <v>538.78770778433511</v>
      </c>
      <c r="R96" s="59">
        <f t="shared" si="55"/>
        <v>832.12104111766848</v>
      </c>
      <c r="S96" s="59">
        <f ca="1">AVERAGE(OFFSET($R$3,0,0,'Données projet'!$E$9+1,1))-AVERAGE(OFFSET($H$3,0,0,'Données projet'!$E$9+1,1))</f>
        <v>384.05928630855732</v>
      </c>
      <c r="T96" s="59">
        <f t="shared" si="88"/>
        <v>279.93992813630513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-6.3550942286383367E-14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335.04906256888819</v>
      </c>
      <c r="AO96" s="59">
        <f t="shared" si="90"/>
        <v>440.84111898279554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106.79150980008389</v>
      </c>
      <c r="AV96" s="21">
        <f>EXP(-LN(2)/25)*AV95+(1-EXP(-LN(2)/25))/(LN(2)/25)*Calculateur!AQ96*Calculateur!AS96*VLOOKUP('Données projet'!$B$10,Paramètres!$A$1:$I$89,3,0)*0.475*44/12</f>
        <v>20.086986838659019</v>
      </c>
      <c r="AW96" s="21">
        <f>EXP(-LN(2)/2)*AW95+(1-EXP(-LN(2)/2))/(LN(2)/2)*AQ96*AT96*VLOOKUP('Données projet'!$B$10,Paramètres!$A$1:$I$89,3,0)*0.475*44/12</f>
        <v>6.5157516487336108E-5</v>
      </c>
      <c r="AX96" s="21">
        <f t="shared" si="60"/>
        <v>126.87856179625939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-1.4210854715202004E-13</v>
      </c>
      <c r="BE96" s="13">
        <f>BD96*VLOOKUP('Données projet'!$B$11,Paramètres!$A$1:$I$89,3,0)*VLOOKUP('Données projet'!$B$11,Paramètres!$A$1:$I$89,5,0)</f>
        <v>-8.128608897095547E-14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320.76883487964511</v>
      </c>
      <c r="BJ96" s="59">
        <f t="shared" si="92"/>
        <v>290.51177680335746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127.99348830329562</v>
      </c>
      <c r="BQ96" s="21">
        <f>EXP(-LN(2)/25)*BQ95+(1-EXP(-LN(2)/25))/(LN(2)/25)*Calculateur!BL96*Calculateur!BN96*VLOOKUP('Données projet'!$B$11,Paramètres!$A$1:$I$89,3,0)*0.475*44/12</f>
        <v>30.687940516058703</v>
      </c>
      <c r="BR96" s="21">
        <f>EXP(-LN(2)/2)*BR95+(1-EXP(-LN(2)/2))/(LN(2)/2)*BL96*BO96*VLOOKUP('Données projet'!$B$11,Paramètres!$A$1:$I$89,3,0)*0.475*44/12</f>
        <v>11.250895252283561</v>
      </c>
      <c r="BS96" s="22">
        <f t="shared" si="63"/>
        <v>169.93232407163788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304.99999999999983</v>
      </c>
      <c r="BZ96" s="13">
        <f>BY96*VLOOKUP('Données projet'!$B$12,Paramètres!$A$1:$I$89,3,0)*VLOOKUP('Données projet'!$B$12,Paramètres!$A$1:$I$89,5,0)</f>
        <v>275.96399999999983</v>
      </c>
      <c r="CA96" s="13">
        <f t="shared" si="93"/>
        <v>66.113366665488854</v>
      </c>
      <c r="CB96" s="20">
        <f t="shared" si="64"/>
        <v>595.78474694239264</v>
      </c>
      <c r="CC96" s="59">
        <f t="shared" si="65"/>
        <v>889.11808027572602</v>
      </c>
      <c r="CD96" s="59">
        <f ca="1">AVERAGE(OFFSET($CC$3,0,0,'Données projet'!$E$12+1,1))-AVERAGE(OFFSET($H$3,0,0,'Données projet'!$E$12+1,1))</f>
        <v>366.69125512029831</v>
      </c>
      <c r="CE96" s="59">
        <f t="shared" si="94"/>
        <v>513.80016421153414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0.46415073412808755</v>
      </c>
      <c r="CL96" s="21">
        <f>EXP(-LN(2)/25)*CL95+(1-EXP(-LN(2)/25))/(LN(2)/25)*Calculateur!CG96*Calculateur!CI96*VLOOKUP('Données projet'!$B$12,Paramètres!$A$1:$I$89,3,0)*0.475*44/12</f>
        <v>1.2871748202348632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1.7513255543629507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7.1782051282051267</v>
      </c>
      <c r="CT96" s="12">
        <f>IF('Données projet'!$A$140&gt;35,CT95+CS96-DB95,IF(A96&lt;'Données projet'!$A$140,$CQ$205^A96,IF(A96='Données projet'!$A$140,'Données projet'!$B$140,CT95+CS96-DB95)))</f>
        <v>275.18076923076961</v>
      </c>
      <c r="CU96" s="17">
        <f>CT96*VLOOKUP('Données projet'!$B$13,Paramètres!$A$1:$I$89,3,0)*VLOOKUP('Données projet'!$B$13,Paramètres!$A$1:$I$89,5,0)</f>
        <v>184.59126000000026</v>
      </c>
      <c r="CV96" s="13">
        <f t="shared" si="95"/>
        <v>46.342154748993174</v>
      </c>
      <c r="CW96" s="20">
        <f t="shared" si="67"/>
        <v>402.20903068783019</v>
      </c>
      <c r="CX96" s="59">
        <f t="shared" si="68"/>
        <v>695.54236402116351</v>
      </c>
      <c r="CY96" s="59">
        <f ca="1">AVERAGE(OFFSET($CX$3,0,0,'Données projet'!$E$13+1,1))-AVERAGE(OFFSET($H$3,0,0,'Données projet'!$E$13+1,1))</f>
        <v>294.94331863127815</v>
      </c>
      <c r="CZ96" s="59">
        <f t="shared" si="96"/>
        <v>218.36990036643977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35.696374371513905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35.696374371513905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266.99999999999983</v>
      </c>
      <c r="DP96" s="17">
        <f>DO96*VLOOKUP('Données projet'!$B$14,Paramètres!$A$1:$I$89,3,0)*VLOOKUP('Données projet'!$B$14,Paramètres!$A$1:$I$89,5,0)</f>
        <v>195.76439999999985</v>
      </c>
      <c r="DQ96" s="13">
        <f t="shared" si="97"/>
        <v>48.812154563023455</v>
      </c>
      <c r="DR96" s="20">
        <f t="shared" si="70"/>
        <v>425.9708325305989</v>
      </c>
      <c r="DS96" s="59">
        <f t="shared" si="71"/>
        <v>719.30416586393221</v>
      </c>
      <c r="DT96" s="59">
        <f ca="1">AVERAGE(OFFSET($DS$3,0,0,'Données projet'!$E$14+1,1))-AVERAGE(OFFSET($H$3,0,0,'Données projet'!$E$14+1,1))</f>
        <v>278.45534008146865</v>
      </c>
      <c r="DU96" s="59">
        <f t="shared" si="98"/>
        <v>272.97841038165217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16.640667178235283</v>
      </c>
      <c r="EB96" s="21">
        <f>EXP(-LN(2)/25)*EB95+(1-EXP(-LN(2)/25))/(LN(2)/25)*Calculateur!DW96*Calculateur!DY96*VLOOKUP('Données projet'!$B$14,Paramètres!$A$1:$I$89,3,0)*0.475*44/12</f>
        <v>4.3428354268350322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20.983502605070314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7.1782051282051267</v>
      </c>
      <c r="EJ96" s="12">
        <f>IF('Données projet'!$A$192&gt;35,EJ95+EI96-ER95,IF(A96&lt;'Données projet'!$A$192,$EG$205^A96,IF(A96='Données projet'!$A$192,'Données projet'!$B$192,EJ95+EI96-ER95)))</f>
        <v>275.18076923076961</v>
      </c>
      <c r="EK96" s="17">
        <f>EJ96*VLOOKUP('Données projet'!$B$15,Paramètres!$A$1:$I$89,3,0)*VLOOKUP('Données projet'!$B$15,Paramètres!$A$1:$I$89,5,0)</f>
        <v>296.20458000000036</v>
      </c>
      <c r="EL96" s="13">
        <f t="shared" si="99"/>
        <v>70.380209025290199</v>
      </c>
      <c r="EM96" s="20">
        <f t="shared" si="73"/>
        <v>638.46850755238108</v>
      </c>
      <c r="EN96" s="59">
        <f t="shared" si="74"/>
        <v>931.80184088571445</v>
      </c>
      <c r="EO96" s="59">
        <f ca="1">AVERAGE(OFFSET($EN$3,0,0,'Données projet'!$E$15+1,1))-AVERAGE(OFFSET($H$3,0,0,'Données projet'!$E$15+1,1))</f>
        <v>449.09332781196957</v>
      </c>
      <c r="EP96" s="59">
        <f t="shared" si="100"/>
        <v>324.85904971519432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46.472638332725637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46.472638332725637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7.1782051282051267</v>
      </c>
      <c r="FE96" s="12">
        <f>IF('Données projet'!$A$218&gt;35,FE95+FD96-FM95,IF(A96&lt;'Données projet'!$A$218,$FB$205^A96,IF(A96='Données projet'!$A$218,'Données projet'!$B$218,FE95+FD96-FM95)))</f>
        <v>275.18076923076961</v>
      </c>
      <c r="FF96" s="17">
        <f>FE96*VLOOKUP('Données projet'!$B$16,Paramètres!$A$1:$I$89,3,0)*VLOOKUP('Données projet'!$B$16,Paramètres!$A$1:$I$89,5,0)</f>
        <v>279.03330000000039</v>
      </c>
      <c r="FG96" s="13">
        <f t="shared" si="101"/>
        <v>66.762676279521131</v>
      </c>
      <c r="FH96" s="20">
        <f t="shared" si="76"/>
        <v>602.26132535349996</v>
      </c>
      <c r="FI96" s="59">
        <f t="shared" si="77"/>
        <v>895.59465868683333</v>
      </c>
      <c r="FJ96" s="59">
        <f ca="1">AVERAGE(OFFSET($FI$3,0,0,'Données projet'!$E$16+1,1))-AVERAGE(OFFSET($H$3,0,0,'Données projet'!$E$16+1,1))</f>
        <v>419.51168383014721</v>
      </c>
      <c r="FK96" s="59">
        <f t="shared" si="102"/>
        <v>213.44145308833384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43.77857234242272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43.77857234242272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266.99999999999983</v>
      </c>
      <c r="GA96" s="17">
        <f>FZ96*VLOOKUP('Données projet'!$B$17,Paramètres!$A$1:$I$89,3,0)*VLOOKUP('Données projet'!$B$17,Paramètres!$A$1:$I$89,5,0)</f>
        <v>233.2511999999999</v>
      </c>
      <c r="GB96" s="13">
        <f t="shared" si="103"/>
        <v>56.985091661350864</v>
      </c>
      <c r="GC96" s="20">
        <f t="shared" si="79"/>
        <v>505.49487464351915</v>
      </c>
      <c r="GD96" s="59">
        <f t="shared" si="80"/>
        <v>798.82820797685247</v>
      </c>
      <c r="GE96" s="59">
        <f ca="1">AVERAGE(OFFSET($GD$3,0,0,'Données projet'!$E$17+1,1))-AVERAGE(OFFSET($H$3,0,0,'Données projet'!$E$17+1,1))</f>
        <v>324.86930206492627</v>
      </c>
      <c r="GF96" s="59">
        <f t="shared" si="104"/>
        <v>317.03005098025352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24.438149522514763</v>
      </c>
      <c r="GM96" s="21">
        <f>EXP(-LN(2)/25)*GM95+(1-EXP(-LN(2)/25))/(LN(2)/25)*Calculateur!GH96*Calculateur!GJ96*VLOOKUP('Données projet'!$B$17,Paramètres!$A$1:$I$89,3,0)*0.475*44/12</f>
        <v>6.3778008643475443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30.815950386862308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7.1782051282051267</v>
      </c>
      <c r="GU96" s="12">
        <f>IF('Données projet'!$A$270&gt;35,GU95+GT96-HC95,IF(A96&lt;'Données projet'!$A$270,$GR$205^A96,IF(A96='Données projet'!$A$270,'Données projet'!$B$270,GU95+GT96-HC95)))</f>
        <v>275.18076923076961</v>
      </c>
      <c r="GV96" s="17">
        <f>GU96*VLOOKUP('Données projet'!$B$18,Paramètres!$A$1:$I$89,3,0)*VLOOKUP('Données projet'!$B$18,Paramètres!$A$1:$I$89,5,0)</f>
        <v>261.86202000000037</v>
      </c>
      <c r="GW96" s="13">
        <f t="shared" si="105"/>
        <v>63.119120380060529</v>
      </c>
      <c r="GX96" s="20">
        <f t="shared" si="82"/>
        <v>566.00881949527275</v>
      </c>
      <c r="GY96" s="59">
        <f t="shared" si="83"/>
        <v>859.342152828606</v>
      </c>
      <c r="GZ96" s="59">
        <f ca="1">AVERAGE(OFFSET($GY$3,0,0,'Données projet'!$E$18+1,1))-AVERAGE(OFFSET($H$3,0,0,'Données projet'!$E$18+1,1))</f>
        <v>401.81944956556271</v>
      </c>
      <c r="HA96" s="59">
        <f t="shared" si="106"/>
        <v>292.20785523952651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41.084506352119782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41.084506352119782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282.35897435897476</v>
      </c>
      <c r="O97" s="13">
        <f>N97*VLOOKUP('Données projet'!$B$9,Paramètres!$A$1:$I$89,3,0)*VLOOKUP('Données projet'!$B$9,Paramètres!$A$1:$I$89,5,0)</f>
        <v>255.47840000000036</v>
      </c>
      <c r="P97" s="13">
        <f t="shared" si="87"/>
        <v>61.757573660260803</v>
      </c>
      <c r="Q97" s="20">
        <f t="shared" si="54"/>
        <v>552.51932079162145</v>
      </c>
      <c r="R97" s="59">
        <f t="shared" si="55"/>
        <v>845.85265412495482</v>
      </c>
      <c r="S97" s="59">
        <f ca="1">AVERAGE(OFFSET($R$3,0,0,'Données projet'!$E$9+1,1))-AVERAGE(OFFSET($H$3,0,0,'Données projet'!$E$9+1,1))</f>
        <v>384.05928630855732</v>
      </c>
      <c r="T97" s="59">
        <f t="shared" si="88"/>
        <v>279.93992813630513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-6.3550942286383367E-14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335.04906256888819</v>
      </c>
      <c r="AO97" s="59">
        <f t="shared" si="90"/>
        <v>440.84111898279554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104.69739342929354</v>
      </c>
      <c r="AV97" s="21">
        <f>EXP(-LN(2)/25)*AV96+(1-EXP(-LN(2)/25))/(LN(2)/25)*Calculateur!AQ97*Calculateur!AS97*VLOOKUP('Données projet'!$B$10,Paramètres!$A$1:$I$89,3,0)*0.475*44/12</f>
        <v>19.537707127227161</v>
      </c>
      <c r="AW97" s="21">
        <f>EXP(-LN(2)/2)*AW96+(1-EXP(-LN(2)/2))/(LN(2)/2)*AQ97*AT97*VLOOKUP('Données projet'!$B$10,Paramètres!$A$1:$I$89,3,0)*0.475*44/12</f>
        <v>4.6073321753469636E-5</v>
      </c>
      <c r="AX97" s="21">
        <f t="shared" si="60"/>
        <v>124.23514662984246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-1.4210854715202004E-13</v>
      </c>
      <c r="BE97" s="13">
        <f>BD97*VLOOKUP('Données projet'!$B$11,Paramètres!$A$1:$I$89,3,0)*VLOOKUP('Données projet'!$B$11,Paramètres!$A$1:$I$89,5,0)</f>
        <v>-8.128608897095547E-14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320.76883487964511</v>
      </c>
      <c r="BJ97" s="59">
        <f t="shared" si="92"/>
        <v>290.51177680335746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125.48361406598725</v>
      </c>
      <c r="BQ97" s="21">
        <f>EXP(-LN(2)/25)*BQ96+(1-EXP(-LN(2)/25))/(LN(2)/25)*Calculateur!BL97*Calculateur!BN97*VLOOKUP('Données projet'!$B$11,Paramètres!$A$1:$I$89,3,0)*0.475*44/12</f>
        <v>29.848777168838424</v>
      </c>
      <c r="BR97" s="21">
        <f>EXP(-LN(2)/2)*BR96+(1-EXP(-LN(2)/2))/(LN(2)/2)*BL97*BO97*VLOOKUP('Données projet'!$B$11,Paramètres!$A$1:$I$89,3,0)*0.475*44/12</f>
        <v>7.9555843273092393</v>
      </c>
      <c r="BS97" s="22">
        <f t="shared" si="63"/>
        <v>163.28797556213493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304.99999999999983</v>
      </c>
      <c r="BZ97" s="13">
        <f>BY97*VLOOKUP('Données projet'!$B$12,Paramètres!$A$1:$I$89,3,0)*VLOOKUP('Données projet'!$B$12,Paramètres!$A$1:$I$89,5,0)</f>
        <v>275.96399999999983</v>
      </c>
      <c r="CA97" s="13">
        <f t="shared" si="93"/>
        <v>66.113366665488854</v>
      </c>
      <c r="CB97" s="20">
        <f t="shared" si="64"/>
        <v>595.78474694239264</v>
      </c>
      <c r="CC97" s="59">
        <f t="shared" si="65"/>
        <v>889.11808027572602</v>
      </c>
      <c r="CD97" s="59">
        <f ca="1">AVERAGE(OFFSET($CC$3,0,0,'Données projet'!$E$12+1,1))-AVERAGE(OFFSET($H$3,0,0,'Données projet'!$E$12+1,1))</f>
        <v>366.69125512029831</v>
      </c>
      <c r="CE97" s="59">
        <f t="shared" si="94"/>
        <v>513.80016421153414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0.45504902133582936</v>
      </c>
      <c r="CL97" s="21">
        <f>EXP(-LN(2)/25)*CL96+(1-EXP(-LN(2)/25))/(LN(2)/25)*Calculateur!CG97*Calculateur!CI97*VLOOKUP('Données projet'!$B$12,Paramètres!$A$1:$I$89,3,0)*0.475*44/12</f>
        <v>1.2519769570859589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1.7070259784217883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7.1782051282051267</v>
      </c>
      <c r="CT97" s="12">
        <f>IF('Données projet'!$A$140&gt;35,CT96+CS97-DB96,IF(A97&lt;'Données projet'!$A$140,$CQ$205^A97,IF(A97='Données projet'!$A$140,'Données projet'!$B$140,CT96+CS97-DB96)))</f>
        <v>282.35897435897476</v>
      </c>
      <c r="CU97" s="17">
        <f>CT97*VLOOKUP('Données projet'!$B$13,Paramètres!$A$1:$I$89,3,0)*VLOOKUP('Données projet'!$B$13,Paramètres!$A$1:$I$89,5,0)</f>
        <v>189.40640000000027</v>
      </c>
      <c r="CV97" s="13">
        <f t="shared" si="95"/>
        <v>47.408692428884478</v>
      </c>
      <c r="CW97" s="20">
        <f t="shared" si="67"/>
        <v>412.45295264697421</v>
      </c>
      <c r="CX97" s="59">
        <f t="shared" si="68"/>
        <v>705.78628598030753</v>
      </c>
      <c r="CY97" s="59">
        <f ca="1">AVERAGE(OFFSET($CX$3,0,0,'Données projet'!$E$13+1,1))-AVERAGE(OFFSET($H$3,0,0,'Données projet'!$E$13+1,1))</f>
        <v>294.94331863127815</v>
      </c>
      <c r="CZ97" s="59">
        <f t="shared" si="96"/>
        <v>218.36990036643977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34.996390242727017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34.996390242727017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266.99999999999983</v>
      </c>
      <c r="DP97" s="17">
        <f>DO97*VLOOKUP('Données projet'!$B$14,Paramètres!$A$1:$I$89,3,0)*VLOOKUP('Données projet'!$B$14,Paramètres!$A$1:$I$89,5,0)</f>
        <v>195.76439999999985</v>
      </c>
      <c r="DQ97" s="13">
        <f t="shared" si="97"/>
        <v>48.812154563023455</v>
      </c>
      <c r="DR97" s="20">
        <f t="shared" si="70"/>
        <v>425.9708325305989</v>
      </c>
      <c r="DS97" s="59">
        <f t="shared" si="71"/>
        <v>719.30416586393221</v>
      </c>
      <c r="DT97" s="59">
        <f ca="1">AVERAGE(OFFSET($DS$3,0,0,'Données projet'!$E$14+1,1))-AVERAGE(OFFSET($H$3,0,0,'Données projet'!$E$14+1,1))</f>
        <v>278.45534008146865</v>
      </c>
      <c r="DU97" s="59">
        <f t="shared" si="98"/>
        <v>272.97841038165217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16.314353844674859</v>
      </c>
      <c r="EB97" s="21">
        <f>EXP(-LN(2)/25)*EB96+(1-EXP(-LN(2)/25))/(LN(2)/25)*Calculateur!DW97*Calculateur!DY97*VLOOKUP('Données projet'!$B$14,Paramètres!$A$1:$I$89,3,0)*0.475*44/12</f>
        <v>4.2240803637084392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20.538434208383297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7.1782051282051267</v>
      </c>
      <c r="EJ97" s="12">
        <f>IF('Données projet'!$A$192&gt;35,EJ96+EI97-ER96,IF(A97&lt;'Données projet'!$A$192,$EG$205^A97,IF(A97='Données projet'!$A$192,'Données projet'!$B$192,EJ96+EI97-ER96)))</f>
        <v>282.35897435897476</v>
      </c>
      <c r="EK97" s="17">
        <f>EJ97*VLOOKUP('Données projet'!$B$15,Paramètres!$A$1:$I$89,3,0)*VLOOKUP('Données projet'!$B$15,Paramètres!$A$1:$I$89,5,0)</f>
        <v>303.93120000000039</v>
      </c>
      <c r="EL97" s="13">
        <f t="shared" si="99"/>
        <v>71.999968513183433</v>
      </c>
      <c r="EM97" s="20">
        <f t="shared" si="73"/>
        <v>654.74678516046185</v>
      </c>
      <c r="EN97" s="59">
        <f t="shared" si="74"/>
        <v>948.08011849379523</v>
      </c>
      <c r="EO97" s="59">
        <f ca="1">AVERAGE(OFFSET($EN$3,0,0,'Données projet'!$E$15+1,1))-AVERAGE(OFFSET($H$3,0,0,'Données projet'!$E$15+1,1))</f>
        <v>449.09332781196957</v>
      </c>
      <c r="EP97" s="59">
        <f t="shared" si="100"/>
        <v>324.85904971519432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45.561338240531384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45.561338240531384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7.1782051282051267</v>
      </c>
      <c r="FE97" s="12">
        <f>IF('Données projet'!$A$218&gt;35,FE96+FD97-FM96,IF(A97&lt;'Données projet'!$A$218,$FB$205^A97,IF(A97='Données projet'!$A$218,'Données projet'!$B$218,FE96+FD97-FM96)))</f>
        <v>282.35897435897476</v>
      </c>
      <c r="FF97" s="17">
        <f>FE97*VLOOKUP('Données projet'!$B$16,Paramètres!$A$1:$I$89,3,0)*VLOOKUP('Données projet'!$B$16,Paramètres!$A$1:$I$89,5,0)</f>
        <v>286.31200000000047</v>
      </c>
      <c r="FG97" s="13">
        <f t="shared" si="101"/>
        <v>68.299180359837749</v>
      </c>
      <c r="FH97" s="20">
        <f t="shared" si="76"/>
        <v>617.6144724600515</v>
      </c>
      <c r="FI97" s="59">
        <f t="shared" si="77"/>
        <v>910.94780579338476</v>
      </c>
      <c r="FJ97" s="59">
        <f ca="1">AVERAGE(OFFSET($FI$3,0,0,'Données projet'!$E$16+1,1))-AVERAGE(OFFSET($H$3,0,0,'Données projet'!$E$16+1,1))</f>
        <v>419.51168383014721</v>
      </c>
      <c r="FK97" s="59">
        <f t="shared" si="102"/>
        <v>213.44145308833384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42.92010124108031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42.92010124108031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266.99999999999983</v>
      </c>
      <c r="GA97" s="17">
        <f>FZ97*VLOOKUP('Données projet'!$B$17,Paramètres!$A$1:$I$89,3,0)*VLOOKUP('Données projet'!$B$17,Paramètres!$A$1:$I$89,5,0)</f>
        <v>233.2511999999999</v>
      </c>
      <c r="GB97" s="13">
        <f t="shared" si="103"/>
        <v>56.985091661350864</v>
      </c>
      <c r="GC97" s="20">
        <f t="shared" si="79"/>
        <v>505.49487464351915</v>
      </c>
      <c r="GD97" s="59">
        <f t="shared" si="80"/>
        <v>798.82820797685247</v>
      </c>
      <c r="GE97" s="59">
        <f ca="1">AVERAGE(OFFSET($GD$3,0,0,'Données projet'!$E$17+1,1))-AVERAGE(OFFSET($H$3,0,0,'Données projet'!$E$17+1,1))</f>
        <v>324.86930206492627</v>
      </c>
      <c r="GF97" s="59">
        <f t="shared" si="104"/>
        <v>317.03005098025352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23.958932316177631</v>
      </c>
      <c r="GM97" s="21">
        <f>EXP(-LN(2)/25)*GM96+(1-EXP(-LN(2)/25))/(LN(2)/25)*Calculateur!GH97*Calculateur!GJ97*VLOOKUP('Données projet'!$B$17,Paramètres!$A$1:$I$89,3,0)*0.475*44/12</f>
        <v>6.2033995643179898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30.162331880495621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7.1782051282051267</v>
      </c>
      <c r="GU97" s="12">
        <f>IF('Données projet'!$A$270&gt;35,GU96+GT97-HC96,IF(A97&lt;'Données projet'!$A$270,$GR$205^A97,IF(A97='Données projet'!$A$270,'Données projet'!$B$270,GU96+GT97-HC96)))</f>
        <v>282.35897435897476</v>
      </c>
      <c r="GV97" s="17">
        <f>GU97*VLOOKUP('Données projet'!$B$18,Paramètres!$A$1:$I$89,3,0)*VLOOKUP('Données projet'!$B$18,Paramètres!$A$1:$I$89,5,0)</f>
        <v>268.69280000000037</v>
      </c>
      <c r="GW97" s="13">
        <f t="shared" si="105"/>
        <v>64.571770145086617</v>
      </c>
      <c r="GX97" s="20">
        <f t="shared" si="82"/>
        <v>580.43579300269312</v>
      </c>
      <c r="GY97" s="59">
        <f t="shared" si="83"/>
        <v>873.76912633602637</v>
      </c>
      <c r="GZ97" s="59">
        <f ca="1">AVERAGE(OFFSET($GY$3,0,0,'Données projet'!$E$18+1,1))-AVERAGE(OFFSET($H$3,0,0,'Données projet'!$E$18+1,1))</f>
        <v>401.81944956556271</v>
      </c>
      <c r="HA97" s="59">
        <f t="shared" si="106"/>
        <v>292.20785523952651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40.278864241629208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40.278864241629208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289.53717948717991</v>
      </c>
      <c r="O98" s="13">
        <f>N98*VLOOKUP('Données projet'!$B$9,Paramètres!$A$1:$I$89,3,0)*VLOOKUP('Données projet'!$B$9,Paramètres!$A$1:$I$89,5,0)</f>
        <v>261.97324000000037</v>
      </c>
      <c r="P98" s="13">
        <f t="shared" si="87"/>
        <v>63.142807719765102</v>
      </c>
      <c r="Q98" s="20">
        <f t="shared" si="54"/>
        <v>566.24378311192481</v>
      </c>
      <c r="R98" s="59">
        <f t="shared" si="55"/>
        <v>859.57711644525807</v>
      </c>
      <c r="S98" s="59">
        <f ca="1">AVERAGE(OFFSET($R$3,0,0,'Données projet'!$E$9+1,1))-AVERAGE(OFFSET($H$3,0,0,'Données projet'!$E$9+1,1))</f>
        <v>384.05928630855732</v>
      </c>
      <c r="T98" s="59">
        <f t="shared" si="88"/>
        <v>279.93992813630513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-6.3550942286383367E-14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335.04906256888819</v>
      </c>
      <c r="AO98" s="59">
        <f t="shared" si="90"/>
        <v>440.84111898279554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102.64434140324953</v>
      </c>
      <c r="AV98" s="21">
        <f>EXP(-LN(2)/25)*AV97+(1-EXP(-LN(2)/25))/(LN(2)/25)*Calculateur!AQ98*Calculateur!AS98*VLOOKUP('Données projet'!$B$10,Paramètres!$A$1:$I$89,3,0)*0.475*44/12</f>
        <v>19.003447498389772</v>
      </c>
      <c r="AW98" s="21">
        <f>EXP(-LN(2)/2)*AW97+(1-EXP(-LN(2)/2))/(LN(2)/2)*AQ98*AT98*VLOOKUP('Données projet'!$B$10,Paramètres!$A$1:$I$89,3,0)*0.475*44/12</f>
        <v>3.2578758243668054E-5</v>
      </c>
      <c r="AX98" s="21">
        <f t="shared" si="60"/>
        <v>121.64782148039754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-1.4210854715202004E-13</v>
      </c>
      <c r="BE98" s="13">
        <f>BD98*VLOOKUP('Données projet'!$B$11,Paramètres!$A$1:$I$89,3,0)*VLOOKUP('Données projet'!$B$11,Paramètres!$A$1:$I$89,5,0)</f>
        <v>-8.128608897095547E-14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320.76883487964511</v>
      </c>
      <c r="BJ98" s="59">
        <f t="shared" si="92"/>
        <v>290.51177680335746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123.02295693160038</v>
      </c>
      <c r="BQ98" s="21">
        <f>EXP(-LN(2)/25)*BQ97+(1-EXP(-LN(2)/25))/(LN(2)/25)*Calculateur!BL98*Calculateur!BN98*VLOOKUP('Données projet'!$B$11,Paramètres!$A$1:$I$89,3,0)*0.475*44/12</f>
        <v>29.032560787477568</v>
      </c>
      <c r="BR98" s="21">
        <f>EXP(-LN(2)/2)*BR97+(1-EXP(-LN(2)/2))/(LN(2)/2)*BL98*BO98*VLOOKUP('Données projet'!$B$11,Paramètres!$A$1:$I$89,3,0)*0.475*44/12</f>
        <v>5.6254476261417814</v>
      </c>
      <c r="BS98" s="22">
        <f t="shared" si="63"/>
        <v>157.68096534521973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304.99999999999983</v>
      </c>
      <c r="BZ98" s="13">
        <f>BY98*VLOOKUP('Données projet'!$B$12,Paramètres!$A$1:$I$89,3,0)*VLOOKUP('Données projet'!$B$12,Paramètres!$A$1:$I$89,5,0)</f>
        <v>275.96399999999983</v>
      </c>
      <c r="CA98" s="13">
        <f t="shared" si="93"/>
        <v>66.113366665488854</v>
      </c>
      <c r="CB98" s="20">
        <f t="shared" si="64"/>
        <v>595.78474694239264</v>
      </c>
      <c r="CC98" s="59">
        <f t="shared" si="65"/>
        <v>889.11808027572602</v>
      </c>
      <c r="CD98" s="59">
        <f ca="1">AVERAGE(OFFSET($CC$3,0,0,'Données projet'!$E$12+1,1))-AVERAGE(OFFSET($H$3,0,0,'Données projet'!$E$12+1,1))</f>
        <v>366.69125512029831</v>
      </c>
      <c r="CE98" s="59">
        <f t="shared" si="94"/>
        <v>513.80016421153414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0.44612578757993071</v>
      </c>
      <c r="CL98" s="21">
        <f>EXP(-LN(2)/25)*CL97+(1-EXP(-LN(2)/25))/(LN(2)/25)*Calculateur!CG98*Calculateur!CI98*VLOOKUP('Données projet'!$B$12,Paramètres!$A$1:$I$89,3,0)*0.475*44/12</f>
        <v>1.2177415813558365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1.6638673689357673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7.1782051282051267</v>
      </c>
      <c r="CT98" s="12">
        <f>IF('Données projet'!$A$140&gt;35,CT97+CS98-DB97,IF(A98&lt;'Données projet'!$A$140,$CQ$205^A98,IF(A98='Données projet'!$A$140,'Données projet'!$B$140,CT97+CS98-DB97)))</f>
        <v>289.53717948717991</v>
      </c>
      <c r="CU98" s="17">
        <f>CT98*VLOOKUP('Données projet'!$B$13,Paramètres!$A$1:$I$89,3,0)*VLOOKUP('Données projet'!$B$13,Paramètres!$A$1:$I$89,5,0)</f>
        <v>194.22154000000029</v>
      </c>
      <c r="CV98" s="13">
        <f t="shared" si="95"/>
        <v>48.472078368078407</v>
      </c>
      <c r="CW98" s="20">
        <f t="shared" si="67"/>
        <v>422.69138532440371</v>
      </c>
      <c r="CX98" s="59">
        <f t="shared" si="68"/>
        <v>716.02471865773703</v>
      </c>
      <c r="CY98" s="59">
        <f ca="1">AVERAGE(OFFSET($CX$3,0,0,'Données projet'!$E$13+1,1))-AVERAGE(OFFSET($H$3,0,0,'Données projet'!$E$13+1,1))</f>
        <v>294.94331863127815</v>
      </c>
      <c r="CZ98" s="59">
        <f t="shared" si="96"/>
        <v>218.36990036643977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34.310132375757476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34.310132375757476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266.99999999999983</v>
      </c>
      <c r="DP98" s="17">
        <f>DO98*VLOOKUP('Données projet'!$B$14,Paramètres!$A$1:$I$89,3,0)*VLOOKUP('Données projet'!$B$14,Paramètres!$A$1:$I$89,5,0)</f>
        <v>195.76439999999985</v>
      </c>
      <c r="DQ98" s="13">
        <f t="shared" si="97"/>
        <v>48.812154563023455</v>
      </c>
      <c r="DR98" s="20">
        <f t="shared" si="70"/>
        <v>425.9708325305989</v>
      </c>
      <c r="DS98" s="59">
        <f t="shared" si="71"/>
        <v>719.30416586393221</v>
      </c>
      <c r="DT98" s="59">
        <f ca="1">AVERAGE(OFFSET($DS$3,0,0,'Données projet'!$E$14+1,1))-AVERAGE(OFFSET($H$3,0,0,'Données projet'!$E$14+1,1))</f>
        <v>278.45534008146865</v>
      </c>
      <c r="DU98" s="59">
        <f t="shared" si="98"/>
        <v>272.97841038165217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15.994439316554073</v>
      </c>
      <c r="EB98" s="21">
        <f>EXP(-LN(2)/25)*EB97+(1-EXP(-LN(2)/25))/(LN(2)/25)*Calculateur!DW98*Calculateur!DY98*VLOOKUP('Données projet'!$B$14,Paramètres!$A$1:$I$89,3,0)*0.475*44/12</f>
        <v>4.1085726640280997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20.103011980582174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7.1782051282051267</v>
      </c>
      <c r="EJ98" s="12">
        <f>IF('Données projet'!$A$192&gt;35,EJ97+EI98-ER97,IF(A98&lt;'Données projet'!$A$192,$EG$205^A98,IF(A98='Données projet'!$A$192,'Données projet'!$B$192,EJ97+EI98-ER97)))</f>
        <v>289.53717948717991</v>
      </c>
      <c r="EK98" s="17">
        <f>EJ98*VLOOKUP('Données projet'!$B$15,Paramètres!$A$1:$I$89,3,0)*VLOOKUP('Données projet'!$B$15,Paramètres!$A$1:$I$89,5,0)</f>
        <v>311.65782000000047</v>
      </c>
      <c r="EL98" s="13">
        <f t="shared" si="99"/>
        <v>73.614941426730411</v>
      </c>
      <c r="EM98" s="20">
        <f t="shared" si="73"/>
        <v>671.01672615155621</v>
      </c>
      <c r="EN98" s="59">
        <f t="shared" si="74"/>
        <v>964.35005948488947</v>
      </c>
      <c r="EO98" s="59">
        <f ca="1">AVERAGE(OFFSET($EN$3,0,0,'Données projet'!$E$15+1,1))-AVERAGE(OFFSET($H$3,0,0,'Données projet'!$E$15+1,1))</f>
        <v>449.09332781196957</v>
      </c>
      <c r="EP98" s="59">
        <f t="shared" si="100"/>
        <v>324.85904971519432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44.667908187306885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44.667908187306885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7.1782051282051267</v>
      </c>
      <c r="FE98" s="12">
        <f>IF('Données projet'!$A$218&gt;35,FE97+FD98-FM97,IF(A98&lt;'Données projet'!$A$218,$FB$205^A98,IF(A98='Données projet'!$A$218,'Données projet'!$B$218,FE97+FD98-FM97)))</f>
        <v>289.53717948717991</v>
      </c>
      <c r="FF98" s="17">
        <f>FE98*VLOOKUP('Données projet'!$B$16,Paramètres!$A$1:$I$89,3,0)*VLOOKUP('Données projet'!$B$16,Paramètres!$A$1:$I$89,5,0)</f>
        <v>293.59070000000042</v>
      </c>
      <c r="FG98" s="13">
        <f t="shared" si="101"/>
        <v>69.831143895049522</v>
      </c>
      <c r="FH98" s="20">
        <f t="shared" si="76"/>
        <v>632.95971145054534</v>
      </c>
      <c r="FI98" s="59">
        <f t="shared" si="77"/>
        <v>926.29304478387871</v>
      </c>
      <c r="FJ98" s="59">
        <f ca="1">AVERAGE(OFFSET($FI$3,0,0,'Données projet'!$E$16+1,1))-AVERAGE(OFFSET($H$3,0,0,'Données projet'!$E$16+1,1))</f>
        <v>419.51168383014721</v>
      </c>
      <c r="FK98" s="59">
        <f t="shared" si="102"/>
        <v>213.44145308833384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42.078464234419556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42.078464234419556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266.99999999999983</v>
      </c>
      <c r="GA98" s="17">
        <f>FZ98*VLOOKUP('Données projet'!$B$17,Paramètres!$A$1:$I$89,3,0)*VLOOKUP('Données projet'!$B$17,Paramètres!$A$1:$I$89,5,0)</f>
        <v>233.2511999999999</v>
      </c>
      <c r="GB98" s="13">
        <f t="shared" si="103"/>
        <v>56.985091661350864</v>
      </c>
      <c r="GC98" s="20">
        <f t="shared" si="79"/>
        <v>505.49487464351915</v>
      </c>
      <c r="GD98" s="59">
        <f t="shared" si="80"/>
        <v>798.82820797685247</v>
      </c>
      <c r="GE98" s="59">
        <f ca="1">AVERAGE(OFFSET($GD$3,0,0,'Données projet'!$E$17+1,1))-AVERAGE(OFFSET($H$3,0,0,'Données projet'!$E$17+1,1))</f>
        <v>324.86930206492627</v>
      </c>
      <c r="GF98" s="59">
        <f t="shared" si="104"/>
        <v>317.03005098025352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23.489112266963136</v>
      </c>
      <c r="GM98" s="21">
        <f>EXP(-LN(2)/25)*GM97+(1-EXP(-LN(2)/25))/(LN(2)/25)*Calculateur!GH98*Calculateur!GJ98*VLOOKUP('Données projet'!$B$17,Paramètres!$A$1:$I$89,3,0)*0.475*44/12</f>
        <v>6.0337672770091091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29.522879543972245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7.1782051282051267</v>
      </c>
      <c r="GU98" s="12">
        <f>IF('Données projet'!$A$270&gt;35,GU97+GT98-HC97,IF(A98&lt;'Données projet'!$A$270,$GR$205^A98,IF(A98='Données projet'!$A$270,'Données projet'!$B$270,GU97+GT98-HC97)))</f>
        <v>289.53717948717991</v>
      </c>
      <c r="GV98" s="17">
        <f>GU98*VLOOKUP('Données projet'!$B$18,Paramètres!$A$1:$I$89,3,0)*VLOOKUP('Données projet'!$B$18,Paramètres!$A$1:$I$89,5,0)</f>
        <v>275.52358000000044</v>
      </c>
      <c r="GW98" s="13">
        <f t="shared" si="105"/>
        <v>66.020127164089999</v>
      </c>
      <c r="GX98" s="20">
        <f t="shared" si="82"/>
        <v>594.85528997745757</v>
      </c>
      <c r="GY98" s="59">
        <f t="shared" si="83"/>
        <v>888.18862331079094</v>
      </c>
      <c r="GZ98" s="59">
        <f ca="1">AVERAGE(OFFSET($GY$3,0,0,'Données projet'!$E$18+1,1))-AVERAGE(OFFSET($H$3,0,0,'Données projet'!$E$18+1,1))</f>
        <v>401.81944956556271</v>
      </c>
      <c r="HA98" s="59">
        <f t="shared" si="106"/>
        <v>292.20785523952651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39.489020281532191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39.489020281532191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296.71538461538506</v>
      </c>
      <c r="O99" s="13">
        <f>N99*VLOOKUP('Données projet'!$B$9,Paramètres!$A$1:$I$89,3,0)*VLOOKUP('Données projet'!$B$9,Paramètres!$A$1:$I$89,5,0)</f>
        <v>268.46808000000038</v>
      </c>
      <c r="P99" s="13">
        <f t="shared" si="87"/>
        <v>64.524049616897415</v>
      </c>
      <c r="Q99" s="20">
        <f t="shared" ref="Q99:Q130" si="107">(O99+P99)*0.475*44/12</f>
        <v>579.96129241609697</v>
      </c>
      <c r="R99" s="59">
        <f t="shared" si="55"/>
        <v>873.29462574943022</v>
      </c>
      <c r="S99" s="59">
        <f ca="1">AVERAGE(OFFSET($R$3,0,0,'Données projet'!$E$9+1,1))-AVERAGE(OFFSET($H$3,0,0,'Données projet'!$E$9+1,1))</f>
        <v>384.05928630855732</v>
      </c>
      <c r="T99" s="59">
        <f t="shared" si="88"/>
        <v>279.93992813630513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-6.3550942286383367E-14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335.04906256888819</v>
      </c>
      <c r="AO99" s="59">
        <f t="shared" si="90"/>
        <v>440.84111898279554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100.63154847519814</v>
      </c>
      <c r="AV99" s="21">
        <f>EXP(-LN(2)/25)*AV98+(1-EXP(-LN(2)/25))/(LN(2)/25)*Calculateur!AQ99*Calculateur!AS99*VLOOKUP('Données projet'!$B$10,Paramètres!$A$1:$I$89,3,0)*0.475*44/12</f>
        <v>18.483797227198433</v>
      </c>
      <c r="AW99" s="21">
        <f>EXP(-LN(2)/2)*AW98+(1-EXP(-LN(2)/2))/(LN(2)/2)*AQ99*AT99*VLOOKUP('Données projet'!$B$10,Paramètres!$A$1:$I$89,3,0)*0.475*44/12</f>
        <v>2.3036660876734818E-5</v>
      </c>
      <c r="AX99" s="21">
        <f t="shared" si="60"/>
        <v>119.11536873905746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-1.4210854715202004E-13</v>
      </c>
      <c r="BE99" s="13">
        <f>BD99*VLOOKUP('Données projet'!$B$11,Paramètres!$A$1:$I$89,3,0)*VLOOKUP('Données projet'!$B$11,Paramètres!$A$1:$I$89,5,0)</f>
        <v>-8.128608897095547E-14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320.76883487964511</v>
      </c>
      <c r="BJ99" s="59">
        <f t="shared" si="92"/>
        <v>290.51177680335746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120.61055178276617</v>
      </c>
      <c r="BQ99" s="21">
        <f>EXP(-LN(2)/25)*BQ98+(1-EXP(-LN(2)/25))/(LN(2)/25)*Calculateur!BL99*Calculateur!BN99*VLOOKUP('Données projet'!$B$11,Paramètres!$A$1:$I$89,3,0)*0.475*44/12</f>
        <v>28.238663885987975</v>
      </c>
      <c r="BR99" s="21">
        <f>EXP(-LN(2)/2)*BR98+(1-EXP(-LN(2)/2))/(LN(2)/2)*BL99*BO99*VLOOKUP('Données projet'!$B$11,Paramètres!$A$1:$I$89,3,0)*0.475*44/12</f>
        <v>3.9777921636546201</v>
      </c>
      <c r="BS99" s="22">
        <f t="shared" si="63"/>
        <v>152.82700783240875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304.99999999999983</v>
      </c>
      <c r="BZ99" s="13">
        <f>BY99*VLOOKUP('Données projet'!$B$12,Paramètres!$A$1:$I$89,3,0)*VLOOKUP('Données projet'!$B$12,Paramètres!$A$1:$I$89,5,0)</f>
        <v>275.96399999999983</v>
      </c>
      <c r="CA99" s="13">
        <f t="shared" si="93"/>
        <v>66.113366665488854</v>
      </c>
      <c r="CB99" s="20">
        <f t="shared" si="64"/>
        <v>595.78474694239264</v>
      </c>
      <c r="CC99" s="59">
        <f t="shared" si="65"/>
        <v>889.11808027572602</v>
      </c>
      <c r="CD99" s="59">
        <f ca="1">AVERAGE(OFFSET($CC$3,0,0,'Données projet'!$E$12+1,1))-AVERAGE(OFFSET($H$3,0,0,'Données projet'!$E$12+1,1))</f>
        <v>366.69125512029831</v>
      </c>
      <c r="CE99" s="59">
        <f t="shared" si="94"/>
        <v>513.80016421153414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0.43737753299535009</v>
      </c>
      <c r="CL99" s="21">
        <f>EXP(-LN(2)/25)*CL98+(1-EXP(-LN(2)/25))/(LN(2)/25)*Calculateur!CG99*Calculateur!CI99*VLOOKUP('Données projet'!$B$12,Paramètres!$A$1:$I$89,3,0)*0.475*44/12</f>
        <v>1.1844423737754146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1.6218199067707646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7.1782051282051267</v>
      </c>
      <c r="CT99" s="12">
        <f>IF('Données projet'!$A$140&gt;35,CT98+CS99-DB98,IF(A99&lt;'Données projet'!$A$140,$CQ$205^A99,IF(A99='Données projet'!$A$140,'Données projet'!$B$140,CT98+CS99-DB98)))</f>
        <v>296.71538461538506</v>
      </c>
      <c r="CU99" s="17">
        <f>CT99*VLOOKUP('Données projet'!$B$13,Paramètres!$A$1:$I$89,3,0)*VLOOKUP('Données projet'!$B$13,Paramètres!$A$1:$I$89,5,0)</f>
        <v>199.0366800000003</v>
      </c>
      <c r="CV99" s="13">
        <f t="shared" si="95"/>
        <v>49.532399692087424</v>
      </c>
      <c r="CW99" s="20">
        <f t="shared" si="67"/>
        <v>432.92448046371942</v>
      </c>
      <c r="CX99" s="59">
        <f t="shared" si="68"/>
        <v>726.25781379705268</v>
      </c>
      <c r="CY99" s="59">
        <f ca="1">AVERAGE(OFFSET($CX$3,0,0,'Données projet'!$E$13+1,1))-AVERAGE(OFFSET($H$3,0,0,'Données projet'!$E$13+1,1))</f>
        <v>294.94331863127815</v>
      </c>
      <c r="CZ99" s="59">
        <f t="shared" si="96"/>
        <v>218.36990036643977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33.637331606983238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33.637331606983238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266.99999999999983</v>
      </c>
      <c r="DP99" s="17">
        <f>DO99*VLOOKUP('Données projet'!$B$14,Paramètres!$A$1:$I$89,3,0)*VLOOKUP('Données projet'!$B$14,Paramètres!$A$1:$I$89,5,0)</f>
        <v>195.76439999999985</v>
      </c>
      <c r="DQ99" s="13">
        <f t="shared" si="97"/>
        <v>48.812154563023455</v>
      </c>
      <c r="DR99" s="20">
        <f t="shared" si="70"/>
        <v>425.9708325305989</v>
      </c>
      <c r="DS99" s="59">
        <f t="shared" si="71"/>
        <v>719.30416586393221</v>
      </c>
      <c r="DT99" s="59">
        <f ca="1">AVERAGE(OFFSET($DS$3,0,0,'Données projet'!$E$14+1,1))-AVERAGE(OFFSET($H$3,0,0,'Données projet'!$E$14+1,1))</f>
        <v>278.45534008146865</v>
      </c>
      <c r="DU99" s="59">
        <f t="shared" si="98"/>
        <v>272.97841038165217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15.680798117201141</v>
      </c>
      <c r="EB99" s="21">
        <f>EXP(-LN(2)/25)*EB98+(1-EXP(-LN(2)/25))/(LN(2)/25)*Calculateur!DW99*Calculateur!DY99*VLOOKUP('Données projet'!$B$14,Paramètres!$A$1:$I$89,3,0)*0.475*44/12</f>
        <v>3.9962235284698053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19.677021645670948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7.1782051282051267</v>
      </c>
      <c r="EJ99" s="12">
        <f>IF('Données projet'!$A$192&gt;35,EJ98+EI99-ER98,IF(A99&lt;'Données projet'!$A$192,$EG$205^A99,IF(A99='Données projet'!$A$192,'Données projet'!$B$192,EJ98+EI99-ER98)))</f>
        <v>296.71538461538506</v>
      </c>
      <c r="EK99" s="17">
        <f>EJ99*VLOOKUP('Données projet'!$B$15,Paramètres!$A$1:$I$89,3,0)*VLOOKUP('Données projet'!$B$15,Paramètres!$A$1:$I$89,5,0)</f>
        <v>319.3844400000005</v>
      </c>
      <c r="EL99" s="13">
        <f t="shared" si="99"/>
        <v>75.225260084158577</v>
      </c>
      <c r="EM99" s="20">
        <f t="shared" si="73"/>
        <v>687.27856097991025</v>
      </c>
      <c r="EN99" s="59">
        <f t="shared" si="74"/>
        <v>980.61189431324351</v>
      </c>
      <c r="EO99" s="59">
        <f ca="1">AVERAGE(OFFSET($EN$3,0,0,'Données projet'!$E$15+1,1))-AVERAGE(OFFSET($H$3,0,0,'Données projet'!$E$15+1,1))</f>
        <v>449.09332781196957</v>
      </c>
      <c r="EP99" s="59">
        <f t="shared" si="100"/>
        <v>324.85904971519432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43.791997752487596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43.791997752487596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7.1782051282051267</v>
      </c>
      <c r="FE99" s="12">
        <f>IF('Données projet'!$A$218&gt;35,FE98+FD99-FM98,IF(A99&lt;'Données projet'!$A$218,$FB$205^A99,IF(A99='Données projet'!$A$218,'Données projet'!$B$218,FE98+FD99-FM98)))</f>
        <v>296.71538461538506</v>
      </c>
      <c r="FF99" s="17">
        <f>FE99*VLOOKUP('Données projet'!$B$16,Paramètres!$A$1:$I$89,3,0)*VLOOKUP('Données projet'!$B$16,Paramètres!$A$1:$I$89,5,0)</f>
        <v>300.8694000000005</v>
      </c>
      <c r="FG99" s="13">
        <f t="shared" si="101"/>
        <v>71.35869240224595</v>
      </c>
      <c r="FH99" s="20">
        <f t="shared" si="76"/>
        <v>648.29726093391253</v>
      </c>
      <c r="FI99" s="59">
        <f t="shared" si="77"/>
        <v>941.6305942672459</v>
      </c>
      <c r="FJ99" s="59">
        <f ca="1">AVERAGE(OFFSET($FI$3,0,0,'Données projet'!$E$16+1,1))-AVERAGE(OFFSET($H$3,0,0,'Données projet'!$E$16+1,1))</f>
        <v>419.51168383014721</v>
      </c>
      <c r="FK99" s="59">
        <f t="shared" si="102"/>
        <v>213.44145308833384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41.253331216111533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41.253331216111533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266.99999999999983</v>
      </c>
      <c r="GA99" s="17">
        <f>FZ99*VLOOKUP('Données projet'!$B$17,Paramètres!$A$1:$I$89,3,0)*VLOOKUP('Données projet'!$B$17,Paramètres!$A$1:$I$89,5,0)</f>
        <v>233.2511999999999</v>
      </c>
      <c r="GB99" s="13">
        <f t="shared" si="103"/>
        <v>56.985091661350864</v>
      </c>
      <c r="GC99" s="20">
        <f t="shared" si="79"/>
        <v>505.49487464351915</v>
      </c>
      <c r="GD99" s="59">
        <f t="shared" si="80"/>
        <v>798.82820797685247</v>
      </c>
      <c r="GE99" s="59">
        <f ca="1">AVERAGE(OFFSET($GD$3,0,0,'Données projet'!$E$17+1,1))-AVERAGE(OFFSET($H$3,0,0,'Données projet'!$E$17+1,1))</f>
        <v>324.86930206492627</v>
      </c>
      <c r="GF99" s="59">
        <f t="shared" si="104"/>
        <v>317.03005098025352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23.028505102351804</v>
      </c>
      <c r="GM99" s="21">
        <f>EXP(-LN(2)/25)*GM98+(1-EXP(-LN(2)/25))/(LN(2)/25)*Calculateur!GH99*Calculateur!GJ99*VLOOKUP('Données projet'!$B$17,Paramètres!$A$1:$I$89,3,0)*0.475*44/12</f>
        <v>5.8687735935172647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28.897278695869069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7.1782051282051267</v>
      </c>
      <c r="GU99" s="12">
        <f>IF('Données projet'!$A$270&gt;35,GU98+GT99-HC98,IF(A99&lt;'Données projet'!$A$270,$GR$205^A99,IF(A99='Données projet'!$A$270,'Données projet'!$B$270,GU98+GT99-HC98)))</f>
        <v>296.71538461538506</v>
      </c>
      <c r="GV99" s="17">
        <f>GU99*VLOOKUP('Données projet'!$B$18,Paramètres!$A$1:$I$89,3,0)*VLOOKUP('Données projet'!$B$18,Paramètres!$A$1:$I$89,5,0)</f>
        <v>282.35436000000044</v>
      </c>
      <c r="GW99" s="13">
        <f t="shared" si="105"/>
        <v>67.464310104097265</v>
      </c>
      <c r="GX99" s="20">
        <f t="shared" si="82"/>
        <v>609.26751709797009</v>
      </c>
      <c r="GY99" s="59">
        <f t="shared" si="83"/>
        <v>902.60085043130334</v>
      </c>
      <c r="GZ99" s="59">
        <f ca="1">AVERAGE(OFFSET($GY$3,0,0,'Données projet'!$E$18+1,1))-AVERAGE(OFFSET($H$3,0,0,'Données projet'!$E$18+1,1))</f>
        <v>401.81944956556271</v>
      </c>
      <c r="HA99" s="59">
        <f t="shared" si="106"/>
        <v>292.20785523952651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38.714664679735428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38.714664679735428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303.89358974359021</v>
      </c>
      <c r="O100" s="13">
        <f>N100*VLOOKUP('Données projet'!$B$9,Paramètres!$A$1:$I$89,3,0)*VLOOKUP('Données projet'!$B$9,Paramètres!$A$1:$I$89,5,0)</f>
        <v>274.96292000000045</v>
      </c>
      <c r="P100" s="13">
        <f t="shared" si="87"/>
        <v>65.901407042348566</v>
      </c>
      <c r="Q100" s="20">
        <f t="shared" si="107"/>
        <v>593.67203626542459</v>
      </c>
      <c r="R100" s="59">
        <f t="shared" si="55"/>
        <v>887.00536959875785</v>
      </c>
      <c r="S100" s="59">
        <f ca="1">AVERAGE(OFFSET($R$3,0,0,'Données projet'!$E$9+1,1))-AVERAGE(OFFSET($H$3,0,0,'Données projet'!$E$9+1,1))</f>
        <v>384.05928630855732</v>
      </c>
      <c r="T100" s="59">
        <f t="shared" si="88"/>
        <v>279.93992813630513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-6.3550942286383367E-14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335.04906256888819</v>
      </c>
      <c r="AO100" s="59">
        <f t="shared" si="90"/>
        <v>440.84111898279554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98.658225188783391</v>
      </c>
      <c r="AV100" s="21">
        <f>EXP(-LN(2)/25)*AV99+(1-EXP(-LN(2)/25))/(LN(2)/25)*Calculateur!AQ100*Calculateur!AS100*VLOOKUP('Données projet'!$B$10,Paramètres!$A$1:$I$89,3,0)*0.475*44/12</f>
        <v>17.978356820000041</v>
      </c>
      <c r="AW100" s="21">
        <f>EXP(-LN(2)/2)*AW99+(1-EXP(-LN(2)/2))/(LN(2)/2)*AQ100*AT100*VLOOKUP('Données projet'!$B$10,Paramètres!$A$1:$I$89,3,0)*0.475*44/12</f>
        <v>1.6289379121834027E-5</v>
      </c>
      <c r="AX100" s="21">
        <f t="shared" si="60"/>
        <v>116.63659829816255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-1.4210854715202004E-13</v>
      </c>
      <c r="BE100" s="13">
        <f>BD100*VLOOKUP('Données projet'!$B$11,Paramètres!$A$1:$I$89,3,0)*VLOOKUP('Données projet'!$B$11,Paramètres!$A$1:$I$89,5,0)</f>
        <v>-8.128608897095547E-14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320.76883487964511</v>
      </c>
      <c r="BJ100" s="59">
        <f t="shared" si="92"/>
        <v>290.51177680335746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118.24545242747875</v>
      </c>
      <c r="BQ100" s="21">
        <f>EXP(-LN(2)/25)*BQ99+(1-EXP(-LN(2)/25))/(LN(2)/25)*Calculateur!BL100*Calculateur!BN100*VLOOKUP('Données projet'!$B$11,Paramètres!$A$1:$I$89,3,0)*0.475*44/12</f>
        <v>27.466476137018841</v>
      </c>
      <c r="BR100" s="21">
        <f>EXP(-LN(2)/2)*BR99+(1-EXP(-LN(2)/2))/(LN(2)/2)*BL100*BO100*VLOOKUP('Données projet'!$B$11,Paramètres!$A$1:$I$89,3,0)*0.475*44/12</f>
        <v>2.8127238130708911</v>
      </c>
      <c r="BS100" s="22">
        <f t="shared" si="63"/>
        <v>148.52465237756849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304.99999999999983</v>
      </c>
      <c r="BZ100" s="13">
        <f>BY100*VLOOKUP('Données projet'!$B$12,Paramètres!$A$1:$I$89,3,0)*VLOOKUP('Données projet'!$B$12,Paramètres!$A$1:$I$89,5,0)</f>
        <v>275.96399999999983</v>
      </c>
      <c r="CA100" s="13">
        <f t="shared" si="93"/>
        <v>66.113366665488854</v>
      </c>
      <c r="CB100" s="20">
        <f t="shared" si="64"/>
        <v>595.78474694239264</v>
      </c>
      <c r="CC100" s="59">
        <f t="shared" si="65"/>
        <v>889.11808027572602</v>
      </c>
      <c r="CD100" s="59">
        <f ca="1">AVERAGE(OFFSET($CC$3,0,0,'Données projet'!$E$12+1,1))-AVERAGE(OFFSET($H$3,0,0,'Données projet'!$E$12+1,1))</f>
        <v>366.69125512029831</v>
      </c>
      <c r="CE100" s="59">
        <f t="shared" si="94"/>
        <v>513.80016421153414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0.42880082634726469</v>
      </c>
      <c r="CL100" s="21">
        <f>EXP(-LN(2)/25)*CL99+(1-EXP(-LN(2)/25))/(LN(2)/25)*Calculateur!CG100*Calculateur!CI100*VLOOKUP('Données projet'!$B$12,Paramètres!$A$1:$I$89,3,0)*0.475*44/12</f>
        <v>1.1520537347774085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1.5808545611246732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7.1782051282051267</v>
      </c>
      <c r="CT100" s="12">
        <f>IF('Données projet'!$A$140&gt;35,CT99+CS100-DB99,IF(A100&lt;'Données projet'!$A$140,$CQ$205^A100,IF(A100='Données projet'!$A$140,'Données projet'!$B$140,CT99+CS100-DB99)))</f>
        <v>303.89358974359021</v>
      </c>
      <c r="CU100" s="17">
        <f>CT100*VLOOKUP('Données projet'!$B$13,Paramètres!$A$1:$I$89,3,0)*VLOOKUP('Données projet'!$B$13,Paramètres!$A$1:$I$89,5,0)</f>
        <v>203.85182000000032</v>
      </c>
      <c r="CV100" s="13">
        <f t="shared" si="95"/>
        <v>50.589739070526676</v>
      </c>
      <c r="CW100" s="20">
        <f t="shared" si="67"/>
        <v>443.15238204783446</v>
      </c>
      <c r="CX100" s="59">
        <f t="shared" si="68"/>
        <v>736.48571538116778</v>
      </c>
      <c r="CY100" s="59">
        <f ca="1">AVERAGE(OFFSET($CX$3,0,0,'Données projet'!$E$13+1,1))-AVERAGE(OFFSET($H$3,0,0,'Données projet'!$E$13+1,1))</f>
        <v>294.94331863127815</v>
      </c>
      <c r="CZ100" s="59">
        <f t="shared" si="96"/>
        <v>218.36990036643977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32.97772405091672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32.97772405091672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266.99999999999983</v>
      </c>
      <c r="DP100" s="17">
        <f>DO100*VLOOKUP('Données projet'!$B$14,Paramètres!$A$1:$I$89,3,0)*VLOOKUP('Données projet'!$B$14,Paramètres!$A$1:$I$89,5,0)</f>
        <v>195.76439999999985</v>
      </c>
      <c r="DQ100" s="13">
        <f t="shared" si="97"/>
        <v>48.812154563023455</v>
      </c>
      <c r="DR100" s="20">
        <f t="shared" si="70"/>
        <v>425.9708325305989</v>
      </c>
      <c r="DS100" s="59">
        <f t="shared" si="71"/>
        <v>719.30416586393221</v>
      </c>
      <c r="DT100" s="59">
        <f ca="1">AVERAGE(OFFSET($DS$3,0,0,'Données projet'!$E$14+1,1))-AVERAGE(OFFSET($H$3,0,0,'Données projet'!$E$14+1,1))</f>
        <v>278.45534008146865</v>
      </c>
      <c r="DU100" s="59">
        <f t="shared" si="98"/>
        <v>272.97841038165217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15.373307230465278</v>
      </c>
      <c r="EB100" s="21">
        <f>EXP(-LN(2)/25)*EB99+(1-EXP(-LN(2)/25))/(LN(2)/25)*Calculateur!DW100*Calculateur!DY100*VLOOKUP('Données projet'!$B$14,Paramètres!$A$1:$I$89,3,0)*0.475*44/12</f>
        <v>3.8869465859315366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19.260253816396816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7.1782051282051267</v>
      </c>
      <c r="EJ100" s="12">
        <f>IF('Données projet'!$A$192&gt;35,EJ99+EI100-ER99,IF(A100&lt;'Données projet'!$A$192,$EG$205^A100,IF(A100='Données projet'!$A$192,'Données projet'!$B$192,EJ99+EI100-ER99)))</f>
        <v>303.89358974359021</v>
      </c>
      <c r="EK100" s="17">
        <f>EJ100*VLOOKUP('Données projet'!$B$15,Paramètres!$A$1:$I$89,3,0)*VLOOKUP('Données projet'!$B$15,Paramètres!$A$1:$I$89,5,0)</f>
        <v>327.11106000000052</v>
      </c>
      <c r="EL100" s="13">
        <f t="shared" si="99"/>
        <v>76.831050036487923</v>
      </c>
      <c r="EM100" s="20">
        <f t="shared" si="73"/>
        <v>703.53250831355069</v>
      </c>
      <c r="EN100" s="59">
        <f t="shared" si="74"/>
        <v>996.86584164688406</v>
      </c>
      <c r="EO100" s="59">
        <f ca="1">AVERAGE(OFFSET($EN$3,0,0,'Données projet'!$E$15+1,1))-AVERAGE(OFFSET($H$3,0,0,'Données projet'!$E$15+1,1))</f>
        <v>449.09332781196957</v>
      </c>
      <c r="EP100" s="59">
        <f t="shared" si="100"/>
        <v>324.85904971519432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42.933263387042501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42.933263387042501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7.1782051282051267</v>
      </c>
      <c r="FE100" s="12">
        <f>IF('Données projet'!$A$218&gt;35,FE99+FD100-FM99,IF(A100&lt;'Données projet'!$A$218,$FB$205^A100,IF(A100='Données projet'!$A$218,'Données projet'!$B$218,FE99+FD100-FM99)))</f>
        <v>303.89358974359021</v>
      </c>
      <c r="FF100" s="17">
        <f>FE100*VLOOKUP('Données projet'!$B$16,Paramètres!$A$1:$I$89,3,0)*VLOOKUP('Données projet'!$B$16,Paramètres!$A$1:$I$89,5,0)</f>
        <v>308.14810000000051</v>
      </c>
      <c r="FG100" s="13">
        <f t="shared" si="101"/>
        <v>72.881944979142219</v>
      </c>
      <c r="FH100" s="20">
        <f t="shared" si="76"/>
        <v>663.62732833867358</v>
      </c>
      <c r="FI100" s="59">
        <f t="shared" si="77"/>
        <v>956.96066167200684</v>
      </c>
      <c r="FJ100" s="59">
        <f ca="1">AVERAGE(OFFSET($FI$3,0,0,'Données projet'!$E$16+1,1))-AVERAGE(OFFSET($H$3,0,0,'Données projet'!$E$16+1,1))</f>
        <v>419.51168383014721</v>
      </c>
      <c r="FK100" s="59">
        <f t="shared" si="102"/>
        <v>213.44145308833384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40.444378553011084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40.444378553011084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266.99999999999983</v>
      </c>
      <c r="GA100" s="17">
        <f>FZ100*VLOOKUP('Données projet'!$B$17,Paramètres!$A$1:$I$89,3,0)*VLOOKUP('Données projet'!$B$17,Paramètres!$A$1:$I$89,5,0)</f>
        <v>233.2511999999999</v>
      </c>
      <c r="GB100" s="13">
        <f t="shared" si="103"/>
        <v>56.985091661350864</v>
      </c>
      <c r="GC100" s="20">
        <f t="shared" si="79"/>
        <v>505.49487464351915</v>
      </c>
      <c r="GD100" s="59">
        <f t="shared" si="80"/>
        <v>798.82820797685247</v>
      </c>
      <c r="GE100" s="59">
        <f ca="1">AVERAGE(OFFSET($GD$3,0,0,'Données projet'!$E$17+1,1))-AVERAGE(OFFSET($H$3,0,0,'Données projet'!$E$17+1,1))</f>
        <v>324.86930206492627</v>
      </c>
      <c r="GF100" s="59">
        <f t="shared" si="104"/>
        <v>317.03005098025352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22.57693016329587</v>
      </c>
      <c r="GM100" s="21">
        <f>EXP(-LN(2)/25)*GM99+(1-EXP(-LN(2)/25))/(LN(2)/25)*Calculateur!GH100*Calculateur!GJ100*VLOOKUP('Données projet'!$B$17,Paramètres!$A$1:$I$89,3,0)*0.475*44/12</f>
        <v>5.708291670977145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28.285221834273017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7.1782051282051267</v>
      </c>
      <c r="GU100" s="12">
        <f>IF('Données projet'!$A$270&gt;35,GU99+GT100-HC99,IF(A100&lt;'Données projet'!$A$270,$GR$205^A100,IF(A100='Données projet'!$A$270,'Données projet'!$B$270,GU99+GT100-HC99)))</f>
        <v>303.89358974359021</v>
      </c>
      <c r="GV100" s="17">
        <f>GU100*VLOOKUP('Données projet'!$B$18,Paramètres!$A$1:$I$89,3,0)*VLOOKUP('Données projet'!$B$18,Paramètres!$A$1:$I$89,5,0)</f>
        <v>289.18514000000044</v>
      </c>
      <c r="GW100" s="13">
        <f t="shared" si="105"/>
        <v>68.904431563096438</v>
      </c>
      <c r="GX100" s="20">
        <f t="shared" si="82"/>
        <v>623.67267047239375</v>
      </c>
      <c r="GY100" s="59">
        <f t="shared" si="83"/>
        <v>917.006003805727</v>
      </c>
      <c r="GZ100" s="59">
        <f ca="1">AVERAGE(OFFSET($GY$3,0,0,'Données projet'!$E$18+1,1))-AVERAGE(OFFSET($H$3,0,0,'Données projet'!$E$18+1,1))</f>
        <v>401.81944956556271</v>
      </c>
      <c r="HA100" s="59">
        <f t="shared" si="106"/>
        <v>292.20785523952651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37.955493718979618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37.955493718979618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311.07179487179536</v>
      </c>
      <c r="O101" s="13">
        <f>N101*VLOOKUP('Données projet'!$B$9,Paramètres!$A$1:$I$89,3,0)*VLOOKUP('Données projet'!$B$9,Paramètres!$A$1:$I$89,5,0)</f>
        <v>281.45776000000041</v>
      </c>
      <c r="P101" s="13">
        <f t="shared" si="87"/>
        <v>67.274982309129811</v>
      </c>
      <c r="Q101" s="20">
        <f t="shared" si="107"/>
        <v>607.37619285506855</v>
      </c>
      <c r="R101" s="59">
        <f t="shared" si="55"/>
        <v>900.70952618840192</v>
      </c>
      <c r="S101" s="59">
        <f ca="1">AVERAGE(OFFSET($R$3,0,0,'Données projet'!$E$9+1,1))-AVERAGE(OFFSET($H$3,0,0,'Données projet'!$E$9+1,1))</f>
        <v>384.05928630855732</v>
      </c>
      <c r="T101" s="59">
        <f t="shared" si="88"/>
        <v>279.93992813630513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-6.3550942286383367E-14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335.04906256888819</v>
      </c>
      <c r="AO101" s="59">
        <f t="shared" si="90"/>
        <v>440.84111898279554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96.723597568406873</v>
      </c>
      <c r="AV101" s="21">
        <f>EXP(-LN(2)/25)*AV100+(1-EXP(-LN(2)/25))/(LN(2)/25)*Calculateur!AQ101*Calculateur!AS101*VLOOKUP('Données projet'!$B$10,Paramètres!$A$1:$I$89,3,0)*0.475*44/12</f>
        <v>17.486737707316443</v>
      </c>
      <c r="AW101" s="21">
        <f>EXP(-LN(2)/2)*AW100+(1-EXP(-LN(2)/2))/(LN(2)/2)*AQ101*AT101*VLOOKUP('Données projet'!$B$10,Paramètres!$A$1:$I$89,3,0)*0.475*44/12</f>
        <v>1.1518330438367409E-5</v>
      </c>
      <c r="AX101" s="21">
        <f t="shared" si="60"/>
        <v>114.21034679405375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-1.4210854715202004E-13</v>
      </c>
      <c r="BE101" s="13">
        <f>BD101*VLOOKUP('Données projet'!$B$11,Paramètres!$A$1:$I$89,3,0)*VLOOKUP('Données projet'!$B$11,Paramètres!$A$1:$I$89,5,0)</f>
        <v>-8.128608897095547E-14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320.76883487964511</v>
      </c>
      <c r="BJ101" s="59">
        <f t="shared" si="92"/>
        <v>290.51177680335746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115.92673122798035</v>
      </c>
      <c r="BQ101" s="21">
        <f>EXP(-LN(2)/25)*BQ100+(1-EXP(-LN(2)/25))/(LN(2)/25)*Calculateur!BL101*Calculateur!BN101*VLOOKUP('Données projet'!$B$11,Paramètres!$A$1:$I$89,3,0)*0.475*44/12</f>
        <v>26.715403902652856</v>
      </c>
      <c r="BR101" s="21">
        <f>EXP(-LN(2)/2)*BR100+(1-EXP(-LN(2)/2))/(LN(2)/2)*BL101*BO101*VLOOKUP('Données projet'!$B$11,Paramètres!$A$1:$I$89,3,0)*0.475*44/12</f>
        <v>1.9888960818273103</v>
      </c>
      <c r="BS101" s="22">
        <f t="shared" si="63"/>
        <v>144.63103121246053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304.99999999999983</v>
      </c>
      <c r="BZ101" s="13">
        <f>BY101*VLOOKUP('Données projet'!$B$12,Paramètres!$A$1:$I$89,3,0)*VLOOKUP('Données projet'!$B$12,Paramètres!$A$1:$I$89,5,0)</f>
        <v>275.96399999999983</v>
      </c>
      <c r="CA101" s="13">
        <f t="shared" si="93"/>
        <v>66.113366665488854</v>
      </c>
      <c r="CB101" s="20">
        <f t="shared" si="64"/>
        <v>595.78474694239264</v>
      </c>
      <c r="CC101" s="59">
        <f t="shared" si="65"/>
        <v>889.11808027572602</v>
      </c>
      <c r="CD101" s="59">
        <f ca="1">AVERAGE(OFFSET($CC$3,0,0,'Données projet'!$E$12+1,1))-AVERAGE(OFFSET($H$3,0,0,'Données projet'!$E$12+1,1))</f>
        <v>366.69125512029831</v>
      </c>
      <c r="CE101" s="59">
        <f t="shared" si="94"/>
        <v>513.80016421153414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0.42039230368527369</v>
      </c>
      <c r="CL101" s="21">
        <f>EXP(-LN(2)/25)*CL100+(1-EXP(-LN(2)/25))/(LN(2)/25)*Calculateur!CG101*Calculateur!CI101*VLOOKUP('Données projet'!$B$12,Paramètres!$A$1:$I$89,3,0)*0.475*44/12</f>
        <v>1.1205507648160473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1.540943068501321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7.1782051282051267</v>
      </c>
      <c r="CT101" s="12">
        <f>IF('Données projet'!$A$140&gt;35,CT100+CS101-DB100,IF(A101&lt;'Données projet'!$A$140,$CQ$205^A101,IF(A101='Données projet'!$A$140,'Données projet'!$B$140,CT100+CS101-DB100)))</f>
        <v>311.07179487179536</v>
      </c>
      <c r="CU101" s="17">
        <f>CT101*VLOOKUP('Données projet'!$B$13,Paramètres!$A$1:$I$89,3,0)*VLOOKUP('Données projet'!$B$13,Paramètres!$A$1:$I$89,5,0)</f>
        <v>208.66696000000033</v>
      </c>
      <c r="CV101" s="13">
        <f t="shared" si="95"/>
        <v>51.644175044792519</v>
      </c>
      <c r="CW101" s="20">
        <f t="shared" si="67"/>
        <v>453.37522686968094</v>
      </c>
      <c r="CX101" s="59">
        <f t="shared" si="68"/>
        <v>746.70856020301426</v>
      </c>
      <c r="CY101" s="59">
        <f ca="1">AVERAGE(OFFSET($CX$3,0,0,'Données projet'!$E$13+1,1))-AVERAGE(OFFSET($H$3,0,0,'Données projet'!$E$13+1,1))</f>
        <v>294.94331863127815</v>
      </c>
      <c r="CZ101" s="59">
        <f t="shared" si="96"/>
        <v>218.36990036643977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32.33105099670378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32.33105099670378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266.99999999999983</v>
      </c>
      <c r="DP101" s="17">
        <f>DO101*VLOOKUP('Données projet'!$B$14,Paramètres!$A$1:$I$89,3,0)*VLOOKUP('Données projet'!$B$14,Paramètres!$A$1:$I$89,5,0)</f>
        <v>195.76439999999985</v>
      </c>
      <c r="DQ101" s="13">
        <f t="shared" si="97"/>
        <v>48.812154563023455</v>
      </c>
      <c r="DR101" s="20">
        <f t="shared" si="70"/>
        <v>425.9708325305989</v>
      </c>
      <c r="DS101" s="59">
        <f t="shared" si="71"/>
        <v>719.30416586393221</v>
      </c>
      <c r="DT101" s="59">
        <f ca="1">AVERAGE(OFFSET($DS$3,0,0,'Données projet'!$E$14+1,1))-AVERAGE(OFFSET($H$3,0,0,'Données projet'!$E$14+1,1))</f>
        <v>278.45534008146865</v>
      </c>
      <c r="DU101" s="59">
        <f t="shared" si="98"/>
        <v>272.97841038165217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15.071846052467382</v>
      </c>
      <c r="EB101" s="21">
        <f>EXP(-LN(2)/25)*EB100+(1-EXP(-LN(2)/25))/(LN(2)/25)*Calculateur!DW101*Calculateur!DY101*VLOOKUP('Données projet'!$B$14,Paramètres!$A$1:$I$89,3,0)*0.475*44/12</f>
        <v>3.7806578271336018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18.852503879600985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7.1782051282051267</v>
      </c>
      <c r="EJ101" s="12">
        <f>IF('Données projet'!$A$192&gt;35,EJ100+EI101-ER100,IF(A101&lt;'Données projet'!$A$192,$EG$205^A101,IF(A101='Données projet'!$A$192,'Données projet'!$B$192,EJ100+EI101-ER100)))</f>
        <v>311.07179487179536</v>
      </c>
      <c r="EK101" s="17">
        <f>EJ101*VLOOKUP('Données projet'!$B$15,Paramètres!$A$1:$I$89,3,0)*VLOOKUP('Données projet'!$B$15,Paramètres!$A$1:$I$89,5,0)</f>
        <v>334.83768000000055</v>
      </c>
      <c r="EL101" s="13">
        <f t="shared" si="99"/>
        <v>78.432430565178777</v>
      </c>
      <c r="EM101" s="20">
        <f t="shared" si="73"/>
        <v>719.77877590102059</v>
      </c>
      <c r="EN101" s="59">
        <f t="shared" si="74"/>
        <v>1013.112109234354</v>
      </c>
      <c r="EO101" s="59">
        <f ca="1">AVERAGE(OFFSET($EN$3,0,0,'Données projet'!$E$15+1,1))-AVERAGE(OFFSET($H$3,0,0,'Données projet'!$E$15+1,1))</f>
        <v>449.09332781196957</v>
      </c>
      <c r="EP101" s="59">
        <f t="shared" si="100"/>
        <v>324.85904971519432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42.091368278727543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42.091368278727543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7.1782051282051267</v>
      </c>
      <c r="FE101" s="12">
        <f>IF('Données projet'!$A$218&gt;35,FE100+FD101-FM100,IF(A101&lt;'Données projet'!$A$218,$FB$205^A101,IF(A101='Données projet'!$A$218,'Données projet'!$B$218,FE100+FD101-FM100)))</f>
        <v>311.07179487179536</v>
      </c>
      <c r="FF101" s="17">
        <f>FE101*VLOOKUP('Données projet'!$B$16,Paramètres!$A$1:$I$89,3,0)*VLOOKUP('Données projet'!$B$16,Paramètres!$A$1:$I$89,5,0)</f>
        <v>315.42680000000053</v>
      </c>
      <c r="FG101" s="13">
        <f t="shared" si="101"/>
        <v>74.401014776148614</v>
      </c>
      <c r="FH101" s="20">
        <f t="shared" si="76"/>
        <v>678.95011073512637</v>
      </c>
      <c r="FI101" s="59">
        <f t="shared" si="77"/>
        <v>972.28344406845963</v>
      </c>
      <c r="FJ101" s="59">
        <f ca="1">AVERAGE(OFFSET($FI$3,0,0,'Données projet'!$E$16+1,1))-AVERAGE(OFFSET($H$3,0,0,'Données projet'!$E$16+1,1))</f>
        <v>419.51168383014721</v>
      </c>
      <c r="FK101" s="59">
        <f t="shared" si="102"/>
        <v>213.44145308833384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39.651288958221627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39.651288958221627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266.99999999999983</v>
      </c>
      <c r="GA101" s="17">
        <f>FZ101*VLOOKUP('Données projet'!$B$17,Paramètres!$A$1:$I$89,3,0)*VLOOKUP('Données projet'!$B$17,Paramètres!$A$1:$I$89,5,0)</f>
        <v>233.2511999999999</v>
      </c>
      <c r="GB101" s="13">
        <f t="shared" si="103"/>
        <v>56.985091661350864</v>
      </c>
      <c r="GC101" s="20">
        <f t="shared" si="79"/>
        <v>505.49487464351915</v>
      </c>
      <c r="GD101" s="59">
        <f t="shared" si="80"/>
        <v>798.82820797685247</v>
      </c>
      <c r="GE101" s="59">
        <f ca="1">AVERAGE(OFFSET($GD$3,0,0,'Données projet'!$E$17+1,1))-AVERAGE(OFFSET($H$3,0,0,'Données projet'!$E$17+1,1))</f>
        <v>324.86930206492627</v>
      </c>
      <c r="GF101" s="59">
        <f t="shared" si="104"/>
        <v>317.03005098025352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22.134210333361306</v>
      </c>
      <c r="GM101" s="21">
        <f>EXP(-LN(2)/25)*GM100+(1-EXP(-LN(2)/25))/(LN(2)/25)*Calculateur!GH101*Calculateur!GJ101*VLOOKUP('Données projet'!$B$17,Paramètres!$A$1:$I$89,3,0)*0.475*44/12</f>
        <v>5.5521981350482621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27.686408468409567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7.1782051282051267</v>
      </c>
      <c r="GU101" s="12">
        <f>IF('Données projet'!$A$270&gt;35,GU100+GT101-HC100,IF(A101&lt;'Données projet'!$A$270,$GR$205^A101,IF(A101='Données projet'!$A$270,'Données projet'!$B$270,GU100+GT101-HC100)))</f>
        <v>311.07179487179536</v>
      </c>
      <c r="GV101" s="17">
        <f>GU101*VLOOKUP('Données projet'!$B$18,Paramètres!$A$1:$I$89,3,0)*VLOOKUP('Données projet'!$B$18,Paramètres!$A$1:$I$89,5,0)</f>
        <v>296.01592000000051</v>
      </c>
      <c r="GW101" s="13">
        <f t="shared" si="105"/>
        <v>70.340598516343221</v>
      </c>
      <c r="GX101" s="20">
        <f t="shared" si="82"/>
        <v>638.07093641596532</v>
      </c>
      <c r="GY101" s="59">
        <f t="shared" si="83"/>
        <v>931.40426974929869</v>
      </c>
      <c r="GZ101" s="59">
        <f ca="1">AVERAGE(OFFSET($GY$3,0,0,'Données projet'!$E$18+1,1))-AVERAGE(OFFSET($H$3,0,0,'Données projet'!$E$18+1,1))</f>
        <v>401.81944956556271</v>
      </c>
      <c r="HA101" s="59">
        <f t="shared" si="106"/>
        <v>292.20785523952651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37.211209637715669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37.211209637715669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318.25000000000051</v>
      </c>
      <c r="O102" s="13">
        <f>N102*VLOOKUP('Données projet'!$B$9,Paramètres!$A$1:$I$89,3,0)*VLOOKUP('Données projet'!$B$9,Paramètres!$A$1:$I$89,5,0)</f>
        <v>287.95260000000047</v>
      </c>
      <c r="P102" s="13">
        <f t="shared" si="87"/>
        <v>68.6448727389173</v>
      </c>
      <c r="Q102" s="20">
        <f t="shared" si="107"/>
        <v>621.07393168694841</v>
      </c>
      <c r="R102" s="59">
        <f t="shared" si="55"/>
        <v>914.40726502028178</v>
      </c>
      <c r="S102" s="59">
        <f ca="1">AVERAGE(OFFSET($R$3,0,0,'Données projet'!$E$9+1,1))-AVERAGE(OFFSET($H$3,0,0,'Données projet'!$E$9+1,1))</f>
        <v>384.05928630855732</v>
      </c>
      <c r="T102" s="59">
        <f t="shared" si="88"/>
        <v>279.93992813630513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-6.3550942286383367E-14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335.04906256888819</v>
      </c>
      <c r="AO102" s="59">
        <f t="shared" si="90"/>
        <v>440.84111898279554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94.826906815659598</v>
      </c>
      <c r="AV102" s="21">
        <f>EXP(-LN(2)/25)*AV101+(1-EXP(-LN(2)/25))/(LN(2)/25)*Calculateur!AQ102*Calculateur!AS102*VLOOKUP('Données projet'!$B$10,Paramètres!$A$1:$I$89,3,0)*0.475*44/12</f>
        <v>17.008561945122306</v>
      </c>
      <c r="AW102" s="21">
        <f>EXP(-LN(2)/2)*AW101+(1-EXP(-LN(2)/2))/(LN(2)/2)*AQ102*AT102*VLOOKUP('Données projet'!$B$10,Paramètres!$A$1:$I$89,3,0)*0.475*44/12</f>
        <v>8.1446895609170135E-6</v>
      </c>
      <c r="AX102" s="21">
        <f t="shared" si="60"/>
        <v>111.83547690547147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-1.4210854715202004E-13</v>
      </c>
      <c r="BE102" s="13">
        <f>BD102*VLOOKUP('Données projet'!$B$11,Paramètres!$A$1:$I$89,3,0)*VLOOKUP('Données projet'!$B$11,Paramètres!$A$1:$I$89,5,0)</f>
        <v>-8.128608897095547E-14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320.76883487964511</v>
      </c>
      <c r="BJ102" s="59">
        <f t="shared" si="92"/>
        <v>290.51177680335746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113.65347873692384</v>
      </c>
      <c r="BQ102" s="21">
        <f>EXP(-LN(2)/25)*BQ101+(1-EXP(-LN(2)/25))/(LN(2)/25)*Calculateur!BL102*Calculateur!BN102*VLOOKUP('Données projet'!$B$11,Paramètres!$A$1:$I$89,3,0)*0.475*44/12</f>
        <v>25.984869778032781</v>
      </c>
      <c r="BR102" s="21">
        <f>EXP(-LN(2)/2)*BR101+(1-EXP(-LN(2)/2))/(LN(2)/2)*BL102*BO102*VLOOKUP('Données projet'!$B$11,Paramètres!$A$1:$I$89,3,0)*0.475*44/12</f>
        <v>1.4063619065354458</v>
      </c>
      <c r="BS102" s="22">
        <f t="shared" si="63"/>
        <v>141.04471042149206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304.99999999999983</v>
      </c>
      <c r="BZ102" s="13">
        <f>BY102*VLOOKUP('Données projet'!$B$12,Paramètres!$A$1:$I$89,3,0)*VLOOKUP('Données projet'!$B$12,Paramètres!$A$1:$I$89,5,0)</f>
        <v>275.96399999999983</v>
      </c>
      <c r="CA102" s="13">
        <f t="shared" si="93"/>
        <v>66.113366665488854</v>
      </c>
      <c r="CB102" s="20">
        <f t="shared" si="64"/>
        <v>595.78474694239264</v>
      </c>
      <c r="CC102" s="59">
        <f t="shared" si="65"/>
        <v>889.11808027572602</v>
      </c>
      <c r="CD102" s="59">
        <f ca="1">AVERAGE(OFFSET($CC$3,0,0,'Données projet'!$E$12+1,1))-AVERAGE(OFFSET($H$3,0,0,'Données projet'!$E$12+1,1))</f>
        <v>366.69125512029831</v>
      </c>
      <c r="CE102" s="59">
        <f t="shared" si="94"/>
        <v>513.80016421153414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0.41214866702399194</v>
      </c>
      <c r="CL102" s="21">
        <f>EXP(-LN(2)/25)*CL101+(1-EXP(-LN(2)/25))/(LN(2)/25)*Calculateur!CG102*Calculateur!CI102*VLOOKUP('Données projet'!$B$12,Paramètres!$A$1:$I$89,3,0)*0.475*44/12</f>
        <v>1.0899092452249488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1.5020579122489408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>
        <f>VLOOKUP(A102,'Données projet'!$A$139:$I$159,2,0)</f>
        <v>318.25</v>
      </c>
      <c r="CR102" s="12">
        <f>VLOOKUP(A102,'Données projet'!$A$139:$I$159,9,0)</f>
        <v>7.1782051282051267</v>
      </c>
      <c r="CS102" s="12">
        <f t="array" ref="CS102">INDEX(CR:CR,MIN(IF(ISNUMBER(CR102:CR298),ROW(CR102:CR298),"")))</f>
        <v>7.1782051282051267</v>
      </c>
      <c r="CT102" s="12">
        <f>IF('Données projet'!$A$140&gt;35,CT101+CS102-DB101,IF(A102&lt;'Données projet'!$A$140,$CQ$205^A102,IF(A102='Données projet'!$A$140,'Données projet'!$B$140,CT101+CS102-DB101)))</f>
        <v>318.25000000000051</v>
      </c>
      <c r="CU102" s="17">
        <f>CT102*VLOOKUP('Données projet'!$B$13,Paramètres!$A$1:$I$89,3,0)*VLOOKUP('Données projet'!$B$13,Paramètres!$A$1:$I$89,5,0)</f>
        <v>213.48210000000034</v>
      </c>
      <c r="CV102" s="13">
        <f t="shared" si="95"/>
        <v>52.695782324643616</v>
      </c>
      <c r="CW102" s="20">
        <f t="shared" si="67"/>
        <v>463.59314504875488</v>
      </c>
      <c r="CX102" s="59">
        <f t="shared" si="68"/>
        <v>756.92647838208813</v>
      </c>
      <c r="CY102" s="59">
        <f ca="1">AVERAGE(OFFSET($CX$3,0,0,'Données projet'!$E$13+1,1))-AVERAGE(OFFSET($H$3,0,0,'Données projet'!$E$13+1,1))</f>
        <v>294.94331863127815</v>
      </c>
      <c r="CZ102" s="59">
        <f t="shared" si="96"/>
        <v>218.36990036643977</v>
      </c>
      <c r="DA102" s="15">
        <f>IF(ISNA(VLOOKUP(A102,'Données projet'!$A$139:$I$159,3,0)),0,VLOOKUP(A102,'Données projet'!$A$139:$I$159,3,0))</f>
        <v>9</v>
      </c>
      <c r="DB102" s="15">
        <f>IF(ISNA(VLOOKUP(A102,'Données projet'!$A$139:$I$159,4,0)),0,VLOOKUP(A102,'Données projet'!$A$139:$I$159,4,0))</f>
        <v>48.019230769230766</v>
      </c>
      <c r="DC102" s="16">
        <f>IF(ISNA(VLOOKUP(A102,'Données projet'!$A$139:$I$159,5,0)),0%,VLOOKUP(A102,'Données projet'!$A$139:$I$159,5,0)*VLOOKUP('Données projet'!$B$13,Paramètres!$A$1:$I$89,7,0))</f>
        <v>0.371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44.907863518100982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44.907863518100982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266.99999999999983</v>
      </c>
      <c r="DP102" s="17">
        <f>DO102*VLOOKUP('Données projet'!$B$14,Paramètres!$A$1:$I$89,3,0)*VLOOKUP('Données projet'!$B$14,Paramètres!$A$1:$I$89,5,0)</f>
        <v>195.76439999999985</v>
      </c>
      <c r="DQ102" s="13">
        <f t="shared" si="97"/>
        <v>48.812154563023455</v>
      </c>
      <c r="DR102" s="20">
        <f t="shared" si="70"/>
        <v>425.9708325305989</v>
      </c>
      <c r="DS102" s="59">
        <f t="shared" si="71"/>
        <v>719.30416586393221</v>
      </c>
      <c r="DT102" s="59">
        <f ca="1">AVERAGE(OFFSET($DS$3,0,0,'Données projet'!$E$14+1,1))-AVERAGE(OFFSET($H$3,0,0,'Données projet'!$E$14+1,1))</f>
        <v>278.45534008146865</v>
      </c>
      <c r="DU102" s="59">
        <f t="shared" si="98"/>
        <v>272.97841038165217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14.776296344296863</v>
      </c>
      <c r="EB102" s="21">
        <f>EXP(-LN(2)/25)*EB101+(1-EXP(-LN(2)/25))/(LN(2)/25)*Calculateur!DW102*Calculateur!DY102*VLOOKUP('Données projet'!$B$14,Paramètres!$A$1:$I$89,3,0)*0.475*44/12</f>
        <v>3.6772755400344792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18.453571884331343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>
        <f>VLOOKUP(A102,'Données projet'!$A$191:$I$211,2,0)</f>
        <v>318.25</v>
      </c>
      <c r="EH102" s="12">
        <f>VLOOKUP(A102,'Données projet'!$A$191:$I$211,9,0)</f>
        <v>7.1782051282051267</v>
      </c>
      <c r="EI102" s="12">
        <f t="array" ref="EI102">INDEX(EH:EH,MIN(IF(ISNUMBER(EH102:EH298),ROW(EH102:EH298),"")))</f>
        <v>7.1782051282051267</v>
      </c>
      <c r="EJ102" s="12">
        <f>IF('Données projet'!$A$192&gt;35,EJ101+EI102-ER101,IF(A102&lt;'Données projet'!$A$192,$EG$205^A102,IF(A102='Données projet'!$A$192,'Données projet'!$B$192,EJ101+EI102-ER101)))</f>
        <v>318.25000000000051</v>
      </c>
      <c r="EK102" s="17">
        <f>EJ102*VLOOKUP('Données projet'!$B$15,Paramètres!$A$1:$I$89,3,0)*VLOOKUP('Données projet'!$B$15,Paramètres!$A$1:$I$89,5,0)</f>
        <v>342.56430000000057</v>
      </c>
      <c r="EL102" s="13">
        <f t="shared" si="99"/>
        <v>80.029515132551893</v>
      </c>
      <c r="EM102" s="20">
        <f t="shared" si="73"/>
        <v>736.01756135586209</v>
      </c>
      <c r="EN102" s="59">
        <f t="shared" si="74"/>
        <v>1029.3508946891955</v>
      </c>
      <c r="EO102" s="59">
        <f ca="1">AVERAGE(OFFSET($EN$3,0,0,'Données projet'!$E$15+1,1))-AVERAGE(OFFSET($H$3,0,0,'Données projet'!$E$15+1,1))</f>
        <v>449.09332781196957</v>
      </c>
      <c r="EP102" s="59">
        <f t="shared" si="100"/>
        <v>324.85904971519432</v>
      </c>
      <c r="EQ102" s="15">
        <f>IF(ISNA(VLOOKUP(A102,'Données projet'!$A$191:$I$211,3,0)),0,VLOOKUP(A102,'Données projet'!$A$191:$I$211,3,0))</f>
        <v>9</v>
      </c>
      <c r="ER102" s="15">
        <f>IF(ISNA(VLOOKUP(A102,'Données projet'!$A$191:$I$211,4,0)),0,VLOOKUP(A102,'Données projet'!$A$191:$I$211,4,0))</f>
        <v>48.019230769230766</v>
      </c>
      <c r="ES102" s="16">
        <f>IF(ISNA(VLOOKUP(A102,'Données projet'!$A$191:$I$211,5,0)),0%,VLOOKUP(A102,'Données projet'!$A$191:$I$211,5,0)*VLOOKUP('Données projet'!$B$15,Paramètres!$A$1:$I$89,7,0))</f>
        <v>0.30099999999999999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58.46495439148994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58.46495439148994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>
        <f>VLOOKUP(A102,'Données projet'!$A$217:$I$237,2,0)</f>
        <v>318.25</v>
      </c>
      <c r="FC102" s="12">
        <f>VLOOKUP(A102,'Données projet'!$A$217:$I$237,9,0)</f>
        <v>7.1782051282051267</v>
      </c>
      <c r="FD102" s="12">
        <f t="array" ref="FD102">INDEX(FC:FC,MIN(IF(ISNUMBER(FC102:FC298),ROW(FC102:FC298),"")))</f>
        <v>7.1782051282051267</v>
      </c>
      <c r="FE102" s="12">
        <f>IF('Données projet'!$A$218&gt;35,FE101+FD102-FM101,IF(A102&lt;'Données projet'!$A$218,$FB$205^A102,IF(A102='Données projet'!$A$218,'Données projet'!$B$218,FE101+FD102-FM101)))</f>
        <v>318.25000000000051</v>
      </c>
      <c r="FF102" s="17">
        <f>FE102*VLOOKUP('Données projet'!$B$16,Paramètres!$A$1:$I$89,3,0)*VLOOKUP('Données projet'!$B$16,Paramètres!$A$1:$I$89,5,0)</f>
        <v>322.70550000000054</v>
      </c>
      <c r="FG102" s="13">
        <f t="shared" si="101"/>
        <v>75.916009423638798</v>
      </c>
      <c r="FH102" s="20">
        <f t="shared" si="76"/>
        <v>694.26579557950515</v>
      </c>
      <c r="FI102" s="59">
        <f t="shared" si="77"/>
        <v>987.59912891283852</v>
      </c>
      <c r="FJ102" s="59">
        <f ca="1">AVERAGE(OFFSET($FI$3,0,0,'Données projet'!$E$16+1,1))-AVERAGE(OFFSET($H$3,0,0,'Données projet'!$E$16+1,1))</f>
        <v>419.51168383014721</v>
      </c>
      <c r="FK102" s="59">
        <f t="shared" si="102"/>
        <v>213.44145308833384</v>
      </c>
      <c r="FL102" s="15">
        <f>IF(ISNA(VLOOKUP(A102,'Données projet'!$A$217:$I$237,3,0)),0,VLOOKUP(A102,'Données projet'!$A$217:$I$237,3,0))</f>
        <v>9</v>
      </c>
      <c r="FM102" s="15">
        <f>IF(ISNA(VLOOKUP(A102,'Données projet'!$A$217:$I$237,4,0)),0,VLOOKUP(A102,'Données projet'!$A$217:$I$237,4,0))</f>
        <v>48.019230769230766</v>
      </c>
      <c r="FN102" s="16">
        <f>IF(ISNA(VLOOKUP(A102,'Données projet'!$A$217:$I$237,5,0)),0%,VLOOKUP(A102,'Données projet'!$A$217:$I$237,5,0)*VLOOKUP('Données projet'!$B$16,Paramètres!$A$1:$I$89,7,0))</f>
        <v>0.30099999999999999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55.075681673142725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55.075681673142725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266.99999999999983</v>
      </c>
      <c r="GA102" s="17">
        <f>FZ102*VLOOKUP('Données projet'!$B$17,Paramètres!$A$1:$I$89,3,0)*VLOOKUP('Données projet'!$B$17,Paramètres!$A$1:$I$89,5,0)</f>
        <v>233.2511999999999</v>
      </c>
      <c r="GB102" s="13">
        <f t="shared" si="103"/>
        <v>56.985091661350864</v>
      </c>
      <c r="GC102" s="20">
        <f t="shared" si="79"/>
        <v>505.49487464351915</v>
      </c>
      <c r="GD102" s="59">
        <f t="shared" si="80"/>
        <v>798.82820797685247</v>
      </c>
      <c r="GE102" s="59">
        <f ca="1">AVERAGE(OFFSET($GD$3,0,0,'Données projet'!$E$17+1,1))-AVERAGE(OFFSET($H$3,0,0,'Données projet'!$E$17+1,1))</f>
        <v>324.86930206492627</v>
      </c>
      <c r="GF102" s="59">
        <f t="shared" si="104"/>
        <v>317.03005098025352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21.700171969259326</v>
      </c>
      <c r="GM102" s="21">
        <f>EXP(-LN(2)/25)*GM101+(1-EXP(-LN(2)/25))/(LN(2)/25)*Calculateur!GH102*Calculateur!GJ102*VLOOKUP('Données projet'!$B$17,Paramètres!$A$1:$I$89,3,0)*0.475*44/12</f>
        <v>5.4003729850679569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27.100544954327283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>
        <f>VLOOKUP(A102,'Données projet'!$A$269:$I$289,2,0)</f>
        <v>318.25</v>
      </c>
      <c r="GS102" s="12">
        <f>VLOOKUP(A102,'Données projet'!$A$269:$I$289,9,0)</f>
        <v>7.1782051282051267</v>
      </c>
      <c r="GT102" s="12">
        <f t="array" ref="GT102">INDEX(GS:GS,MIN(IF(ISNUMBER(GS102:GS298),ROW(GS102:GS298),"")))</f>
        <v>7.1782051282051267</v>
      </c>
      <c r="GU102" s="12">
        <f>IF('Données projet'!$A$270&gt;35,GU101+GT102-HC101,IF(A102&lt;'Données projet'!$A$270,$GR$205^A102,IF(A102='Données projet'!$A$270,'Données projet'!$B$270,GU101+GT102-HC101)))</f>
        <v>318.25000000000051</v>
      </c>
      <c r="GV102" s="17">
        <f>GU102*VLOOKUP('Données projet'!$B$18,Paramètres!$A$1:$I$89,3,0)*VLOOKUP('Données projet'!$B$18,Paramètres!$A$1:$I$89,5,0)</f>
        <v>302.84670000000051</v>
      </c>
      <c r="GW102" s="13">
        <f t="shared" si="105"/>
        <v>71.772912720311297</v>
      </c>
      <c r="GX102" s="20">
        <f t="shared" si="82"/>
        <v>652.46249215454304</v>
      </c>
      <c r="GY102" s="59">
        <f t="shared" si="83"/>
        <v>945.7958254878763</v>
      </c>
      <c r="GZ102" s="59">
        <f ca="1">AVERAGE(OFFSET($GY$3,0,0,'Données projet'!$E$18+1,1))-AVERAGE(OFFSET($H$3,0,0,'Données projet'!$E$18+1,1))</f>
        <v>401.81944956556271</v>
      </c>
      <c r="HA102" s="59">
        <f t="shared" si="106"/>
        <v>292.20785523952651</v>
      </c>
      <c r="HB102" s="15">
        <f>IF(ISNA(VLOOKUP(A102,'Données projet'!$A$269:$I$289,3,0)),0,VLOOKUP(A102,'Données projet'!$A$269:$I$289,3,0))</f>
        <v>9</v>
      </c>
      <c r="HC102" s="15">
        <f>IF(ISNA(VLOOKUP(A102,'Données projet'!$A$269:$I$289,4,0)),0,VLOOKUP(A102,'Données projet'!$A$269:$I$289,4,0))</f>
        <v>48.019230769230766</v>
      </c>
      <c r="HD102" s="16">
        <f>IF(ISNA(VLOOKUP(A102,'Données projet'!$A$269:$I$289,5,0)),0%,VLOOKUP(A102,'Données projet'!$A$269:$I$289,5,0)*VLOOKUP('Données projet'!$B$18,Paramètres!$A$1:$I$89,7,0))</f>
        <v>0.30099999999999999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51.686408954795468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51.686408954795468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277.22435897435946</v>
      </c>
      <c r="O103" s="13">
        <f>N103*VLOOKUP('Données projet'!$B$9,Paramètres!$A$1:$I$89,3,0)*VLOOKUP('Données projet'!$B$9,Paramètres!$A$1:$I$89,5,0)</f>
        <v>250.83260000000041</v>
      </c>
      <c r="P103" s="13">
        <f t="shared" si="87"/>
        <v>60.764195096344402</v>
      </c>
      <c r="Q103" s="20">
        <f t="shared" si="107"/>
        <v>542.69775145946721</v>
      </c>
      <c r="R103" s="59">
        <f t="shared" si="55"/>
        <v>836.03108479280058</v>
      </c>
      <c r="S103" s="59">
        <f ca="1">AVERAGE(OFFSET($R$3,0,0,'Données projet'!$E$9+1,1))-AVERAGE(OFFSET($H$3,0,0,'Données projet'!$E$9+1,1))</f>
        <v>384.05928630855732</v>
      </c>
      <c r="T103" s="59">
        <f t="shared" si="88"/>
        <v>279.93992813630513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-6.3550942286383367E-14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335.04906256888819</v>
      </c>
      <c r="AO103" s="59">
        <f t="shared" si="90"/>
        <v>440.84111898279554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92.967409011706579</v>
      </c>
      <c r="AV103" s="21">
        <f>EXP(-LN(2)/25)*AV102+(1-EXP(-LN(2)/25))/(LN(2)/25)*Calculateur!AQ103*Calculateur!AS103*VLOOKUP('Données projet'!$B$10,Paramètres!$A$1:$I$89,3,0)*0.475*44/12</f>
        <v>16.543461924291538</v>
      </c>
      <c r="AW103" s="21">
        <f>EXP(-LN(2)/2)*AW102+(1-EXP(-LN(2)/2))/(LN(2)/2)*AQ103*AT103*VLOOKUP('Données projet'!$B$10,Paramètres!$A$1:$I$89,3,0)*0.475*44/12</f>
        <v>5.7591652191837045E-6</v>
      </c>
      <c r="AX103" s="21">
        <f t="shared" si="60"/>
        <v>109.51087669516333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-1.4210854715202004E-13</v>
      </c>
      <c r="BE103" s="13">
        <f>BD103*VLOOKUP('Données projet'!$B$11,Paramètres!$A$1:$I$89,3,0)*VLOOKUP('Données projet'!$B$11,Paramètres!$A$1:$I$89,5,0)</f>
        <v>-8.128608897095547E-14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320.76883487964511</v>
      </c>
      <c r="BJ103" s="59">
        <f t="shared" si="92"/>
        <v>290.51177680335746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111.42480334066984</v>
      </c>
      <c r="BQ103" s="21">
        <f>EXP(-LN(2)/25)*BQ102+(1-EXP(-LN(2)/25))/(LN(2)/25)*Calculateur!BL103*Calculateur!BN103*VLOOKUP('Données projet'!$B$11,Paramètres!$A$1:$I$89,3,0)*0.475*44/12</f>
        <v>25.274312147467562</v>
      </c>
      <c r="BR103" s="21">
        <f>EXP(-LN(2)/2)*BR102+(1-EXP(-LN(2)/2))/(LN(2)/2)*BL103*BO103*VLOOKUP('Données projet'!$B$11,Paramètres!$A$1:$I$89,3,0)*0.475*44/12</f>
        <v>0.99444804091365535</v>
      </c>
      <c r="BS103" s="22">
        <f t="shared" si="63"/>
        <v>137.69356352905106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304.99999999999983</v>
      </c>
      <c r="BZ103" s="13">
        <f>BY103*VLOOKUP('Données projet'!$B$12,Paramètres!$A$1:$I$89,3,0)*VLOOKUP('Données projet'!$B$12,Paramètres!$A$1:$I$89,5,0)</f>
        <v>275.96399999999983</v>
      </c>
      <c r="CA103" s="13">
        <f t="shared" si="93"/>
        <v>66.113366665488854</v>
      </c>
      <c r="CB103" s="20">
        <f t="shared" si="64"/>
        <v>595.78474694239264</v>
      </c>
      <c r="CC103" s="59">
        <f t="shared" si="65"/>
        <v>889.11808027572602</v>
      </c>
      <c r="CD103" s="59">
        <f ca="1">AVERAGE(OFFSET($CC$3,0,0,'Données projet'!$E$12+1,1))-AVERAGE(OFFSET($H$3,0,0,'Données projet'!$E$12+1,1))</f>
        <v>366.69125512029831</v>
      </c>
      <c r="CE103" s="59">
        <f t="shared" si="94"/>
        <v>513.80016421153414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0.40406668304951604</v>
      </c>
      <c r="CL103" s="21">
        <f>EXP(-LN(2)/25)*CL102+(1-EXP(-LN(2)/25))/(LN(2)/25)*Calculateur!CG103*Calculateur!CI103*VLOOKUP('Données projet'!$B$12,Paramètres!$A$1:$I$89,3,0)*0.475*44/12</f>
        <v>1.0601056195984364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1.4641723026479525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6.9935897435897401</v>
      </c>
      <c r="CT103" s="12">
        <f>IF('Données projet'!$A$140&gt;35,CT102+CS103-DB102,IF(A103&lt;'Données projet'!$A$140,$CQ$205^A103,IF(A103='Données projet'!$A$140,'Données projet'!$B$140,CT102+CS103-DB102)))</f>
        <v>277.22435897435946</v>
      </c>
      <c r="CU103" s="17">
        <f>CT103*VLOOKUP('Données projet'!$B$13,Paramètres!$A$1:$I$89,3,0)*VLOOKUP('Données projet'!$B$13,Paramètres!$A$1:$I$89,5,0)</f>
        <v>185.96210000000033</v>
      </c>
      <c r="CV103" s="13">
        <f t="shared" si="95"/>
        <v>46.646117476357418</v>
      </c>
      <c r="CW103" s="20">
        <f t="shared" si="67"/>
        <v>405.1259787713231</v>
      </c>
      <c r="CX103" s="59">
        <f t="shared" si="68"/>
        <v>698.45931210465642</v>
      </c>
      <c r="CY103" s="59">
        <f ca="1">AVERAGE(OFFSET($CX$3,0,0,'Données projet'!$E$13+1,1))-AVERAGE(OFFSET($H$3,0,0,'Données projet'!$E$13+1,1))</f>
        <v>294.94331863127815</v>
      </c>
      <c r="CZ103" s="59">
        <f t="shared" si="96"/>
        <v>218.36990036643977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44.027247705603124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44.027247705603124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266.99999999999983</v>
      </c>
      <c r="DP103" s="17">
        <f>DO103*VLOOKUP('Données projet'!$B$14,Paramètres!$A$1:$I$89,3,0)*VLOOKUP('Données projet'!$B$14,Paramètres!$A$1:$I$89,5,0)</f>
        <v>195.76439999999985</v>
      </c>
      <c r="DQ103" s="13">
        <f t="shared" si="97"/>
        <v>48.812154563023455</v>
      </c>
      <c r="DR103" s="20">
        <f t="shared" si="70"/>
        <v>425.9708325305989</v>
      </c>
      <c r="DS103" s="59">
        <f t="shared" si="71"/>
        <v>719.30416586393221</v>
      </c>
      <c r="DT103" s="59">
        <f ca="1">AVERAGE(OFFSET($DS$3,0,0,'Données projet'!$E$14+1,1))-AVERAGE(OFFSET($H$3,0,0,'Données projet'!$E$14+1,1))</f>
        <v>278.45534008146865</v>
      </c>
      <c r="DU103" s="59">
        <f t="shared" si="98"/>
        <v>272.97841038165217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14.486542185636047</v>
      </c>
      <c r="EB103" s="21">
        <f>EXP(-LN(2)/25)*EB102+(1-EXP(-LN(2)/25))/(LN(2)/25)*Calculateur!DW103*Calculateur!DY103*VLOOKUP('Données projet'!$B$14,Paramètres!$A$1:$I$89,3,0)*0.475*44/12</f>
        <v>3.5767202470127204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18.063262432648767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6.9935897435897401</v>
      </c>
      <c r="EJ103" s="12">
        <f>IF('Données projet'!$A$192&gt;35,EJ102+EI103-ER102,IF(A103&lt;'Données projet'!$A$192,$EG$205^A103,IF(A103='Données projet'!$A$192,'Données projet'!$B$192,EJ102+EI103-ER102)))</f>
        <v>277.22435897435946</v>
      </c>
      <c r="EK103" s="17">
        <f>EJ103*VLOOKUP('Données projet'!$B$15,Paramètres!$A$1:$I$89,3,0)*VLOOKUP('Données projet'!$B$15,Paramètres!$A$1:$I$89,5,0)</f>
        <v>298.40430000000055</v>
      </c>
      <c r="EL103" s="13">
        <f t="shared" si="99"/>
        <v>70.841839702665226</v>
      </c>
      <c r="EM103" s="20">
        <f t="shared" si="73"/>
        <v>643.10369331547633</v>
      </c>
      <c r="EN103" s="59">
        <f t="shared" si="74"/>
        <v>936.43702664880971</v>
      </c>
      <c r="EO103" s="59">
        <f ca="1">AVERAGE(OFFSET($EN$3,0,0,'Données projet'!$E$15+1,1))-AVERAGE(OFFSET($H$3,0,0,'Données projet'!$E$15+1,1))</f>
        <v>449.09332781196957</v>
      </c>
      <c r="EP103" s="59">
        <f t="shared" si="100"/>
        <v>324.85904971519432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57.318492295973861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57.318492295973861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6.9935897435897401</v>
      </c>
      <c r="FE103" s="12">
        <f>IF('Données projet'!$A$218&gt;35,FE102+FD103-FM102,IF(A103&lt;'Données projet'!$A$218,$FB$205^A103,IF(A103='Données projet'!$A$218,'Données projet'!$B$218,FE102+FD103-FM102)))</f>
        <v>277.22435897435946</v>
      </c>
      <c r="FF103" s="17">
        <f>FE103*VLOOKUP('Données projet'!$B$16,Paramètres!$A$1:$I$89,3,0)*VLOOKUP('Données projet'!$B$16,Paramètres!$A$1:$I$89,5,0)</f>
        <v>281.10550000000052</v>
      </c>
      <c r="FG103" s="13">
        <f t="shared" si="101"/>
        <v>67.200579205657675</v>
      </c>
      <c r="FH103" s="20">
        <f t="shared" si="76"/>
        <v>606.63308794985471</v>
      </c>
      <c r="FI103" s="59">
        <f t="shared" si="77"/>
        <v>899.96642128318808</v>
      </c>
      <c r="FJ103" s="59">
        <f ca="1">AVERAGE(OFFSET($FI$3,0,0,'Données projet'!$E$16+1,1))-AVERAGE(OFFSET($H$3,0,0,'Données projet'!$E$16+1,1))</f>
        <v>419.51168383014721</v>
      </c>
      <c r="FK103" s="59">
        <f t="shared" si="102"/>
        <v>213.44145308833384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53.995681148381202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53.995681148381202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266.99999999999983</v>
      </c>
      <c r="GA103" s="17">
        <f>FZ103*VLOOKUP('Données projet'!$B$17,Paramètres!$A$1:$I$89,3,0)*VLOOKUP('Données projet'!$B$17,Paramètres!$A$1:$I$89,5,0)</f>
        <v>233.2511999999999</v>
      </c>
      <c r="GB103" s="13">
        <f t="shared" si="103"/>
        <v>56.985091661350864</v>
      </c>
      <c r="GC103" s="20">
        <f t="shared" si="79"/>
        <v>505.49487464351915</v>
      </c>
      <c r="GD103" s="59">
        <f t="shared" si="80"/>
        <v>798.82820797685247</v>
      </c>
      <c r="GE103" s="59">
        <f ca="1">AVERAGE(OFFSET($GD$3,0,0,'Données projet'!$E$17+1,1))-AVERAGE(OFFSET($H$3,0,0,'Données projet'!$E$17+1,1))</f>
        <v>324.86930206492627</v>
      </c>
      <c r="GF103" s="59">
        <f t="shared" si="104"/>
        <v>317.03005098025352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21.274644832740126</v>
      </c>
      <c r="GM103" s="21">
        <f>EXP(-LN(2)/25)*GM102+(1-EXP(-LN(2)/25))/(LN(2)/25)*Calculateur!GH103*Calculateur!GJ103*VLOOKUP('Données projet'!$B$17,Paramètres!$A$1:$I$89,3,0)*0.475*44/12</f>
        <v>5.2526995017980012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26.527344334538128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6.9935897435897401</v>
      </c>
      <c r="GU103" s="12">
        <f>IF('Données projet'!$A$270&gt;35,GU102+GT103-HC102,IF(A103&lt;'Données projet'!$A$270,$GR$205^A103,IF(A103='Données projet'!$A$270,'Données projet'!$B$270,GU102+GT103-HC102)))</f>
        <v>277.22435897435946</v>
      </c>
      <c r="GV103" s="17">
        <f>GU103*VLOOKUP('Données projet'!$B$18,Paramètres!$A$1:$I$89,3,0)*VLOOKUP('Données projet'!$B$18,Paramètres!$A$1:$I$89,5,0)</f>
        <v>263.80670000000043</v>
      </c>
      <c r="GW103" s="13">
        <f t="shared" si="105"/>
        <v>63.533124866547425</v>
      </c>
      <c r="GX103" s="20">
        <f t="shared" si="82"/>
        <v>570.11686164257083</v>
      </c>
      <c r="GY103" s="59">
        <f t="shared" si="83"/>
        <v>863.4501949759042</v>
      </c>
      <c r="GZ103" s="59">
        <f ca="1">AVERAGE(OFFSET($GY$3,0,0,'Données projet'!$E$18+1,1))-AVERAGE(OFFSET($H$3,0,0,'Données projet'!$E$18+1,1))</f>
        <v>401.81944956556271</v>
      </c>
      <c r="HA103" s="59">
        <f t="shared" si="106"/>
        <v>292.20785523952651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50.6728700007885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50.6728700007885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284.21794871794918</v>
      </c>
      <c r="O104" s="13">
        <f>N104*VLOOKUP('Données projet'!$B$9,Paramètres!$A$1:$I$89,3,0)*VLOOKUP('Données projet'!$B$9,Paramètres!$A$1:$I$89,5,0)</f>
        <v>257.16040000000038</v>
      </c>
      <c r="P104" s="13">
        <f t="shared" si="87"/>
        <v>62.116703672873726</v>
      </c>
      <c r="Q104" s="20">
        <f t="shared" si="107"/>
        <v>556.07428889692233</v>
      </c>
      <c r="R104" s="59">
        <f t="shared" si="55"/>
        <v>849.40762223025558</v>
      </c>
      <c r="S104" s="59">
        <f ca="1">AVERAGE(OFFSET($R$3,0,0,'Données projet'!$E$9+1,1))-AVERAGE(OFFSET($H$3,0,0,'Données projet'!$E$9+1,1))</f>
        <v>384.05928630855732</v>
      </c>
      <c r="T104" s="59">
        <f t="shared" si="88"/>
        <v>279.93992813630513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-6.3550942286383367E-14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335.04906256888819</v>
      </c>
      <c r="AO104" s="59">
        <f t="shared" si="90"/>
        <v>440.84111898279554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91.144374825507398</v>
      </c>
      <c r="AV104" s="21">
        <f>EXP(-LN(2)/25)*AV103+(1-EXP(-LN(2)/25))/(LN(2)/25)*Calculateur!AQ104*Calculateur!AS104*VLOOKUP('Données projet'!$B$10,Paramètres!$A$1:$I$89,3,0)*0.475*44/12</f>
        <v>16.091080087988935</v>
      </c>
      <c r="AW104" s="21">
        <f>EXP(-LN(2)/2)*AW103+(1-EXP(-LN(2)/2))/(LN(2)/2)*AQ104*AT104*VLOOKUP('Données projet'!$B$10,Paramètres!$A$1:$I$89,3,0)*0.475*44/12</f>
        <v>4.0723447804585067E-6</v>
      </c>
      <c r="AX104" s="21">
        <f t="shared" si="60"/>
        <v>107.23545898584112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-1.4210854715202004E-13</v>
      </c>
      <c r="BE104" s="13">
        <f>BD104*VLOOKUP('Données projet'!$B$11,Paramètres!$A$1:$I$89,3,0)*VLOOKUP('Données projet'!$B$11,Paramètres!$A$1:$I$89,5,0)</f>
        <v>-8.128608897095547E-14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320.76883487964511</v>
      </c>
      <c r="BJ104" s="59">
        <f t="shared" si="92"/>
        <v>290.51177680335746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109.23983090957861</v>
      </c>
      <c r="BQ104" s="21">
        <f>EXP(-LN(2)/25)*BQ103+(1-EXP(-LN(2)/25))/(LN(2)/25)*Calculateur!BL104*Calculateur!BN104*VLOOKUP('Données projet'!$B$11,Paramètres!$A$1:$I$89,3,0)*0.475*44/12</f>
        <v>24.58318475267675</v>
      </c>
      <c r="BR104" s="21">
        <f>EXP(-LN(2)/2)*BR103+(1-EXP(-LN(2)/2))/(LN(2)/2)*BL104*BO104*VLOOKUP('Données projet'!$B$11,Paramètres!$A$1:$I$89,3,0)*0.475*44/12</f>
        <v>0.70318095326772301</v>
      </c>
      <c r="BS104" s="22">
        <f t="shared" si="63"/>
        <v>134.52619661552308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304.99999999999983</v>
      </c>
      <c r="BZ104" s="13">
        <f>BY104*VLOOKUP('Données projet'!$B$12,Paramètres!$A$1:$I$89,3,0)*VLOOKUP('Données projet'!$B$12,Paramètres!$A$1:$I$89,5,0)</f>
        <v>275.96399999999983</v>
      </c>
      <c r="CA104" s="13">
        <f t="shared" si="93"/>
        <v>66.113366665488854</v>
      </c>
      <c r="CB104" s="20">
        <f t="shared" si="64"/>
        <v>595.78474694239264</v>
      </c>
      <c r="CC104" s="59">
        <f t="shared" si="65"/>
        <v>889.11808027572602</v>
      </c>
      <c r="CD104" s="59">
        <f ca="1">AVERAGE(OFFSET($CC$3,0,0,'Données projet'!$E$12+1,1))-AVERAGE(OFFSET($H$3,0,0,'Données projet'!$E$12+1,1))</f>
        <v>366.69125512029831</v>
      </c>
      <c r="CE104" s="59">
        <f t="shared" si="94"/>
        <v>513.80016421153414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0.39614318185125613</v>
      </c>
      <c r="CL104" s="21">
        <f>EXP(-LN(2)/25)*CL103+(1-EXP(-LN(2)/25))/(LN(2)/25)*Calculateur!CG104*Calculateur!CI104*VLOOKUP('Données projet'!$B$12,Paramètres!$A$1:$I$89,3,0)*0.475*44/12</f>
        <v>1.0311169756819856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1.4272601575332418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6.9935897435897401</v>
      </c>
      <c r="CT104" s="12">
        <f>IF('Données projet'!$A$140&gt;35,CT103+CS104-DB103,IF(A104&lt;'Données projet'!$A$140,$CQ$205^A104,IF(A104='Données projet'!$A$140,'Données projet'!$B$140,CT103+CS104-DB103)))</f>
        <v>284.21794871794918</v>
      </c>
      <c r="CU104" s="17">
        <f>CT104*VLOOKUP('Données projet'!$B$13,Paramètres!$A$1:$I$89,3,0)*VLOOKUP('Données projet'!$B$13,Paramètres!$A$1:$I$89,5,0)</f>
        <v>190.65340000000032</v>
      </c>
      <c r="CV104" s="13">
        <f t="shared" si="95"/>
        <v>47.684381438359047</v>
      </c>
      <c r="CW104" s="20">
        <f t="shared" si="67"/>
        <v>415.10496933847588</v>
      </c>
      <c r="CX104" s="59">
        <f t="shared" si="68"/>
        <v>708.4383026718092</v>
      </c>
      <c r="CY104" s="59">
        <f ca="1">AVERAGE(OFFSET($CX$3,0,0,'Données projet'!$E$13+1,1))-AVERAGE(OFFSET($H$3,0,0,'Données projet'!$E$13+1,1))</f>
        <v>294.94331863127815</v>
      </c>
      <c r="CZ104" s="59">
        <f t="shared" si="96"/>
        <v>218.36990036643977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43.163900232065735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43.163900232065735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266.99999999999983</v>
      </c>
      <c r="DP104" s="17">
        <f>DO104*VLOOKUP('Données projet'!$B$14,Paramètres!$A$1:$I$89,3,0)*VLOOKUP('Données projet'!$B$14,Paramètres!$A$1:$I$89,5,0)</f>
        <v>195.76439999999985</v>
      </c>
      <c r="DQ104" s="13">
        <f t="shared" si="97"/>
        <v>48.812154563023455</v>
      </c>
      <c r="DR104" s="20">
        <f t="shared" si="70"/>
        <v>425.9708325305989</v>
      </c>
      <c r="DS104" s="59">
        <f t="shared" si="71"/>
        <v>719.30416586393221</v>
      </c>
      <c r="DT104" s="59">
        <f ca="1">AVERAGE(OFFSET($DS$3,0,0,'Données projet'!$E$14+1,1))-AVERAGE(OFFSET($H$3,0,0,'Données projet'!$E$14+1,1))</f>
        <v>278.45534008146865</v>
      </c>
      <c r="DU104" s="59">
        <f t="shared" si="98"/>
        <v>272.97841038165217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14.202469929293983</v>
      </c>
      <c r="EB104" s="21">
        <f>EXP(-LN(2)/25)*EB103+(1-EXP(-LN(2)/25))/(LN(2)/25)*Calculateur!DW104*Calculateur!DY104*VLOOKUP('Données projet'!$B$14,Paramètres!$A$1:$I$89,3,0)*0.475*44/12</f>
        <v>3.4789146437666143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17.681384573060598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6.9935897435897401</v>
      </c>
      <c r="EJ104" s="12">
        <f>IF('Données projet'!$A$192&gt;35,EJ103+EI104-ER103,IF(A104&lt;'Données projet'!$A$192,$EG$205^A104,IF(A104='Données projet'!$A$192,'Données projet'!$B$192,EJ103+EI104-ER103)))</f>
        <v>284.21794871794918</v>
      </c>
      <c r="EK104" s="17">
        <f>EJ104*VLOOKUP('Données projet'!$B$15,Paramètres!$A$1:$I$89,3,0)*VLOOKUP('Données projet'!$B$15,Paramètres!$A$1:$I$89,5,0)</f>
        <v>305.93220000000048</v>
      </c>
      <c r="EL104" s="13">
        <f t="shared" si="99"/>
        <v>72.418659664207595</v>
      </c>
      <c r="EM104" s="20">
        <f t="shared" si="73"/>
        <v>658.96108058182915</v>
      </c>
      <c r="EN104" s="59">
        <f t="shared" si="74"/>
        <v>952.29441391516252</v>
      </c>
      <c r="EO104" s="59">
        <f ca="1">AVERAGE(OFFSET($EN$3,0,0,'Données projet'!$E$15+1,1))-AVERAGE(OFFSET($H$3,0,0,'Données projet'!$E$15+1,1))</f>
        <v>449.09332781196957</v>
      </c>
      <c r="EP104" s="59">
        <f t="shared" si="100"/>
        <v>324.85904971519432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56.194511622878018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56.194511622878018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6.9935897435897401</v>
      </c>
      <c r="FE104" s="12">
        <f>IF('Données projet'!$A$218&gt;35,FE103+FD104-FM103,IF(A104&lt;'Données projet'!$A$218,$FB$205^A104,IF(A104='Données projet'!$A$218,'Données projet'!$B$218,FE103+FD104-FM103)))</f>
        <v>284.21794871794918</v>
      </c>
      <c r="FF104" s="17">
        <f>FE104*VLOOKUP('Données projet'!$B$16,Paramètres!$A$1:$I$89,3,0)*VLOOKUP('Données projet'!$B$16,Paramètres!$A$1:$I$89,5,0)</f>
        <v>288.19700000000051</v>
      </c>
      <c r="FG104" s="13">
        <f t="shared" si="101"/>
        <v>68.696350845178046</v>
      </c>
      <c r="FH104" s="20">
        <f t="shared" si="76"/>
        <v>621.5892527220193</v>
      </c>
      <c r="FI104" s="59">
        <f t="shared" si="77"/>
        <v>914.92258605535267</v>
      </c>
      <c r="FJ104" s="59">
        <f ca="1">AVERAGE(OFFSET($FI$3,0,0,'Données projet'!$E$16+1,1))-AVERAGE(OFFSET($H$3,0,0,'Données projet'!$E$16+1,1))</f>
        <v>419.51168383014721</v>
      </c>
      <c r="FK104" s="59">
        <f t="shared" si="102"/>
        <v>213.44145308833384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52.936858775174976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52.936858775174976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266.99999999999983</v>
      </c>
      <c r="GA104" s="17">
        <f>FZ104*VLOOKUP('Données projet'!$B$17,Paramètres!$A$1:$I$89,3,0)*VLOOKUP('Données projet'!$B$17,Paramètres!$A$1:$I$89,5,0)</f>
        <v>233.2511999999999</v>
      </c>
      <c r="GB104" s="13">
        <f t="shared" si="103"/>
        <v>56.985091661350864</v>
      </c>
      <c r="GC104" s="20">
        <f t="shared" si="79"/>
        <v>505.49487464351915</v>
      </c>
      <c r="GD104" s="59">
        <f t="shared" si="80"/>
        <v>798.82820797685247</v>
      </c>
      <c r="GE104" s="59">
        <f ca="1">AVERAGE(OFFSET($GD$3,0,0,'Données projet'!$E$17+1,1))-AVERAGE(OFFSET($H$3,0,0,'Données projet'!$E$17+1,1))</f>
        <v>324.86930206492627</v>
      </c>
      <c r="GF104" s="59">
        <f t="shared" si="104"/>
        <v>317.03005098025352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20.857462023822141</v>
      </c>
      <c r="GM104" s="21">
        <f>EXP(-LN(2)/25)*GM103+(1-EXP(-LN(2)/25))/(LN(2)/25)*Calculateur!GH104*Calculateur!GJ104*VLOOKUP('Données projet'!$B$17,Paramètres!$A$1:$I$89,3,0)*0.475*44/12</f>
        <v>5.1090641576938731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25.966526181516013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6.9935897435897401</v>
      </c>
      <c r="GU104" s="12">
        <f>IF('Données projet'!$A$270&gt;35,GU103+GT104-HC103,IF(A104&lt;'Données projet'!$A$270,$GR$205^A104,IF(A104='Données projet'!$A$270,'Données projet'!$B$270,GU103+GT104-HC103)))</f>
        <v>284.21794871794918</v>
      </c>
      <c r="GV104" s="17">
        <f>GU104*VLOOKUP('Données projet'!$B$18,Paramètres!$A$1:$I$89,3,0)*VLOOKUP('Données projet'!$B$18,Paramètres!$A$1:$I$89,5,0)</f>
        <v>270.46180000000044</v>
      </c>
      <c r="GW104" s="13">
        <f t="shared" si="105"/>
        <v>64.947265153265164</v>
      </c>
      <c r="GX104" s="20">
        <f t="shared" si="82"/>
        <v>584.17078847527091</v>
      </c>
      <c r="GY104" s="59">
        <f t="shared" si="83"/>
        <v>877.50412180860417</v>
      </c>
      <c r="GZ104" s="59">
        <f ca="1">AVERAGE(OFFSET($GY$3,0,0,'Données projet'!$E$18+1,1))-AVERAGE(OFFSET($H$3,0,0,'Données projet'!$E$18+1,1))</f>
        <v>401.81944956556271</v>
      </c>
      <c r="HA104" s="59">
        <f t="shared" si="106"/>
        <v>292.20785523952651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49.679205927471884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49.679205927471884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291.21153846153891</v>
      </c>
      <c r="O105" s="13">
        <f>N105*VLOOKUP('Données projet'!$B$9,Paramètres!$A$1:$I$89,3,0)*VLOOKUP('Données projet'!$B$9,Paramètres!$A$1:$I$89,5,0)</f>
        <v>263.4882000000004</v>
      </c>
      <c r="P105" s="13">
        <f t="shared" si="87"/>
        <v>63.465343539396919</v>
      </c>
      <c r="Q105" s="20">
        <f t="shared" si="107"/>
        <v>569.44408833111697</v>
      </c>
      <c r="R105" s="59">
        <f t="shared" si="55"/>
        <v>862.77742166445023</v>
      </c>
      <c r="S105" s="59">
        <f ca="1">AVERAGE(OFFSET($R$3,0,0,'Données projet'!$E$9+1,1))-AVERAGE(OFFSET($H$3,0,0,'Données projet'!$E$9+1,1))</f>
        <v>384.05928630855732</v>
      </c>
      <c r="T105" s="59">
        <f t="shared" si="88"/>
        <v>279.93992813630513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-6.3550942286383367E-14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335.04906256888819</v>
      </c>
      <c r="AO105" s="59">
        <f t="shared" si="90"/>
        <v>440.84111898279554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89.357089227758536</v>
      </c>
      <c r="AV105" s="21">
        <f>EXP(-LN(2)/25)*AV104+(1-EXP(-LN(2)/25))/(LN(2)/25)*Calculateur!AQ105*Calculateur!AS105*VLOOKUP('Données projet'!$B$10,Paramètres!$A$1:$I$89,3,0)*0.475*44/12</f>
        <v>15.651068656789752</v>
      </c>
      <c r="AW105" s="21">
        <f>EXP(-LN(2)/2)*AW104+(1-EXP(-LN(2)/2))/(LN(2)/2)*AQ105*AT105*VLOOKUP('Données projet'!$B$10,Paramètres!$A$1:$I$89,3,0)*0.475*44/12</f>
        <v>2.8795826095918523E-6</v>
      </c>
      <c r="AX105" s="21">
        <f t="shared" si="60"/>
        <v>105.00816076413089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-1.4210854715202004E-13</v>
      </c>
      <c r="BE105" s="13">
        <f>BD105*VLOOKUP('Données projet'!$B$11,Paramètres!$A$1:$I$89,3,0)*VLOOKUP('Données projet'!$B$11,Paramètres!$A$1:$I$89,5,0)</f>
        <v>-8.128608897095547E-14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320.76883487964511</v>
      </c>
      <c r="BJ105" s="59">
        <f t="shared" si="92"/>
        <v>290.51177680335746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107.0977044551595</v>
      </c>
      <c r="BQ105" s="21">
        <f>EXP(-LN(2)/25)*BQ104+(1-EXP(-LN(2)/25))/(LN(2)/25)*Calculateur!BL105*Calculateur!BN105*VLOOKUP('Données projet'!$B$11,Paramètres!$A$1:$I$89,3,0)*0.475*44/12</f>
        <v>23.910956272841304</v>
      </c>
      <c r="BR105" s="21">
        <f>EXP(-LN(2)/2)*BR104+(1-EXP(-LN(2)/2))/(LN(2)/2)*BL105*BO105*VLOOKUP('Données projet'!$B$11,Paramètres!$A$1:$I$89,3,0)*0.475*44/12</f>
        <v>0.49722402045682773</v>
      </c>
      <c r="BS105" s="22">
        <f t="shared" si="63"/>
        <v>131.50588474845762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304.99999999999983</v>
      </c>
      <c r="BZ105" s="13">
        <f>BY105*VLOOKUP('Données projet'!$B$12,Paramètres!$A$1:$I$89,3,0)*VLOOKUP('Données projet'!$B$12,Paramètres!$A$1:$I$89,5,0)</f>
        <v>275.96399999999983</v>
      </c>
      <c r="CA105" s="13">
        <f t="shared" si="93"/>
        <v>66.113366665488854</v>
      </c>
      <c r="CB105" s="20">
        <f t="shared" si="64"/>
        <v>595.78474694239264</v>
      </c>
      <c r="CC105" s="59">
        <f t="shared" si="65"/>
        <v>889.11808027572602</v>
      </c>
      <c r="CD105" s="59">
        <f ca="1">AVERAGE(OFFSET($CC$3,0,0,'Données projet'!$E$12+1,1))-AVERAGE(OFFSET($H$3,0,0,'Données projet'!$E$12+1,1))</f>
        <v>366.69125512029831</v>
      </c>
      <c r="CE105" s="59">
        <f t="shared" si="94"/>
        <v>513.80016421153414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0.38837505567863562</v>
      </c>
      <c r="CL105" s="21">
        <f>EXP(-LN(2)/25)*CL104+(1-EXP(-LN(2)/25))/(LN(2)/25)*Calculateur!CG105*Calculateur!CI105*VLOOKUP('Données projet'!$B$12,Paramètres!$A$1:$I$89,3,0)*0.475*44/12</f>
        <v>1.0029210277578766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1.3912960834365122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6.9935897435897401</v>
      </c>
      <c r="CT105" s="12">
        <f>IF('Données projet'!$A$140&gt;35,CT104+CS105-DB104,IF(A105&lt;'Données projet'!$A$140,$CQ$205^A105,IF(A105='Données projet'!$A$140,'Données projet'!$B$140,CT104+CS105-DB104)))</f>
        <v>291.21153846153891</v>
      </c>
      <c r="CU105" s="17">
        <f>CT105*VLOOKUP('Données projet'!$B$13,Paramètres!$A$1:$I$89,3,0)*VLOOKUP('Données projet'!$B$13,Paramètres!$A$1:$I$89,5,0)</f>
        <v>195.3447000000003</v>
      </c>
      <c r="CV105" s="13">
        <f t="shared" si="95"/>
        <v>48.719675554365892</v>
      </c>
      <c r="CW105" s="20">
        <f t="shared" si="67"/>
        <v>425.07878742385446</v>
      </c>
      <c r="CX105" s="59">
        <f t="shared" si="68"/>
        <v>718.41212075718772</v>
      </c>
      <c r="CY105" s="59">
        <f ca="1">AVERAGE(OFFSET($CX$3,0,0,'Données projet'!$E$13+1,1))-AVERAGE(OFFSET($H$3,0,0,'Données projet'!$E$13+1,1))</f>
        <v>294.94331863127815</v>
      </c>
      <c r="CZ105" s="59">
        <f t="shared" si="96"/>
        <v>218.36990036643977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42.317482475894458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42.317482475894458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266.99999999999983</v>
      </c>
      <c r="DP105" s="17">
        <f>DO105*VLOOKUP('Données projet'!$B$14,Paramètres!$A$1:$I$89,3,0)*VLOOKUP('Données projet'!$B$14,Paramètres!$A$1:$I$89,5,0)</f>
        <v>195.76439999999985</v>
      </c>
      <c r="DQ105" s="13">
        <f t="shared" si="97"/>
        <v>48.812154563023455</v>
      </c>
      <c r="DR105" s="20">
        <f t="shared" si="70"/>
        <v>425.9708325305989</v>
      </c>
      <c r="DS105" s="59">
        <f t="shared" si="71"/>
        <v>719.30416586393221</v>
      </c>
      <c r="DT105" s="59">
        <f ca="1">AVERAGE(OFFSET($DS$3,0,0,'Données projet'!$E$14+1,1))-AVERAGE(OFFSET($H$3,0,0,'Données projet'!$E$14+1,1))</f>
        <v>278.45534008146865</v>
      </c>
      <c r="DU105" s="59">
        <f t="shared" si="98"/>
        <v>272.97841038165217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13.923968156631819</v>
      </c>
      <c r="EB105" s="21">
        <f>EXP(-LN(2)/25)*EB104+(1-EXP(-LN(2)/25))/(LN(2)/25)*Calculateur!DW105*Calculateur!DY105*VLOOKUP('Données projet'!$B$14,Paramètres!$A$1:$I$89,3,0)*0.475*44/12</f>
        <v>3.3837835398846461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17.307751696516466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6.9935897435897401</v>
      </c>
      <c r="EJ105" s="12">
        <f>IF('Données projet'!$A$192&gt;35,EJ104+EI105-ER104,IF(A105&lt;'Données projet'!$A$192,$EG$205^A105,IF(A105='Données projet'!$A$192,'Données projet'!$B$192,EJ104+EI105-ER104)))</f>
        <v>291.21153846153891</v>
      </c>
      <c r="EK105" s="17">
        <f>EJ105*VLOOKUP('Données projet'!$B$15,Paramètres!$A$1:$I$89,3,0)*VLOOKUP('Données projet'!$B$15,Paramètres!$A$1:$I$89,5,0)</f>
        <v>313.46010000000047</v>
      </c>
      <c r="EL105" s="13">
        <f t="shared" si="99"/>
        <v>73.990969296374573</v>
      </c>
      <c r="EM105" s="20">
        <f t="shared" si="73"/>
        <v>674.81061235785319</v>
      </c>
      <c r="EN105" s="59">
        <f t="shared" si="74"/>
        <v>968.14394569118645</v>
      </c>
      <c r="EO105" s="59">
        <f ca="1">AVERAGE(OFFSET($EN$3,0,0,'Données projet'!$E$15+1,1))-AVERAGE(OFFSET($H$3,0,0,'Données projet'!$E$15+1,1))</f>
        <v>449.09332781196957</v>
      </c>
      <c r="EP105" s="59">
        <f t="shared" si="100"/>
        <v>324.85904971519432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55.092571525221068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55.092571525221068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6.9935897435897401</v>
      </c>
      <c r="FE105" s="12">
        <f>IF('Données projet'!$A$218&gt;35,FE104+FD105-FM104,IF(A105&lt;'Données projet'!$A$218,$FB$205^A105,IF(A105='Données projet'!$A$218,'Données projet'!$B$218,FE104+FD105-FM104)))</f>
        <v>291.21153846153891</v>
      </c>
      <c r="FF105" s="17">
        <f>FE105*VLOOKUP('Données projet'!$B$16,Paramètres!$A$1:$I$89,3,0)*VLOOKUP('Données projet'!$B$16,Paramètres!$A$1:$I$89,5,0)</f>
        <v>295.28850000000051</v>
      </c>
      <c r="FG105" s="13">
        <f t="shared" si="101"/>
        <v>70.187843985612119</v>
      </c>
      <c r="FH105" s="20">
        <f t="shared" si="76"/>
        <v>636.53796577494199</v>
      </c>
      <c r="FI105" s="59">
        <f t="shared" si="77"/>
        <v>929.87129910827525</v>
      </c>
      <c r="FJ105" s="59">
        <f ca="1">AVERAGE(OFFSET($FI$3,0,0,'Données projet'!$E$16+1,1))-AVERAGE(OFFSET($H$3,0,0,'Données projet'!$E$16+1,1))</f>
        <v>419.51168383014721</v>
      </c>
      <c r="FK105" s="59">
        <f t="shared" si="102"/>
        <v>213.44145308833384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51.89879926288944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51.89879926288944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266.99999999999983</v>
      </c>
      <c r="GA105" s="17">
        <f>FZ105*VLOOKUP('Données projet'!$B$17,Paramètres!$A$1:$I$89,3,0)*VLOOKUP('Données projet'!$B$17,Paramètres!$A$1:$I$89,5,0)</f>
        <v>233.2511999999999</v>
      </c>
      <c r="GB105" s="13">
        <f t="shared" si="103"/>
        <v>56.985091661350864</v>
      </c>
      <c r="GC105" s="20">
        <f t="shared" si="79"/>
        <v>505.49487464351915</v>
      </c>
      <c r="GD105" s="59">
        <f t="shared" si="80"/>
        <v>798.82820797685247</v>
      </c>
      <c r="GE105" s="59">
        <f ca="1">AVERAGE(OFFSET($GD$3,0,0,'Données projet'!$E$17+1,1))-AVERAGE(OFFSET($H$3,0,0,'Données projet'!$E$17+1,1))</f>
        <v>324.86930206492627</v>
      </c>
      <c r="GF105" s="59">
        <f t="shared" si="104"/>
        <v>317.03005098025352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20.448459915330648</v>
      </c>
      <c r="GM105" s="21">
        <f>EXP(-LN(2)/25)*GM104+(1-EXP(-LN(2)/25))/(LN(2)/25)*Calculateur!GH105*Calculateur!GJ105*VLOOKUP('Données projet'!$B$17,Paramètres!$A$1:$I$89,3,0)*0.475*44/12</f>
        <v>4.9693565296277269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25.417816444958376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6.9935897435897401</v>
      </c>
      <c r="GU105" s="12">
        <f>IF('Données projet'!$A$270&gt;35,GU104+GT105-HC104,IF(A105&lt;'Données projet'!$A$270,$GR$205^A105,IF(A105='Données projet'!$A$270,'Données projet'!$B$270,GU104+GT105-HC104)))</f>
        <v>291.21153846153891</v>
      </c>
      <c r="GV105" s="17">
        <f>GU105*VLOOKUP('Données projet'!$B$18,Paramètres!$A$1:$I$89,3,0)*VLOOKUP('Données projet'!$B$18,Paramètres!$A$1:$I$89,5,0)</f>
        <v>277.11690000000038</v>
      </c>
      <c r="GW105" s="13">
        <f t="shared" si="105"/>
        <v>66.357360438884669</v>
      </c>
      <c r="GX105" s="20">
        <f t="shared" si="82"/>
        <v>598.21767026439147</v>
      </c>
      <c r="GY105" s="59">
        <f t="shared" si="83"/>
        <v>891.55100359772473</v>
      </c>
      <c r="GZ105" s="59">
        <f ca="1">AVERAGE(OFFSET($GY$3,0,0,'Données projet'!$E$18+1,1))-AVERAGE(OFFSET($H$3,0,0,'Données projet'!$E$18+1,1))</f>
        <v>401.81944956556271</v>
      </c>
      <c r="HA105" s="59">
        <f t="shared" si="106"/>
        <v>292.20785523952651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48.70502700055777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48.70502700055777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298.20512820512863</v>
      </c>
      <c r="O106" s="13">
        <f>N106*VLOOKUP('Données projet'!$B$9,Paramètres!$A$1:$I$89,3,0)*VLOOKUP('Données projet'!$B$9,Paramètres!$A$1:$I$89,5,0)</f>
        <v>269.81600000000037</v>
      </c>
      <c r="P106" s="13">
        <f t="shared" si="87"/>
        <v>64.810218294809729</v>
      </c>
      <c r="Q106" s="20">
        <f t="shared" si="107"/>
        <v>582.80733019679417</v>
      </c>
      <c r="R106" s="59">
        <f t="shared" si="55"/>
        <v>876.14066353012754</v>
      </c>
      <c r="S106" s="59">
        <f ca="1">AVERAGE(OFFSET($R$3,0,0,'Données projet'!$E$9+1,1))-AVERAGE(OFFSET($H$3,0,0,'Données projet'!$E$9+1,1))</f>
        <v>384.05928630855732</v>
      </c>
      <c r="T106" s="59">
        <f t="shared" si="88"/>
        <v>279.93992813630513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-6.3550942286383367E-14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335.04906256888819</v>
      </c>
      <c r="AO106" s="59">
        <f t="shared" si="90"/>
        <v>440.84111898279554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87.604851210444949</v>
      </c>
      <c r="AV106" s="21">
        <f>EXP(-LN(2)/25)*AV105+(1-EXP(-LN(2)/25))/(LN(2)/25)*Calculateur!AQ106*Calculateur!AS106*VLOOKUP('Données projet'!$B$10,Paramètres!$A$1:$I$89,3,0)*0.475*44/12</f>
        <v>15.223089361315907</v>
      </c>
      <c r="AW106" s="21">
        <f>EXP(-LN(2)/2)*AW105+(1-EXP(-LN(2)/2))/(LN(2)/2)*AQ106*AT106*VLOOKUP('Données projet'!$B$10,Paramètres!$A$1:$I$89,3,0)*0.475*44/12</f>
        <v>2.0361723902292534E-6</v>
      </c>
      <c r="AX106" s="21">
        <f t="shared" si="60"/>
        <v>102.82794260793324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-1.4210854715202004E-13</v>
      </c>
      <c r="BE106" s="13">
        <f>BD106*VLOOKUP('Données projet'!$B$11,Paramètres!$A$1:$I$89,3,0)*VLOOKUP('Données projet'!$B$11,Paramètres!$A$1:$I$89,5,0)</f>
        <v>-8.128608897095547E-14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320.76883487964511</v>
      </c>
      <c r="BJ106" s="59">
        <f t="shared" si="92"/>
        <v>290.51177680335746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104.99758379394342</v>
      </c>
      <c r="BQ106" s="21">
        <f>EXP(-LN(2)/25)*BQ105+(1-EXP(-LN(2)/25))/(LN(2)/25)*Calculateur!BL106*Calculateur!BN106*VLOOKUP('Données projet'!$B$11,Paramètres!$A$1:$I$89,3,0)*0.475*44/12</f>
        <v>23.257109916137917</v>
      </c>
      <c r="BR106" s="21">
        <f>EXP(-LN(2)/2)*BR105+(1-EXP(-LN(2)/2))/(LN(2)/2)*BL106*BO106*VLOOKUP('Données projet'!$B$11,Paramètres!$A$1:$I$89,3,0)*0.475*44/12</f>
        <v>0.35159047663386156</v>
      </c>
      <c r="BS106" s="22">
        <f t="shared" si="63"/>
        <v>128.60628418671521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304.99999999999983</v>
      </c>
      <c r="BZ106" s="13">
        <f>BY106*VLOOKUP('Données projet'!$B$12,Paramètres!$A$1:$I$89,3,0)*VLOOKUP('Données projet'!$B$12,Paramètres!$A$1:$I$89,5,0)</f>
        <v>275.96399999999983</v>
      </c>
      <c r="CA106" s="13">
        <f t="shared" si="93"/>
        <v>66.113366665488854</v>
      </c>
      <c r="CB106" s="20">
        <f t="shared" si="64"/>
        <v>595.78474694239264</v>
      </c>
      <c r="CC106" s="59">
        <f t="shared" si="65"/>
        <v>889.11808027572602</v>
      </c>
      <c r="CD106" s="59">
        <f ca="1">AVERAGE(OFFSET($CC$3,0,0,'Données projet'!$E$12+1,1))-AVERAGE(OFFSET($H$3,0,0,'Données projet'!$E$12+1,1))</f>
        <v>366.69125512029831</v>
      </c>
      <c r="CE106" s="59">
        <f t="shared" si="94"/>
        <v>513.80016421153414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0.38075925772217106</v>
      </c>
      <c r="CL106" s="21">
        <f>EXP(-LN(2)/25)*CL105+(1-EXP(-LN(2)/25))/(LN(2)/25)*Calculateur!CG106*Calculateur!CI106*VLOOKUP('Données projet'!$B$12,Paramètres!$A$1:$I$89,3,0)*0.475*44/12</f>
        <v>0.97549609951251282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1.3562553572346838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6.9935897435897401</v>
      </c>
      <c r="CT106" s="12">
        <f>IF('Données projet'!$A$140&gt;35,CT105+CS106-DB105,IF(A106&lt;'Données projet'!$A$140,$CQ$205^A106,IF(A106='Données projet'!$A$140,'Données projet'!$B$140,CT105+CS106-DB105)))</f>
        <v>298.20512820512863</v>
      </c>
      <c r="CU106" s="17">
        <f>CT106*VLOOKUP('Données projet'!$B$13,Paramètres!$A$1:$I$89,3,0)*VLOOKUP('Données projet'!$B$13,Paramètres!$A$1:$I$89,5,0)</f>
        <v>200.03600000000029</v>
      </c>
      <c r="CV106" s="13">
        <f t="shared" si="95"/>
        <v>49.752079352894121</v>
      </c>
      <c r="CW106" s="20">
        <f t="shared" si="67"/>
        <v>435.04757153962441</v>
      </c>
      <c r="CX106" s="59">
        <f t="shared" si="68"/>
        <v>728.38090487295767</v>
      </c>
      <c r="CY106" s="59">
        <f ca="1">AVERAGE(OFFSET($CX$3,0,0,'Données projet'!$E$13+1,1))-AVERAGE(OFFSET($H$3,0,0,'Données projet'!$E$13+1,1))</f>
        <v>294.94331863127815</v>
      </c>
      <c r="CZ106" s="59">
        <f t="shared" si="96"/>
        <v>218.36990036643977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41.487662455657841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41.487662455657841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266.99999999999983</v>
      </c>
      <c r="DP106" s="17">
        <f>DO106*VLOOKUP('Données projet'!$B$14,Paramètres!$A$1:$I$89,3,0)*VLOOKUP('Données projet'!$B$14,Paramètres!$A$1:$I$89,5,0)</f>
        <v>195.76439999999985</v>
      </c>
      <c r="DQ106" s="13">
        <f t="shared" si="97"/>
        <v>48.812154563023455</v>
      </c>
      <c r="DR106" s="20">
        <f t="shared" si="70"/>
        <v>425.9708325305989</v>
      </c>
      <c r="DS106" s="59">
        <f t="shared" si="71"/>
        <v>719.30416586393221</v>
      </c>
      <c r="DT106" s="59">
        <f ca="1">AVERAGE(OFFSET($DS$3,0,0,'Données projet'!$E$14+1,1))-AVERAGE(OFFSET($H$3,0,0,'Données projet'!$E$14+1,1))</f>
        <v>278.45534008146865</v>
      </c>
      <c r="DU106" s="59">
        <f t="shared" si="98"/>
        <v>272.97841038165217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13.650927633862253</v>
      </c>
      <c r="EB106" s="21">
        <f>EXP(-LN(2)/25)*EB105+(1-EXP(-LN(2)/25))/(LN(2)/25)*Calculateur!DW106*Calculateur!DY106*VLOOKUP('Données projet'!$B$14,Paramètres!$A$1:$I$89,3,0)*0.475*44/12</f>
        <v>3.2912538010410577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16.942181434903311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6.9935897435897401</v>
      </c>
      <c r="EJ106" s="12">
        <f>IF('Données projet'!$A$192&gt;35,EJ105+EI106-ER105,IF(A106&lt;'Données projet'!$A$192,$EG$205^A106,IF(A106='Données projet'!$A$192,'Données projet'!$B$192,EJ105+EI106-ER105)))</f>
        <v>298.20512820512863</v>
      </c>
      <c r="EK106" s="17">
        <f>EJ106*VLOOKUP('Données projet'!$B$15,Paramètres!$A$1:$I$89,3,0)*VLOOKUP('Données projet'!$B$15,Paramètres!$A$1:$I$89,5,0)</f>
        <v>320.98800000000045</v>
      </c>
      <c r="EL106" s="13">
        <f t="shared" si="99"/>
        <v>75.558889379773333</v>
      </c>
      <c r="EM106" s="20">
        <f t="shared" si="73"/>
        <v>690.65249900310607</v>
      </c>
      <c r="EN106" s="59">
        <f t="shared" si="74"/>
        <v>983.98583233643944</v>
      </c>
      <c r="EO106" s="59">
        <f ca="1">AVERAGE(OFFSET($EN$3,0,0,'Données projet'!$E$15+1,1))-AVERAGE(OFFSET($H$3,0,0,'Données projet'!$E$15+1,1))</f>
        <v>449.09332781196957</v>
      </c>
      <c r="EP106" s="59">
        <f t="shared" si="100"/>
        <v>324.85904971519432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54.012239800762075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54.012239800762075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6.9935897435897401</v>
      </c>
      <c r="FE106" s="12">
        <f>IF('Données projet'!$A$218&gt;35,FE105+FD106-FM105,IF(A106&lt;'Données projet'!$A$218,$FB$205^A106,IF(A106='Données projet'!$A$218,'Données projet'!$B$218,FE105+FD106-FM105)))</f>
        <v>298.20512820512863</v>
      </c>
      <c r="FF106" s="17">
        <f>FE106*VLOOKUP('Données projet'!$B$16,Paramètres!$A$1:$I$89,3,0)*VLOOKUP('Données projet'!$B$16,Paramètres!$A$1:$I$89,5,0)</f>
        <v>302.38000000000045</v>
      </c>
      <c r="FG106" s="13">
        <f t="shared" si="101"/>
        <v>71.67517319946117</v>
      </c>
      <c r="FH106" s="20">
        <f t="shared" si="76"/>
        <v>651.47942665572896</v>
      </c>
      <c r="FI106" s="59">
        <f t="shared" si="77"/>
        <v>944.81275998906222</v>
      </c>
      <c r="FJ106" s="59">
        <f ca="1">AVERAGE(OFFSET($FI$3,0,0,'Données projet'!$E$16+1,1))-AVERAGE(OFFSET($H$3,0,0,'Données projet'!$E$16+1,1))</f>
        <v>419.51168383014721</v>
      </c>
      <c r="FK106" s="59">
        <f t="shared" si="102"/>
        <v>213.44145308833384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50.881095464486044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50.881095464486044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266.99999999999983</v>
      </c>
      <c r="GA106" s="17">
        <f>FZ106*VLOOKUP('Données projet'!$B$17,Paramètres!$A$1:$I$89,3,0)*VLOOKUP('Données projet'!$B$17,Paramètres!$A$1:$I$89,5,0)</f>
        <v>233.2511999999999</v>
      </c>
      <c r="GB106" s="13">
        <f t="shared" si="103"/>
        <v>56.985091661350864</v>
      </c>
      <c r="GC106" s="20">
        <f t="shared" si="79"/>
        <v>505.49487464351915</v>
      </c>
      <c r="GD106" s="59">
        <f t="shared" si="80"/>
        <v>798.82820797685247</v>
      </c>
      <c r="GE106" s="59">
        <f ca="1">AVERAGE(OFFSET($GD$3,0,0,'Données projet'!$E$17+1,1))-AVERAGE(OFFSET($H$3,0,0,'Données projet'!$E$17+1,1))</f>
        <v>324.86930206492627</v>
      </c>
      <c r="GF106" s="59">
        <f t="shared" si="104"/>
        <v>317.03005098025352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20.047478088720023</v>
      </c>
      <c r="GM106" s="21">
        <f>EXP(-LN(2)/25)*GM105+(1-EXP(-LN(2)/25))/(LN(2)/25)*Calculateur!GH106*Calculateur!GJ106*VLOOKUP('Données projet'!$B$17,Paramètres!$A$1:$I$89,3,0)*0.475*44/12</f>
        <v>4.8334692139979545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24.880947302717978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6.9935897435897401</v>
      </c>
      <c r="GU106" s="12">
        <f>IF('Données projet'!$A$270&gt;35,GU105+GT106-HC105,IF(A106&lt;'Données projet'!$A$270,$GR$205^A106,IF(A106='Données projet'!$A$270,'Données projet'!$B$270,GU105+GT106-HC105)))</f>
        <v>298.20512820512863</v>
      </c>
      <c r="GV106" s="17">
        <f>GU106*VLOOKUP('Données projet'!$B$18,Paramètres!$A$1:$I$89,3,0)*VLOOKUP('Données projet'!$B$18,Paramètres!$A$1:$I$89,5,0)</f>
        <v>283.77200000000039</v>
      </c>
      <c r="GW106" s="13">
        <f t="shared" si="105"/>
        <v>67.763519043142281</v>
      </c>
      <c r="GX106" s="20">
        <f t="shared" si="82"/>
        <v>612.25769566680685</v>
      </c>
      <c r="GY106" s="59">
        <f t="shared" si="83"/>
        <v>905.59102900014022</v>
      </c>
      <c r="GZ106" s="59">
        <f ca="1">AVERAGE(OFFSET($GY$3,0,0,'Données projet'!$E$18+1,1))-AVERAGE(OFFSET($H$3,0,0,'Données projet'!$E$18+1,1))</f>
        <v>401.81944956556271</v>
      </c>
      <c r="HA106" s="59">
        <f t="shared" si="106"/>
        <v>292.20785523952651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47.749951128209965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47.749951128209965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305.19871794871835</v>
      </c>
      <c r="O107" s="13">
        <f>N107*VLOOKUP('Données projet'!$B$9,Paramètres!$A$1:$I$89,3,0)*VLOOKUP('Données projet'!$B$9,Paramètres!$A$1:$I$89,5,0)</f>
        <v>276.14380000000034</v>
      </c>
      <c r="P107" s="13">
        <f t="shared" si="87"/>
        <v>66.151426401533939</v>
      </c>
      <c r="Q107" s="20">
        <f t="shared" si="107"/>
        <v>596.16418598267205</v>
      </c>
      <c r="R107" s="59">
        <f t="shared" si="55"/>
        <v>889.49751931600531</v>
      </c>
      <c r="S107" s="59">
        <f ca="1">AVERAGE(OFFSET($R$3,0,0,'Données projet'!$E$9+1,1))-AVERAGE(OFFSET($H$3,0,0,'Données projet'!$E$9+1,1))</f>
        <v>384.05928630855732</v>
      </c>
      <c r="T107" s="59">
        <f t="shared" si="88"/>
        <v>279.93992813630513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-6.3550942286383367E-14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335.04906256888819</v>
      </c>
      <c r="AO107" s="59">
        <f t="shared" si="90"/>
        <v>440.84111898279554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85.886973511891227</v>
      </c>
      <c r="AV107" s="21">
        <f>EXP(-LN(2)/25)*AV106+(1-EXP(-LN(2)/25))/(LN(2)/25)*Calculateur!AQ107*Calculateur!AS107*VLOOKUP('Données projet'!$B$10,Paramètres!$A$1:$I$89,3,0)*0.475*44/12</f>
        <v>14.806813182183246</v>
      </c>
      <c r="AW107" s="21">
        <f>EXP(-LN(2)/2)*AW106+(1-EXP(-LN(2)/2))/(LN(2)/2)*AQ107*AT107*VLOOKUP('Données projet'!$B$10,Paramètres!$A$1:$I$89,3,0)*0.475*44/12</f>
        <v>1.4397913047959261E-6</v>
      </c>
      <c r="AX107" s="21">
        <f t="shared" si="60"/>
        <v>100.69378813386578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-1.4210854715202004E-13</v>
      </c>
      <c r="BE107" s="13">
        <f>BD107*VLOOKUP('Données projet'!$B$11,Paramètres!$A$1:$I$89,3,0)*VLOOKUP('Données projet'!$B$11,Paramètres!$A$1:$I$89,5,0)</f>
        <v>-8.128608897095547E-14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320.76883487964511</v>
      </c>
      <c r="BJ107" s="59">
        <f t="shared" si="92"/>
        <v>290.51177680335746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102.93864521794666</v>
      </c>
      <c r="BQ107" s="21">
        <f>EXP(-LN(2)/25)*BQ106+(1-EXP(-LN(2)/25))/(LN(2)/25)*Calculateur!BL107*Calculateur!BN107*VLOOKUP('Données projet'!$B$11,Paramètres!$A$1:$I$89,3,0)*0.475*44/12</f>
        <v>22.621143022442869</v>
      </c>
      <c r="BR107" s="21">
        <f>EXP(-LN(2)/2)*BR106+(1-EXP(-LN(2)/2))/(LN(2)/2)*BL107*BO107*VLOOKUP('Données projet'!$B$11,Paramètres!$A$1:$I$89,3,0)*0.475*44/12</f>
        <v>0.24861201022841392</v>
      </c>
      <c r="BS107" s="22">
        <f t="shared" si="63"/>
        <v>125.80840025061794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304.99999999999983</v>
      </c>
      <c r="BZ107" s="13">
        <f>BY107*VLOOKUP('Données projet'!$B$12,Paramètres!$A$1:$I$89,3,0)*VLOOKUP('Données projet'!$B$12,Paramètres!$A$1:$I$89,5,0)</f>
        <v>275.96399999999983</v>
      </c>
      <c r="CA107" s="13">
        <f t="shared" si="93"/>
        <v>66.113366665488854</v>
      </c>
      <c r="CB107" s="20">
        <f t="shared" si="64"/>
        <v>595.78474694239264</v>
      </c>
      <c r="CC107" s="59">
        <f t="shared" si="65"/>
        <v>889.11808027572602</v>
      </c>
      <c r="CD107" s="59">
        <f ca="1">AVERAGE(OFFSET($CC$3,0,0,'Données projet'!$E$12+1,1))-AVERAGE(OFFSET($H$3,0,0,'Données projet'!$E$12+1,1))</f>
        <v>366.69125512029831</v>
      </c>
      <c r="CE107" s="59">
        <f t="shared" si="94"/>
        <v>513.80016421153414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0.37329280091845468</v>
      </c>
      <c r="CL107" s="21">
        <f>EXP(-LN(2)/25)*CL106+(1-EXP(-LN(2)/25))/(LN(2)/25)*Calculateur!CG107*Calculateur!CI107*VLOOKUP('Données projet'!$B$12,Paramètres!$A$1:$I$89,3,0)*0.475*44/12</f>
        <v>0.9488211073722328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1.3221139082906874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6.9935897435897401</v>
      </c>
      <c r="CT107" s="12">
        <f>IF('Données projet'!$A$140&gt;35,CT106+CS107-DB106,IF(A107&lt;'Données projet'!$A$140,$CQ$205^A107,IF(A107='Données projet'!$A$140,'Données projet'!$B$140,CT106+CS107-DB106)))</f>
        <v>305.19871794871835</v>
      </c>
      <c r="CU107" s="17">
        <f>CT107*VLOOKUP('Données projet'!$B$13,Paramètres!$A$1:$I$89,3,0)*VLOOKUP('Données projet'!$B$13,Paramètres!$A$1:$I$89,5,0)</f>
        <v>204.72730000000027</v>
      </c>
      <c r="CV107" s="13">
        <f t="shared" si="95"/>
        <v>50.781668419404411</v>
      </c>
      <c r="CW107" s="20">
        <f t="shared" si="67"/>
        <v>445.01145333046315</v>
      </c>
      <c r="CX107" s="59">
        <f t="shared" si="68"/>
        <v>738.34478666379641</v>
      </c>
      <c r="CY107" s="59">
        <f ca="1">AVERAGE(OFFSET($CX$3,0,0,'Données projet'!$E$13+1,1))-AVERAGE(OFFSET($H$3,0,0,'Données projet'!$E$13+1,1))</f>
        <v>294.94331863127815</v>
      </c>
      <c r="CZ107" s="59">
        <f t="shared" si="96"/>
        <v>218.36990036643977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40.674114699877826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40.674114699877826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266.99999999999983</v>
      </c>
      <c r="DP107" s="17">
        <f>DO107*VLOOKUP('Données projet'!$B$14,Paramètres!$A$1:$I$89,3,0)*VLOOKUP('Données projet'!$B$14,Paramètres!$A$1:$I$89,5,0)</f>
        <v>195.76439999999985</v>
      </c>
      <c r="DQ107" s="13">
        <f t="shared" si="97"/>
        <v>48.812154563023455</v>
      </c>
      <c r="DR107" s="20">
        <f t="shared" si="70"/>
        <v>425.9708325305989</v>
      </c>
      <c r="DS107" s="59">
        <f t="shared" si="71"/>
        <v>719.30416586393221</v>
      </c>
      <c r="DT107" s="59">
        <f ca="1">AVERAGE(OFFSET($DS$3,0,0,'Données projet'!$E$14+1,1))-AVERAGE(OFFSET($H$3,0,0,'Données projet'!$E$14+1,1))</f>
        <v>278.45534008146865</v>
      </c>
      <c r="DU107" s="59">
        <f t="shared" si="98"/>
        <v>272.97841038165217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13.383241269205921</v>
      </c>
      <c r="EB107" s="21">
        <f>EXP(-LN(2)/25)*EB106+(1-EXP(-LN(2)/25))/(LN(2)/25)*Calculateur!DW107*Calculateur!DY107*VLOOKUP('Données projet'!$B$14,Paramètres!$A$1:$I$89,3,0)*0.475*44/12</f>
        <v>3.2012542927720746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16.584495561977995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6.9935897435897401</v>
      </c>
      <c r="EJ107" s="12">
        <f>IF('Données projet'!$A$192&gt;35,EJ106+EI107-ER106,IF(A107&lt;'Données projet'!$A$192,$EG$205^A107,IF(A107='Données projet'!$A$192,'Données projet'!$B$192,EJ106+EI107-ER106)))</f>
        <v>305.19871794871835</v>
      </c>
      <c r="EK107" s="17">
        <f>EJ107*VLOOKUP('Données projet'!$B$15,Paramètres!$A$1:$I$89,3,0)*VLOOKUP('Données projet'!$B$15,Paramètres!$A$1:$I$89,5,0)</f>
        <v>328.51590000000044</v>
      </c>
      <c r="EL107" s="13">
        <f t="shared" si="99"/>
        <v>77.122534706660645</v>
      </c>
      <c r="EM107" s="20">
        <f t="shared" si="73"/>
        <v>706.48694044743468</v>
      </c>
      <c r="EN107" s="59">
        <f t="shared" si="74"/>
        <v>999.82027378076805</v>
      </c>
      <c r="EO107" s="59">
        <f ca="1">AVERAGE(OFFSET($EN$3,0,0,'Données projet'!$E$15+1,1))-AVERAGE(OFFSET($H$3,0,0,'Données projet'!$E$15+1,1))</f>
        <v>449.09332781196957</v>
      </c>
      <c r="EP107" s="59">
        <f t="shared" si="100"/>
        <v>324.85904971519432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52.953092722482438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52.953092722482438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6.9935897435897401</v>
      </c>
      <c r="FE107" s="12">
        <f>IF('Données projet'!$A$218&gt;35,FE106+FD107-FM106,IF(A107&lt;'Données projet'!$A$218,$FB$205^A107,IF(A107='Données projet'!$A$218,'Données projet'!$B$218,FE106+FD107-FM106)))</f>
        <v>305.19871794871835</v>
      </c>
      <c r="FF107" s="17">
        <f>FE107*VLOOKUP('Données projet'!$B$16,Paramètres!$A$1:$I$89,3,0)*VLOOKUP('Données projet'!$B$16,Paramètres!$A$1:$I$89,5,0)</f>
        <v>309.47150000000045</v>
      </c>
      <c r="FG107" s="13">
        <f t="shared" si="101"/>
        <v>73.15844737867603</v>
      </c>
      <c r="FH107" s="20">
        <f t="shared" si="76"/>
        <v>666.41382501786154</v>
      </c>
      <c r="FI107" s="59">
        <f t="shared" si="77"/>
        <v>959.74715835119491</v>
      </c>
      <c r="FJ107" s="59">
        <f ca="1">AVERAGE(OFFSET($FI$3,0,0,'Données projet'!$E$16+1,1))-AVERAGE(OFFSET($H$3,0,0,'Données projet'!$E$16+1,1))</f>
        <v>419.51168383014721</v>
      </c>
      <c r="FK107" s="59">
        <f t="shared" si="102"/>
        <v>213.44145308833384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49.883348216831315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49.883348216831315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266.99999999999983</v>
      </c>
      <c r="GA107" s="17">
        <f>FZ107*VLOOKUP('Données projet'!$B$17,Paramètres!$A$1:$I$89,3,0)*VLOOKUP('Données projet'!$B$17,Paramètres!$A$1:$I$89,5,0)</f>
        <v>233.2511999999999</v>
      </c>
      <c r="GB107" s="13">
        <f t="shared" si="103"/>
        <v>56.985091661350864</v>
      </c>
      <c r="GC107" s="20">
        <f t="shared" si="79"/>
        <v>505.49487464351915</v>
      </c>
      <c r="GD107" s="59">
        <f t="shared" si="80"/>
        <v>798.82820797685247</v>
      </c>
      <c r="GE107" s="59">
        <f ca="1">AVERAGE(OFFSET($GD$3,0,0,'Données projet'!$E$17+1,1))-AVERAGE(OFFSET($H$3,0,0,'Données projet'!$E$17+1,1))</f>
        <v>324.86930206492627</v>
      </c>
      <c r="GF107" s="59">
        <f t="shared" si="104"/>
        <v>317.03005098025352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19.654359271154469</v>
      </c>
      <c r="GM107" s="21">
        <f>EXP(-LN(2)/25)*GM106+(1-EXP(-LN(2)/25))/(LN(2)/25)*Calculateur!GH107*Calculateur!GJ107*VLOOKUP('Données projet'!$B$17,Paramètres!$A$1:$I$89,3,0)*0.475*44/12</f>
        <v>4.7012977441600814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24.355657015314549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6.9935897435897401</v>
      </c>
      <c r="GU107" s="12">
        <f>IF('Données projet'!$A$270&gt;35,GU106+GT107-HC106,IF(A107&lt;'Données projet'!$A$270,$GR$205^A107,IF(A107='Données projet'!$A$270,'Données projet'!$B$270,GU106+GT107-HC106)))</f>
        <v>305.19871794871835</v>
      </c>
      <c r="GV107" s="17">
        <f>GU107*VLOOKUP('Données projet'!$B$18,Paramètres!$A$1:$I$89,3,0)*VLOOKUP('Données projet'!$B$18,Paramètres!$A$1:$I$89,5,0)</f>
        <v>290.42710000000039</v>
      </c>
      <c r="GW107" s="13">
        <f t="shared" si="105"/>
        <v>69.165843915238824</v>
      </c>
      <c r="GX107" s="20">
        <f t="shared" si="82"/>
        <v>626.29104398570837</v>
      </c>
      <c r="GY107" s="59">
        <f t="shared" si="83"/>
        <v>919.62437731904174</v>
      </c>
      <c r="GZ107" s="59">
        <f ca="1">AVERAGE(OFFSET($GY$3,0,0,'Données projet'!$E$18+1,1))-AVERAGE(OFFSET($H$3,0,0,'Données projet'!$E$18+1,1))</f>
        <v>401.81944956556271</v>
      </c>
      <c r="HA107" s="59">
        <f t="shared" si="106"/>
        <v>292.20785523952651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46.813603711180143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46.813603711180143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312.19230769230808</v>
      </c>
      <c r="O108" s="13">
        <f>N108*VLOOKUP('Données projet'!$B$9,Paramètres!$A$1:$I$89,3,0)*VLOOKUP('Données projet'!$B$9,Paramètres!$A$1:$I$89,5,0)</f>
        <v>282.47160000000031</v>
      </c>
      <c r="P108" s="13">
        <f t="shared" si="87"/>
        <v>67.489061551962138</v>
      </c>
      <c r="Q108" s="20">
        <f t="shared" si="107"/>
        <v>609.51481886966792</v>
      </c>
      <c r="R108" s="59">
        <f t="shared" si="55"/>
        <v>902.84815220300129</v>
      </c>
      <c r="S108" s="59">
        <f ca="1">AVERAGE(OFFSET($R$3,0,0,'Données projet'!$E$9+1,1))-AVERAGE(OFFSET($H$3,0,0,'Données projet'!$E$9+1,1))</f>
        <v>384.05928630855732</v>
      </c>
      <c r="T108" s="59">
        <f t="shared" si="88"/>
        <v>279.93992813630513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-6.3550942286383367E-14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335.04906256888819</v>
      </c>
      <c r="AO108" s="59">
        <f t="shared" si="90"/>
        <v>440.84111898279554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84.202782347204206</v>
      </c>
      <c r="AV108" s="21">
        <f>EXP(-LN(2)/25)*AV107+(1-EXP(-LN(2)/25))/(LN(2)/25)*Calculateur!AQ108*Calculateur!AS108*VLOOKUP('Données projet'!$B$10,Paramètres!$A$1:$I$89,3,0)*0.475*44/12</f>
        <v>14.401920097059982</v>
      </c>
      <c r="AW108" s="21">
        <f>EXP(-LN(2)/2)*AW107+(1-EXP(-LN(2)/2))/(LN(2)/2)*AQ108*AT108*VLOOKUP('Données projet'!$B$10,Paramètres!$A$1:$I$89,3,0)*0.475*44/12</f>
        <v>1.0180861951146267E-6</v>
      </c>
      <c r="AX108" s="21">
        <f t="shared" si="60"/>
        <v>98.604703462350386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-1.4210854715202004E-13</v>
      </c>
      <c r="BE108" s="13">
        <f>BD108*VLOOKUP('Données projet'!$B$11,Paramètres!$A$1:$I$89,3,0)*VLOOKUP('Données projet'!$B$11,Paramètres!$A$1:$I$89,5,0)</f>
        <v>-8.128608897095547E-14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320.76883487964511</v>
      </c>
      <c r="BJ108" s="59">
        <f t="shared" si="92"/>
        <v>290.51177680335746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100.92008117159666</v>
      </c>
      <c r="BQ108" s="21">
        <f>EXP(-LN(2)/25)*BQ107+(1-EXP(-LN(2)/25))/(LN(2)/25)*Calculateur!BL108*Calculateur!BN108*VLOOKUP('Données projet'!$B$11,Paramètres!$A$1:$I$89,3,0)*0.475*44/12</f>
        <v>22.00256667689996</v>
      </c>
      <c r="BR108" s="21">
        <f>EXP(-LN(2)/2)*BR107+(1-EXP(-LN(2)/2))/(LN(2)/2)*BL108*BO108*VLOOKUP('Données projet'!$B$11,Paramètres!$A$1:$I$89,3,0)*0.475*44/12</f>
        <v>0.17579523831693081</v>
      </c>
      <c r="BS108" s="22">
        <f t="shared" si="63"/>
        <v>123.09844308681356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304.99999999999983</v>
      </c>
      <c r="BZ108" s="13">
        <f>BY108*VLOOKUP('Données projet'!$B$12,Paramètres!$A$1:$I$89,3,0)*VLOOKUP('Données projet'!$B$12,Paramètres!$A$1:$I$89,5,0)</f>
        <v>275.96399999999983</v>
      </c>
      <c r="CA108" s="13">
        <f t="shared" si="93"/>
        <v>66.113366665488854</v>
      </c>
      <c r="CB108" s="20">
        <f t="shared" si="64"/>
        <v>595.78474694239264</v>
      </c>
      <c r="CC108" s="59">
        <f t="shared" si="65"/>
        <v>889.11808027572602</v>
      </c>
      <c r="CD108" s="59">
        <f ca="1">AVERAGE(OFFSET($CC$3,0,0,'Données projet'!$E$12+1,1))-AVERAGE(OFFSET($H$3,0,0,'Données projet'!$E$12+1,1))</f>
        <v>366.69125512029831</v>
      </c>
      <c r="CE108" s="59">
        <f t="shared" si="94"/>
        <v>513.80016421153414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0.36597275677857022</v>
      </c>
      <c r="CL108" s="21">
        <f>EXP(-LN(2)/25)*CL107+(1-EXP(-LN(2)/25))/(LN(2)/25)*Calculateur!CG108*Calculateur!CI108*VLOOKUP('Données projet'!$B$12,Paramètres!$A$1:$I$89,3,0)*0.475*44/12</f>
        <v>0.92287554429480556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1.2888483010733758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6.9935897435897401</v>
      </c>
      <c r="CT108" s="12">
        <f>IF('Données projet'!$A$140&gt;35,CT107+CS108-DB107,IF(A108&lt;'Données projet'!$A$140,$CQ$205^A108,IF(A108='Données projet'!$A$140,'Données projet'!$B$140,CT107+CS108-DB107)))</f>
        <v>312.19230769230808</v>
      </c>
      <c r="CU108" s="17">
        <f>CT108*VLOOKUP('Données projet'!$B$13,Paramètres!$A$1:$I$89,3,0)*VLOOKUP('Données projet'!$B$13,Paramètres!$A$1:$I$89,5,0)</f>
        <v>209.41860000000025</v>
      </c>
      <c r="CV108" s="13">
        <f t="shared" si="95"/>
        <v>51.808514677607135</v>
      </c>
      <c r="CW108" s="20">
        <f t="shared" si="67"/>
        <v>454.97055806349954</v>
      </c>
      <c r="CX108" s="59">
        <f t="shared" si="68"/>
        <v>748.3038913968328</v>
      </c>
      <c r="CY108" s="59">
        <f ca="1">AVERAGE(OFFSET($CX$3,0,0,'Données projet'!$E$13+1,1))-AVERAGE(OFFSET($H$3,0,0,'Données projet'!$E$13+1,1))</f>
        <v>294.94331863127815</v>
      </c>
      <c r="CZ108" s="59">
        <f t="shared" si="96"/>
        <v>218.36990036643977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39.876520119373531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39.876520119373531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266.99999999999983</v>
      </c>
      <c r="DP108" s="17">
        <f>DO108*VLOOKUP('Données projet'!$B$14,Paramètres!$A$1:$I$89,3,0)*VLOOKUP('Données projet'!$B$14,Paramètres!$A$1:$I$89,5,0)</f>
        <v>195.76439999999985</v>
      </c>
      <c r="DQ108" s="13">
        <f t="shared" si="97"/>
        <v>48.812154563023455</v>
      </c>
      <c r="DR108" s="20">
        <f t="shared" si="70"/>
        <v>425.9708325305989</v>
      </c>
      <c r="DS108" s="59">
        <f t="shared" si="71"/>
        <v>719.30416586393221</v>
      </c>
      <c r="DT108" s="59">
        <f ca="1">AVERAGE(OFFSET($DS$3,0,0,'Données projet'!$E$14+1,1))-AVERAGE(OFFSET($H$3,0,0,'Données projet'!$E$14+1,1))</f>
        <v>278.45534008146865</v>
      </c>
      <c r="DU108" s="59">
        <f t="shared" si="98"/>
        <v>272.97841038165217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13.120804070887941</v>
      </c>
      <c r="EB108" s="21">
        <f>EXP(-LN(2)/25)*EB107+(1-EXP(-LN(2)/25))/(LN(2)/25)*Calculateur!DW108*Calculateur!DY108*VLOOKUP('Données projet'!$B$14,Paramètres!$A$1:$I$89,3,0)*0.475*44/12</f>
        <v>3.1137158257895754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16.234519896677515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6.9935897435897401</v>
      </c>
      <c r="EJ108" s="12">
        <f>IF('Données projet'!$A$192&gt;35,EJ107+EI108-ER107,IF(A108&lt;'Données projet'!$A$192,$EG$205^A108,IF(A108='Données projet'!$A$192,'Données projet'!$B$192,EJ107+EI108-ER107)))</f>
        <v>312.19230769230808</v>
      </c>
      <c r="EK108" s="17">
        <f>EJ108*VLOOKUP('Données projet'!$B$15,Paramètres!$A$1:$I$89,3,0)*VLOOKUP('Données projet'!$B$15,Paramètres!$A$1:$I$89,5,0)</f>
        <v>336.04380000000043</v>
      </c>
      <c r="EL108" s="13">
        <f t="shared" si="99"/>
        <v>78.682014508162851</v>
      </c>
      <c r="EM108" s="20">
        <f t="shared" si="73"/>
        <v>722.31412693505092</v>
      </c>
      <c r="EN108" s="59">
        <f t="shared" si="74"/>
        <v>1015.6474602683843</v>
      </c>
      <c r="EO108" s="59">
        <f ca="1">AVERAGE(OFFSET($EN$3,0,0,'Données projet'!$E$15+1,1))-AVERAGE(OFFSET($H$3,0,0,'Données projet'!$E$15+1,1))</f>
        <v>449.09332781196957</v>
      </c>
      <c r="EP108" s="59">
        <f t="shared" si="100"/>
        <v>324.85904971519432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51.914714872391933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51.914714872391933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6.9935897435897401</v>
      </c>
      <c r="FE108" s="12">
        <f>IF('Données projet'!$A$218&gt;35,FE107+FD108-FM107,IF(A108&lt;'Données projet'!$A$218,$FB$205^A108,IF(A108='Données projet'!$A$218,'Données projet'!$B$218,FE107+FD108-FM107)))</f>
        <v>312.19230769230808</v>
      </c>
      <c r="FF108" s="17">
        <f>FE108*VLOOKUP('Données projet'!$B$16,Paramètres!$A$1:$I$89,3,0)*VLOOKUP('Données projet'!$B$16,Paramètres!$A$1:$I$89,5,0)</f>
        <v>316.56300000000044</v>
      </c>
      <c r="FG108" s="13">
        <f t="shared" si="101"/>
        <v>74.637770139918928</v>
      </c>
      <c r="FH108" s="20">
        <f t="shared" si="76"/>
        <v>681.34134132702627</v>
      </c>
      <c r="FI108" s="59">
        <f t="shared" si="77"/>
        <v>974.67467466035964</v>
      </c>
      <c r="FJ108" s="59">
        <f ca="1">AVERAGE(OFFSET($FI$3,0,0,'Données projet'!$E$16+1,1))-AVERAGE(OFFSET($H$3,0,0,'Données projet'!$E$16+1,1))</f>
        <v>419.51168383014721</v>
      </c>
      <c r="FK108" s="59">
        <f t="shared" si="102"/>
        <v>213.44145308833384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48.905166184137364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48.905166184137364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266.99999999999983</v>
      </c>
      <c r="GA108" s="17">
        <f>FZ108*VLOOKUP('Données projet'!$B$17,Paramètres!$A$1:$I$89,3,0)*VLOOKUP('Données projet'!$B$17,Paramètres!$A$1:$I$89,5,0)</f>
        <v>233.2511999999999</v>
      </c>
      <c r="GB108" s="13">
        <f t="shared" si="103"/>
        <v>56.985091661350864</v>
      </c>
      <c r="GC108" s="20">
        <f t="shared" si="79"/>
        <v>505.49487464351915</v>
      </c>
      <c r="GD108" s="59">
        <f t="shared" si="80"/>
        <v>798.82820797685247</v>
      </c>
      <c r="GE108" s="59">
        <f ca="1">AVERAGE(OFFSET($GD$3,0,0,'Données projet'!$E$17+1,1))-AVERAGE(OFFSET($H$3,0,0,'Données projet'!$E$17+1,1))</f>
        <v>324.86930206492627</v>
      </c>
      <c r="GF108" s="59">
        <f t="shared" si="104"/>
        <v>317.03005098025352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19.268949273822571</v>
      </c>
      <c r="GM108" s="21">
        <f>EXP(-LN(2)/25)*GM107+(1-EXP(-LN(2)/25))/(LN(2)/25)*Calculateur!GH108*Calculateur!GJ108*VLOOKUP('Données projet'!$B$17,Paramètres!$A$1:$I$89,3,0)*0.475*44/12</f>
        <v>4.572740510115521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23.841689783938094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6.9935897435897401</v>
      </c>
      <c r="GU108" s="12">
        <f>IF('Données projet'!$A$270&gt;35,GU107+GT108-HC107,IF(A108&lt;'Données projet'!$A$270,$GR$205^A108,IF(A108='Données projet'!$A$270,'Données projet'!$B$270,GU107+GT108-HC107)))</f>
        <v>312.19230769230808</v>
      </c>
      <c r="GV108" s="17">
        <f>GU108*VLOOKUP('Données projet'!$B$18,Paramètres!$A$1:$I$89,3,0)*VLOOKUP('Données projet'!$B$18,Paramètres!$A$1:$I$89,5,0)</f>
        <v>297.08220000000034</v>
      </c>
      <c r="GW108" s="13">
        <f t="shared" si="105"/>
        <v>70.564433016983557</v>
      </c>
      <c r="GX108" s="20">
        <f t="shared" si="82"/>
        <v>640.31788583791365</v>
      </c>
      <c r="GY108" s="59">
        <f t="shared" si="83"/>
        <v>933.65121917124702</v>
      </c>
      <c r="GZ108" s="59">
        <f ca="1">AVERAGE(OFFSET($GY$3,0,0,'Données projet'!$E$18+1,1))-AVERAGE(OFFSET($H$3,0,0,'Données projet'!$E$18+1,1))</f>
        <v>401.81944956556271</v>
      </c>
      <c r="HA108" s="59">
        <f t="shared" si="106"/>
        <v>292.20785523952651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45.895617495882739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45.895617495882739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319.1858974358978</v>
      </c>
      <c r="O109" s="13">
        <f>N109*VLOOKUP('Données projet'!$B$9,Paramètres!$A$1:$I$89,3,0)*VLOOKUP('Données projet'!$B$9,Paramètres!$A$1:$I$89,5,0)</f>
        <v>288.79940000000033</v>
      </c>
      <c r="P109" s="13">
        <f t="shared" si="87"/>
        <v>68.82321300114252</v>
      </c>
      <c r="Q109" s="20">
        <f t="shared" si="107"/>
        <v>622.85938431032366</v>
      </c>
      <c r="R109" s="59">
        <f t="shared" si="55"/>
        <v>916.19271764365703</v>
      </c>
      <c r="S109" s="59">
        <f ca="1">AVERAGE(OFFSET($R$3,0,0,'Données projet'!$E$9+1,1))-AVERAGE(OFFSET($H$3,0,0,'Données projet'!$E$9+1,1))</f>
        <v>384.05928630855732</v>
      </c>
      <c r="T109" s="59">
        <f t="shared" si="88"/>
        <v>279.93992813630513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-6.3550942286383367E-14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335.04906256888819</v>
      </c>
      <c r="AO109" s="59">
        <f t="shared" si="90"/>
        <v>440.84111898279554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82.551617144001526</v>
      </c>
      <c r="AV109" s="21">
        <f>EXP(-LN(2)/25)*AV108+(1-EXP(-LN(2)/25))/(LN(2)/25)*Calculateur!AQ109*Calculateur!AS109*VLOOKUP('Données projet'!$B$10,Paramètres!$A$1:$I$89,3,0)*0.475*44/12</f>
        <v>14.008098834641816</v>
      </c>
      <c r="AW109" s="21">
        <f>EXP(-LN(2)/2)*AW108+(1-EXP(-LN(2)/2))/(LN(2)/2)*AQ109*AT109*VLOOKUP('Données projet'!$B$10,Paramètres!$A$1:$I$89,3,0)*0.475*44/12</f>
        <v>7.1989565239796306E-7</v>
      </c>
      <c r="AX109" s="21">
        <f t="shared" si="60"/>
        <v>96.559716698538992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-1.4210854715202004E-13</v>
      </c>
      <c r="BE109" s="13">
        <f>BD109*VLOOKUP('Données projet'!$B$11,Paramètres!$A$1:$I$89,3,0)*VLOOKUP('Données projet'!$B$11,Paramètres!$A$1:$I$89,5,0)</f>
        <v>-8.128608897095547E-14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320.76883487964511</v>
      </c>
      <c r="BJ109" s="59">
        <f t="shared" si="92"/>
        <v>290.51177680335746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98.941099934993105</v>
      </c>
      <c r="BQ109" s="21">
        <f>EXP(-LN(2)/25)*BQ108+(1-EXP(-LN(2)/25))/(LN(2)/25)*Calculateur!BL109*Calculateur!BN109*VLOOKUP('Données projet'!$B$11,Paramètres!$A$1:$I$89,3,0)*0.475*44/12</f>
        <v>21.400905334055437</v>
      </c>
      <c r="BR109" s="21">
        <f>EXP(-LN(2)/2)*BR108+(1-EXP(-LN(2)/2))/(LN(2)/2)*BL109*BO109*VLOOKUP('Données projet'!$B$11,Paramètres!$A$1:$I$89,3,0)*0.475*44/12</f>
        <v>0.12430600511420697</v>
      </c>
      <c r="BS109" s="22">
        <f t="shared" si="63"/>
        <v>120.46631127416275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304.99999999999983</v>
      </c>
      <c r="BZ109" s="13">
        <f>BY109*VLOOKUP('Données projet'!$B$12,Paramètres!$A$1:$I$89,3,0)*VLOOKUP('Données projet'!$B$12,Paramètres!$A$1:$I$89,5,0)</f>
        <v>275.96399999999983</v>
      </c>
      <c r="CA109" s="13">
        <f t="shared" si="93"/>
        <v>66.113366665488854</v>
      </c>
      <c r="CB109" s="20">
        <f t="shared" si="64"/>
        <v>595.78474694239264</v>
      </c>
      <c r="CC109" s="59">
        <f t="shared" si="65"/>
        <v>889.11808027572602</v>
      </c>
      <c r="CD109" s="59">
        <f ca="1">AVERAGE(OFFSET($CC$3,0,0,'Données projet'!$E$12+1,1))-AVERAGE(OFFSET($H$3,0,0,'Données projet'!$E$12+1,1))</f>
        <v>366.69125512029831</v>
      </c>
      <c r="CE109" s="59">
        <f t="shared" si="94"/>
        <v>513.80016421153414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0.3587962542394828</v>
      </c>
      <c r="CL109" s="21">
        <f>EXP(-LN(2)/25)*CL108+(1-EXP(-LN(2)/25))/(LN(2)/25)*Calculateur!CG109*Calculateur!CI109*VLOOKUP('Données projet'!$B$12,Paramètres!$A$1:$I$89,3,0)*0.475*44/12</f>
        <v>0.89763946400414851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1.2564357182436314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6.9935897435897401</v>
      </c>
      <c r="CT109" s="12">
        <f>IF('Données projet'!$A$140&gt;35,CT108+CS109-DB108,IF(A109&lt;'Données projet'!$A$140,$CQ$205^A109,IF(A109='Données projet'!$A$140,'Données projet'!$B$140,CT108+CS109-DB108)))</f>
        <v>319.1858974358978</v>
      </c>
      <c r="CU109" s="17">
        <f>CT109*VLOOKUP('Données projet'!$B$13,Paramètres!$A$1:$I$89,3,0)*VLOOKUP('Données projet'!$B$13,Paramètres!$A$1:$I$89,5,0)</f>
        <v>214.10990000000024</v>
      </c>
      <c r="CV109" s="13">
        <f t="shared" si="95"/>
        <v>52.832686644849439</v>
      </c>
      <c r="CW109" s="20">
        <f t="shared" si="67"/>
        <v>464.92500507311314</v>
      </c>
      <c r="CX109" s="59">
        <f t="shared" si="68"/>
        <v>758.25833840644646</v>
      </c>
      <c r="CY109" s="59">
        <f ca="1">AVERAGE(OFFSET($CX$3,0,0,'Données projet'!$E$13+1,1))-AVERAGE(OFFSET($H$3,0,0,'Données projet'!$E$13+1,1))</f>
        <v>294.94331863127815</v>
      </c>
      <c r="CZ109" s="59">
        <f t="shared" si="96"/>
        <v>218.36990036643977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39.094565882108263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39.094565882108263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266.99999999999983</v>
      </c>
      <c r="DP109" s="17">
        <f>DO109*VLOOKUP('Données projet'!$B$14,Paramètres!$A$1:$I$89,3,0)*VLOOKUP('Données projet'!$B$14,Paramètres!$A$1:$I$89,5,0)</f>
        <v>195.76439999999985</v>
      </c>
      <c r="DQ109" s="13">
        <f t="shared" si="97"/>
        <v>48.812154563023455</v>
      </c>
      <c r="DR109" s="20">
        <f t="shared" si="70"/>
        <v>425.9708325305989</v>
      </c>
      <c r="DS109" s="59">
        <f t="shared" si="71"/>
        <v>719.30416586393221</v>
      </c>
      <c r="DT109" s="59">
        <f ca="1">AVERAGE(OFFSET($DS$3,0,0,'Données projet'!$E$14+1,1))-AVERAGE(OFFSET($H$3,0,0,'Données projet'!$E$14+1,1))</f>
        <v>278.45534008146865</v>
      </c>
      <c r="DU109" s="59">
        <f t="shared" si="98"/>
        <v>272.97841038165217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12.863513105958091</v>
      </c>
      <c r="EB109" s="21">
        <f>EXP(-LN(2)/25)*EB108+(1-EXP(-LN(2)/25))/(LN(2)/25)*Calculateur!DW109*Calculateur!DY109*VLOOKUP('Données projet'!$B$14,Paramètres!$A$1:$I$89,3,0)*0.475*44/12</f>
        <v>3.0285711027901607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15.892084208748251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6.9935897435897401</v>
      </c>
      <c r="EJ109" s="12">
        <f>IF('Données projet'!$A$192&gt;35,EJ108+EI109-ER108,IF(A109&lt;'Données projet'!$A$192,$EG$205^A109,IF(A109='Données projet'!$A$192,'Données projet'!$B$192,EJ108+EI109-ER108)))</f>
        <v>319.1858974358978</v>
      </c>
      <c r="EK109" s="17">
        <f>EJ109*VLOOKUP('Données projet'!$B$15,Paramètres!$A$1:$I$89,3,0)*VLOOKUP('Données projet'!$B$15,Paramètres!$A$1:$I$89,5,0)</f>
        <v>343.57170000000042</v>
      </c>
      <c r="EL109" s="13">
        <f t="shared" si="99"/>
        <v>80.237432842134936</v>
      </c>
      <c r="EM109" s="20">
        <f t="shared" si="73"/>
        <v>738.13423970005249</v>
      </c>
      <c r="EN109" s="59">
        <f t="shared" si="74"/>
        <v>1031.4675730333859</v>
      </c>
      <c r="EO109" s="59">
        <f ca="1">AVERAGE(OFFSET($EN$3,0,0,'Données projet'!$E$15+1,1))-AVERAGE(OFFSET($H$3,0,0,'Données projet'!$E$15+1,1))</f>
        <v>449.09332781196957</v>
      </c>
      <c r="EP109" s="59">
        <f t="shared" si="100"/>
        <v>324.85904971519432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50.896698978593754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50.896698978593754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6.9935897435897401</v>
      </c>
      <c r="FE109" s="12">
        <f>IF('Données projet'!$A$218&gt;35,FE108+FD109-FM108,IF(A109&lt;'Données projet'!$A$218,$FB$205^A109,IF(A109='Données projet'!$A$218,'Données projet'!$B$218,FE108+FD109-FM108)))</f>
        <v>319.1858974358978</v>
      </c>
      <c r="FF109" s="17">
        <f>FE109*VLOOKUP('Données projet'!$B$16,Paramètres!$A$1:$I$89,3,0)*VLOOKUP('Données projet'!$B$16,Paramètres!$A$1:$I$89,5,0)</f>
        <v>323.65450000000038</v>
      </c>
      <c r="FG109" s="13">
        <f t="shared" si="101"/>
        <v>76.113240192485776</v>
      </c>
      <c r="FH109" s="20">
        <f t="shared" si="76"/>
        <v>696.26214750191332</v>
      </c>
      <c r="FI109" s="59">
        <f t="shared" si="77"/>
        <v>989.59548083524669</v>
      </c>
      <c r="FJ109" s="59">
        <f ca="1">AVERAGE(OFFSET($FI$3,0,0,'Données projet'!$E$16+1,1))-AVERAGE(OFFSET($H$3,0,0,'Données projet'!$E$16+1,1))</f>
        <v>419.51168383014721</v>
      </c>
      <c r="FK109" s="59">
        <f t="shared" si="102"/>
        <v>213.44145308833384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47.946165704472413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47.946165704472413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266.99999999999983</v>
      </c>
      <c r="GA109" s="17">
        <f>FZ109*VLOOKUP('Données projet'!$B$17,Paramètres!$A$1:$I$89,3,0)*VLOOKUP('Données projet'!$B$17,Paramètres!$A$1:$I$89,5,0)</f>
        <v>233.2511999999999</v>
      </c>
      <c r="GB109" s="13">
        <f t="shared" si="103"/>
        <v>56.985091661350864</v>
      </c>
      <c r="GC109" s="20">
        <f t="shared" si="79"/>
        <v>505.49487464351915</v>
      </c>
      <c r="GD109" s="59">
        <f t="shared" si="80"/>
        <v>798.82820797685247</v>
      </c>
      <c r="GE109" s="59">
        <f ca="1">AVERAGE(OFFSET($GD$3,0,0,'Données projet'!$E$17+1,1))-AVERAGE(OFFSET($H$3,0,0,'Données projet'!$E$17+1,1))</f>
        <v>324.86930206492627</v>
      </c>
      <c r="GF109" s="59">
        <f t="shared" si="104"/>
        <v>317.03005098025352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18.891096931461465</v>
      </c>
      <c r="GM109" s="21">
        <f>EXP(-LN(2)/25)*GM108+(1-EXP(-LN(2)/25))/(LN(2)/25)*Calculateur!GH109*Calculateur!GJ109*VLOOKUP('Données projet'!$B$17,Paramètres!$A$1:$I$89,3,0)*0.475*44/12</f>
        <v>4.4476986803964396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23.338795611857904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6.9935897435897401</v>
      </c>
      <c r="GU109" s="12">
        <f>IF('Données projet'!$A$270&gt;35,GU108+GT109-HC108,IF(A109&lt;'Données projet'!$A$270,$GR$205^A109,IF(A109='Données projet'!$A$270,'Données projet'!$B$270,GU108+GT109-HC108)))</f>
        <v>319.1858974358978</v>
      </c>
      <c r="GV109" s="17">
        <f>GU109*VLOOKUP('Données projet'!$B$18,Paramètres!$A$1:$I$89,3,0)*VLOOKUP('Données projet'!$B$18,Paramètres!$A$1:$I$89,5,0)</f>
        <v>303.73730000000035</v>
      </c>
      <c r="GW109" s="13">
        <f t="shared" si="105"/>
        <v>71.959379670638114</v>
      </c>
      <c r="GX109" s="20">
        <f t="shared" si="82"/>
        <v>654.33838375969526</v>
      </c>
      <c r="GY109" s="59">
        <f t="shared" si="83"/>
        <v>947.67171709302852</v>
      </c>
      <c r="GZ109" s="59">
        <f ca="1">AVERAGE(OFFSET($GY$3,0,0,'Données projet'!$E$18+1,1))-AVERAGE(OFFSET($H$3,0,0,'Données projet'!$E$18+1,1))</f>
        <v>401.81944956556271</v>
      </c>
      <c r="HA109" s="59">
        <f t="shared" si="106"/>
        <v>292.20785523952651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44.995632430351016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44.995632430351016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326.17948717948752</v>
      </c>
      <c r="O110" s="13">
        <f>N110*VLOOKUP('Données projet'!$B$9,Paramètres!$A$1:$I$89,3,0)*VLOOKUP('Données projet'!$B$9,Paramètres!$A$1:$I$89,5,0)</f>
        <v>295.1272000000003</v>
      </c>
      <c r="P110" s="13">
        <f t="shared" si="87"/>
        <v>70.153965869482519</v>
      </c>
      <c r="Q110" s="20">
        <f t="shared" si="107"/>
        <v>636.19803055601596</v>
      </c>
      <c r="R110" s="59">
        <f t="shared" si="55"/>
        <v>929.53136388934922</v>
      </c>
      <c r="S110" s="59">
        <f ca="1">AVERAGE(OFFSET($R$3,0,0,'Données projet'!$E$9+1,1))-AVERAGE(OFFSET($H$3,0,0,'Données projet'!$E$9+1,1))</f>
        <v>384.05928630855732</v>
      </c>
      <c r="T110" s="59">
        <f t="shared" si="88"/>
        <v>279.93992813630513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-6.3550942286383367E-14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335.04906256888819</v>
      </c>
      <c r="AO110" s="59">
        <f t="shared" si="90"/>
        <v>440.84111898279554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80.932830283322318</v>
      </c>
      <c r="AV110" s="21">
        <f>EXP(-LN(2)/25)*AV109+(1-EXP(-LN(2)/25))/(LN(2)/25)*Calculateur!AQ110*Calculateur!AS110*VLOOKUP('Données projet'!$B$10,Paramètres!$A$1:$I$89,3,0)*0.475*44/12</f>
        <v>13.625046635354634</v>
      </c>
      <c r="AW110" s="21">
        <f>EXP(-LN(2)/2)*AW109+(1-EXP(-LN(2)/2))/(LN(2)/2)*AQ110*AT110*VLOOKUP('Données projet'!$B$10,Paramètres!$A$1:$I$89,3,0)*0.475*44/12</f>
        <v>5.0904309755731334E-7</v>
      </c>
      <c r="AX110" s="21">
        <f t="shared" si="60"/>
        <v>94.557877427720058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-1.4210854715202004E-13</v>
      </c>
      <c r="BE110" s="13">
        <f>BD110*VLOOKUP('Données projet'!$B$11,Paramètres!$A$1:$I$89,3,0)*VLOOKUP('Données projet'!$B$11,Paramètres!$A$1:$I$89,5,0)</f>
        <v>-8.128608897095547E-14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320.76883487964511</v>
      </c>
      <c r="BJ110" s="59">
        <f t="shared" si="92"/>
        <v>290.51177680335746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97.000925313379966</v>
      </c>
      <c r="BQ110" s="21">
        <f>EXP(-LN(2)/25)*BQ109+(1-EXP(-LN(2)/25))/(LN(2)/25)*Calculateur!BL110*Calculateur!BN110*VLOOKUP('Données projet'!$B$11,Paramètres!$A$1:$I$89,3,0)*0.475*44/12</f>
        <v>20.815696452270991</v>
      </c>
      <c r="BR110" s="21">
        <f>EXP(-LN(2)/2)*BR109+(1-EXP(-LN(2)/2))/(LN(2)/2)*BL110*BO110*VLOOKUP('Données projet'!$B$11,Paramètres!$A$1:$I$89,3,0)*0.475*44/12</f>
        <v>8.7897619158465418E-2</v>
      </c>
      <c r="BS110" s="22">
        <f t="shared" si="63"/>
        <v>117.90451938480942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304.99999999999983</v>
      </c>
      <c r="BZ110" s="13">
        <f>BY110*VLOOKUP('Données projet'!$B$12,Paramètres!$A$1:$I$89,3,0)*VLOOKUP('Données projet'!$B$12,Paramètres!$A$1:$I$89,5,0)</f>
        <v>275.96399999999983</v>
      </c>
      <c r="CA110" s="13">
        <f t="shared" si="93"/>
        <v>66.113366665488854</v>
      </c>
      <c r="CB110" s="20">
        <f t="shared" si="64"/>
        <v>595.78474694239264</v>
      </c>
      <c r="CC110" s="59">
        <f t="shared" si="65"/>
        <v>889.11808027572602</v>
      </c>
      <c r="CD110" s="59">
        <f ca="1">AVERAGE(OFFSET($CC$3,0,0,'Données projet'!$E$12+1,1))-AVERAGE(OFFSET($H$3,0,0,'Données projet'!$E$12+1,1))</f>
        <v>366.69125512029831</v>
      </c>
      <c r="CE110" s="59">
        <f t="shared" si="94"/>
        <v>513.80016421153414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0.35176047853795256</v>
      </c>
      <c r="CL110" s="21">
        <f>EXP(-LN(2)/25)*CL109+(1-EXP(-LN(2)/25))/(LN(2)/25)*Calculateur!CG110*Calculateur!CI110*VLOOKUP('Données projet'!$B$12,Paramètres!$A$1:$I$89,3,0)*0.475*44/12</f>
        <v>0.87309346565614721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1.2248539441940998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6.9935897435897401</v>
      </c>
      <c r="CT110" s="12">
        <f>IF('Données projet'!$A$140&gt;35,CT109+CS110-DB109,IF(A110&lt;'Données projet'!$A$140,$CQ$205^A110,IF(A110='Données projet'!$A$140,'Données projet'!$B$140,CT109+CS110-DB109)))</f>
        <v>326.17948717948752</v>
      </c>
      <c r="CU110" s="17">
        <f>CT110*VLOOKUP('Données projet'!$B$13,Paramètres!$A$1:$I$89,3,0)*VLOOKUP('Données projet'!$B$13,Paramètres!$A$1:$I$89,5,0)</f>
        <v>218.80120000000022</v>
      </c>
      <c r="CV110" s="13">
        <f t="shared" si="95"/>
        <v>53.854249664488975</v>
      </c>
      <c r="CW110" s="20">
        <f t="shared" si="67"/>
        <v>474.87490816565196</v>
      </c>
      <c r="CX110" s="59">
        <f t="shared" si="68"/>
        <v>768.20824149898522</v>
      </c>
      <c r="CY110" s="59">
        <f ca="1">AVERAGE(OFFSET($CX$3,0,0,'Données projet'!$E$13+1,1))-AVERAGE(OFFSET($H$3,0,0,'Données projet'!$E$13+1,1))</f>
        <v>294.94331863127815</v>
      </c>
      <c r="CZ110" s="59">
        <f t="shared" si="96"/>
        <v>218.36990036643977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38.327945290490774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38.327945290490774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266.99999999999983</v>
      </c>
      <c r="DP110" s="17">
        <f>DO110*VLOOKUP('Données projet'!$B$14,Paramètres!$A$1:$I$89,3,0)*VLOOKUP('Données projet'!$B$14,Paramètres!$A$1:$I$89,5,0)</f>
        <v>195.76439999999985</v>
      </c>
      <c r="DQ110" s="13">
        <f t="shared" si="97"/>
        <v>48.812154563023455</v>
      </c>
      <c r="DR110" s="20">
        <f t="shared" si="70"/>
        <v>425.9708325305989</v>
      </c>
      <c r="DS110" s="59">
        <f t="shared" si="71"/>
        <v>719.30416586393221</v>
      </c>
      <c r="DT110" s="59">
        <f ca="1">AVERAGE(OFFSET($DS$3,0,0,'Données projet'!$E$14+1,1))-AVERAGE(OFFSET($H$3,0,0,'Données projet'!$E$14+1,1))</f>
        <v>278.45534008146865</v>
      </c>
      <c r="DU110" s="59">
        <f t="shared" si="98"/>
        <v>272.97841038165217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12.611267459918523</v>
      </c>
      <c r="EB110" s="21">
        <f>EXP(-LN(2)/25)*EB109+(1-EXP(-LN(2)/25))/(LN(2)/25)*Calculateur!DW110*Calculateur!DY110*VLOOKUP('Données projet'!$B$14,Paramètres!$A$1:$I$89,3,0)*0.475*44/12</f>
        <v>2.9457546667187313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15.557022126637253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6.9935897435897401</v>
      </c>
      <c r="EJ110" s="12">
        <f>IF('Données projet'!$A$192&gt;35,EJ109+EI110-ER109,IF(A110&lt;'Données projet'!$A$192,$EG$205^A110,IF(A110='Données projet'!$A$192,'Données projet'!$B$192,EJ109+EI110-ER109)))</f>
        <v>326.17948717948752</v>
      </c>
      <c r="EK110" s="17">
        <f>EJ110*VLOOKUP('Données projet'!$B$15,Paramètres!$A$1:$I$89,3,0)*VLOOKUP('Données projet'!$B$15,Paramètres!$A$1:$I$89,5,0)</f>
        <v>351.09960000000035</v>
      </c>
      <c r="EL110" s="13">
        <f t="shared" si="99"/>
        <v>81.788888946068113</v>
      </c>
      <c r="EM110" s="20">
        <f t="shared" si="73"/>
        <v>753.94745158106923</v>
      </c>
      <c r="EN110" s="59">
        <f t="shared" si="74"/>
        <v>1047.2807849144026</v>
      </c>
      <c r="EO110" s="59">
        <f ca="1">AVERAGE(OFFSET($EN$3,0,0,'Données projet'!$E$15+1,1))-AVERAGE(OFFSET($H$3,0,0,'Données projet'!$E$15+1,1))</f>
        <v>449.09332781196957</v>
      </c>
      <c r="EP110" s="59">
        <f t="shared" si="100"/>
        <v>324.85904971519432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49.898645755544578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49.898645755544578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6.9935897435897401</v>
      </c>
      <c r="FE110" s="12">
        <f>IF('Données projet'!$A$218&gt;35,FE109+FD110-FM109,IF(A110&lt;'Données projet'!$A$218,$FB$205^A110,IF(A110='Données projet'!$A$218,'Données projet'!$B$218,FE109+FD110-FM109)))</f>
        <v>326.17948717948752</v>
      </c>
      <c r="FF110" s="17">
        <f>FE110*VLOOKUP('Données projet'!$B$16,Paramètres!$A$1:$I$89,3,0)*VLOOKUP('Données projet'!$B$16,Paramètres!$A$1:$I$89,5,0)</f>
        <v>330.74600000000038</v>
      </c>
      <c r="FG110" s="13">
        <f t="shared" si="101"/>
        <v>77.584951673074755</v>
      </c>
      <c r="FH110" s="20">
        <f t="shared" si="76"/>
        <v>711.17640749727252</v>
      </c>
      <c r="FI110" s="59">
        <f t="shared" si="77"/>
        <v>1004.5097408306058</v>
      </c>
      <c r="FJ110" s="59">
        <f ca="1">AVERAGE(OFFSET($FI$3,0,0,'Données projet'!$E$16+1,1))-AVERAGE(OFFSET($H$3,0,0,'Données projet'!$E$16+1,1))</f>
        <v>419.51168383014721</v>
      </c>
      <c r="FK110" s="59">
        <f t="shared" si="102"/>
        <v>213.44145308833384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47.005970639281159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47.005970639281159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266.99999999999983</v>
      </c>
      <c r="GA110" s="17">
        <f>FZ110*VLOOKUP('Données projet'!$B$17,Paramètres!$A$1:$I$89,3,0)*VLOOKUP('Données projet'!$B$17,Paramètres!$A$1:$I$89,5,0)</f>
        <v>233.2511999999999</v>
      </c>
      <c r="GB110" s="13">
        <f t="shared" si="103"/>
        <v>56.985091661350864</v>
      </c>
      <c r="GC110" s="20">
        <f t="shared" si="79"/>
        <v>505.49487464351915</v>
      </c>
      <c r="GD110" s="59">
        <f t="shared" si="80"/>
        <v>798.82820797685247</v>
      </c>
      <c r="GE110" s="59">
        <f ca="1">AVERAGE(OFFSET($GD$3,0,0,'Données projet'!$E$17+1,1))-AVERAGE(OFFSET($H$3,0,0,'Données projet'!$E$17+1,1))</f>
        <v>324.86930206492627</v>
      </c>
      <c r="GF110" s="59">
        <f t="shared" si="104"/>
        <v>317.03005098025352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18.520654043066887</v>
      </c>
      <c r="GM110" s="21">
        <f>EXP(-LN(2)/25)*GM109+(1-EXP(-LN(2)/25))/(LN(2)/25)*Calculateur!GH110*Calculateur!GJ110*VLOOKUP('Données projet'!$B$17,Paramètres!$A$1:$I$89,3,0)*0.475*44/12</f>
        <v>4.3260761260866909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22.846730169153577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6.9935897435897401</v>
      </c>
      <c r="GU110" s="12">
        <f>IF('Données projet'!$A$270&gt;35,GU109+GT110-HC109,IF(A110&lt;'Données projet'!$A$270,$GR$205^A110,IF(A110='Données projet'!$A$270,'Données projet'!$B$270,GU109+GT110-HC109)))</f>
        <v>326.17948717948752</v>
      </c>
      <c r="GV110" s="17">
        <f>GU110*VLOOKUP('Données projet'!$B$18,Paramètres!$A$1:$I$89,3,0)*VLOOKUP('Données projet'!$B$18,Paramètres!$A$1:$I$89,5,0)</f>
        <v>310.39240000000029</v>
      </c>
      <c r="GW110" s="13">
        <f t="shared" si="105"/>
        <v>73.350772875414592</v>
      </c>
      <c r="GX110" s="20">
        <f t="shared" si="82"/>
        <v>668.3526927580142</v>
      </c>
      <c r="GY110" s="59">
        <f t="shared" si="83"/>
        <v>961.68602609134746</v>
      </c>
      <c r="GZ110" s="59">
        <f ca="1">AVERAGE(OFFSET($GY$3,0,0,'Données projet'!$E$18+1,1))-AVERAGE(OFFSET($H$3,0,0,'Données projet'!$E$18+1,1))</f>
        <v>401.81944956556271</v>
      </c>
      <c r="HA110" s="59">
        <f t="shared" si="106"/>
        <v>292.20785523952651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44.113295523017683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44.113295523017683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333.17307692307725</v>
      </c>
      <c r="O111" s="13">
        <f>N111*VLOOKUP('Données projet'!$B$9,Paramètres!$A$1:$I$89,3,0)*VLOOKUP('Données projet'!$B$9,Paramètres!$A$1:$I$89,5,0)</f>
        <v>301.45500000000027</v>
      </c>
      <c r="P111" s="13">
        <f t="shared" si="87"/>
        <v>71.481401418760342</v>
      </c>
      <c r="Q111" s="20">
        <f t="shared" si="107"/>
        <v>649.53089913767474</v>
      </c>
      <c r="R111" s="59">
        <f t="shared" si="55"/>
        <v>942.86423247100811</v>
      </c>
      <c r="S111" s="59">
        <f ca="1">AVERAGE(OFFSET($R$3,0,0,'Données projet'!$E$9+1,1))-AVERAGE(OFFSET($H$3,0,0,'Données projet'!$E$9+1,1))</f>
        <v>384.05928630855732</v>
      </c>
      <c r="T111" s="59">
        <f t="shared" si="88"/>
        <v>279.93992813630513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-6.3550942286383367E-14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335.04906256888819</v>
      </c>
      <c r="AO111" s="59">
        <f t="shared" si="90"/>
        <v>440.84111898279554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79.345786845618534</v>
      </c>
      <c r="AV111" s="21">
        <f>EXP(-LN(2)/25)*AV110+(1-EXP(-LN(2)/25))/(LN(2)/25)*Calculateur!AQ111*Calculateur!AS111*VLOOKUP('Données projet'!$B$10,Paramètres!$A$1:$I$89,3,0)*0.475*44/12</f>
        <v>13.252469018600799</v>
      </c>
      <c r="AW111" s="21">
        <f>EXP(-LN(2)/2)*AW110+(1-EXP(-LN(2)/2))/(LN(2)/2)*AQ111*AT111*VLOOKUP('Données projet'!$B$10,Paramètres!$A$1:$I$89,3,0)*0.475*44/12</f>
        <v>3.5994782619898153E-7</v>
      </c>
      <c r="AX111" s="21">
        <f t="shared" si="60"/>
        <v>92.598256224167159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-1.4210854715202004E-13</v>
      </c>
      <c r="BE111" s="13">
        <f>BD111*VLOOKUP('Données projet'!$B$11,Paramètres!$A$1:$I$89,3,0)*VLOOKUP('Données projet'!$B$11,Paramètres!$A$1:$I$89,5,0)</f>
        <v>-8.128608897095547E-14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320.76883487964511</v>
      </c>
      <c r="BJ111" s="59">
        <f t="shared" si="92"/>
        <v>290.51177680335746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95.098796332706996</v>
      </c>
      <c r="BQ111" s="21">
        <f>EXP(-LN(2)/25)*BQ110+(1-EXP(-LN(2)/25))/(LN(2)/25)*Calculateur!BL111*Calculateur!BN111*VLOOKUP('Données projet'!$B$11,Paramètres!$A$1:$I$89,3,0)*0.475*44/12</f>
        <v>20.246490138133741</v>
      </c>
      <c r="BR111" s="21">
        <f>EXP(-LN(2)/2)*BR110+(1-EXP(-LN(2)/2))/(LN(2)/2)*BL111*BO111*VLOOKUP('Données projet'!$B$11,Paramètres!$A$1:$I$89,3,0)*0.475*44/12</f>
        <v>6.2153002557103501E-2</v>
      </c>
      <c r="BS111" s="22">
        <f t="shared" si="63"/>
        <v>115.40743947339784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304.99999999999983</v>
      </c>
      <c r="BZ111" s="13">
        <f>BY111*VLOOKUP('Données projet'!$B$12,Paramètres!$A$1:$I$89,3,0)*VLOOKUP('Données projet'!$B$12,Paramètres!$A$1:$I$89,5,0)</f>
        <v>275.96399999999983</v>
      </c>
      <c r="CA111" s="13">
        <f t="shared" si="93"/>
        <v>66.113366665488854</v>
      </c>
      <c r="CB111" s="20">
        <f t="shared" si="64"/>
        <v>595.78474694239264</v>
      </c>
      <c r="CC111" s="59">
        <f t="shared" si="65"/>
        <v>889.11808027572602</v>
      </c>
      <c r="CD111" s="59">
        <f ca="1">AVERAGE(OFFSET($CC$3,0,0,'Données projet'!$E$12+1,1))-AVERAGE(OFFSET($H$3,0,0,'Données projet'!$E$12+1,1))</f>
        <v>366.69125512029831</v>
      </c>
      <c r="CE111" s="59">
        <f t="shared" si="94"/>
        <v>513.80016421153414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0.34486267010652988</v>
      </c>
      <c r="CL111" s="21">
        <f>EXP(-LN(2)/25)*CL110+(1-EXP(-LN(2)/25))/(LN(2)/25)*Calculateur!CG111*Calculateur!CI111*VLOOKUP('Données projet'!$B$12,Paramètres!$A$1:$I$89,3,0)*0.475*44/12</f>
        <v>0.84921867892378999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1.1940813490303199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6.9935897435897401</v>
      </c>
      <c r="CT111" s="12">
        <f>IF('Données projet'!$A$140&gt;35,CT110+CS111-DB110,IF(A111&lt;'Données projet'!$A$140,$CQ$205^A111,IF(A111='Données projet'!$A$140,'Données projet'!$B$140,CT110+CS111-DB110)))</f>
        <v>333.17307692307725</v>
      </c>
      <c r="CU111" s="17">
        <f>CT111*VLOOKUP('Données projet'!$B$13,Paramètres!$A$1:$I$89,3,0)*VLOOKUP('Données projet'!$B$13,Paramètres!$A$1:$I$89,5,0)</f>
        <v>223.49250000000021</v>
      </c>
      <c r="CV111" s="13">
        <f t="shared" si="95"/>
        <v>54.873266117775856</v>
      </c>
      <c r="CW111" s="20">
        <f t="shared" si="67"/>
        <v>484.82037598845983</v>
      </c>
      <c r="CX111" s="59">
        <f t="shared" si="68"/>
        <v>778.15370932179314</v>
      </c>
      <c r="CY111" s="59">
        <f ca="1">AVERAGE(OFFSET($CX$3,0,0,'Données projet'!$E$13+1,1))-AVERAGE(OFFSET($H$3,0,0,'Données projet'!$E$13+1,1))</f>
        <v>294.94331863127815</v>
      </c>
      <c r="CZ111" s="59">
        <f t="shared" si="96"/>
        <v>218.36990036643977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37.576357661082518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37.576357661082518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266.99999999999983</v>
      </c>
      <c r="DP111" s="17">
        <f>DO111*VLOOKUP('Données projet'!$B$14,Paramètres!$A$1:$I$89,3,0)*VLOOKUP('Données projet'!$B$14,Paramètres!$A$1:$I$89,5,0)</f>
        <v>195.76439999999985</v>
      </c>
      <c r="DQ111" s="13">
        <f t="shared" si="97"/>
        <v>48.812154563023455</v>
      </c>
      <c r="DR111" s="20">
        <f t="shared" si="70"/>
        <v>425.9708325305989</v>
      </c>
      <c r="DS111" s="59">
        <f t="shared" si="71"/>
        <v>719.30416586393221</v>
      </c>
      <c r="DT111" s="59">
        <f ca="1">AVERAGE(OFFSET($DS$3,0,0,'Données projet'!$E$14+1,1))-AVERAGE(OFFSET($H$3,0,0,'Données projet'!$E$14+1,1))</f>
        <v>278.45534008146865</v>
      </c>
      <c r="DU111" s="59">
        <f t="shared" si="98"/>
        <v>272.97841038165217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12.363968197143137</v>
      </c>
      <c r="EB111" s="21">
        <f>EXP(-LN(2)/25)*EB110+(1-EXP(-LN(2)/25))/(LN(2)/25)*Calculateur!DW111*Calculateur!DY111*VLOOKUP('Données projet'!$B$14,Paramètres!$A$1:$I$89,3,0)*0.475*44/12</f>
        <v>2.8652028504468023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15.22917104758994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6.9935897435897401</v>
      </c>
      <c r="EJ111" s="12">
        <f>IF('Données projet'!$A$192&gt;35,EJ110+EI111-ER110,IF(A111&lt;'Données projet'!$A$192,$EG$205^A111,IF(A111='Données projet'!$A$192,'Données projet'!$B$192,EJ110+EI111-ER110)))</f>
        <v>333.17307692307725</v>
      </c>
      <c r="EK111" s="17">
        <f>EJ111*VLOOKUP('Données projet'!$B$15,Paramètres!$A$1:$I$89,3,0)*VLOOKUP('Données projet'!$B$15,Paramètres!$A$1:$I$89,5,0)</f>
        <v>358.62750000000034</v>
      </c>
      <c r="EL111" s="13">
        <f t="shared" si="99"/>
        <v>83.336477558876226</v>
      </c>
      <c r="EM111" s="20">
        <f t="shared" si="73"/>
        <v>769.75392758170995</v>
      </c>
      <c r="EN111" s="59">
        <f t="shared" si="74"/>
        <v>1063.0872609150433</v>
      </c>
      <c r="EO111" s="59">
        <f ca="1">AVERAGE(OFFSET($EN$3,0,0,'Données projet'!$E$15+1,1))-AVERAGE(OFFSET($H$3,0,0,'Données projet'!$E$15+1,1))</f>
        <v>449.09332781196957</v>
      </c>
      <c r="EP111" s="59">
        <f t="shared" si="100"/>
        <v>324.85904971519432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48.920163747447035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48.920163747447035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6.9935897435897401</v>
      </c>
      <c r="FE111" s="12">
        <f>IF('Données projet'!$A$218&gt;35,FE110+FD111-FM110,IF(A111&lt;'Données projet'!$A$218,$FB$205^A111,IF(A111='Données projet'!$A$218,'Données projet'!$B$218,FE110+FD111-FM110)))</f>
        <v>333.17307692307725</v>
      </c>
      <c r="FF111" s="17">
        <f>FE111*VLOOKUP('Données projet'!$B$16,Paramètres!$A$1:$I$89,3,0)*VLOOKUP('Données projet'!$B$16,Paramètres!$A$1:$I$89,5,0)</f>
        <v>337.83750000000038</v>
      </c>
      <c r="FG111" s="13">
        <f t="shared" si="101"/>
        <v>79.052994451033314</v>
      </c>
      <c r="FH111" s="20">
        <f t="shared" si="76"/>
        <v>726.08427783555044</v>
      </c>
      <c r="FI111" s="59">
        <f t="shared" si="77"/>
        <v>1019.4176111688837</v>
      </c>
      <c r="FJ111" s="59">
        <f ca="1">AVERAGE(OFFSET($FI$3,0,0,'Données projet'!$E$16+1,1))-AVERAGE(OFFSET($H$3,0,0,'Données projet'!$E$16+1,1))</f>
        <v>419.51168383014721</v>
      </c>
      <c r="FK111" s="59">
        <f t="shared" si="102"/>
        <v>213.44145308833384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46.084212225855936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46.084212225855936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266.99999999999983</v>
      </c>
      <c r="GA111" s="17">
        <f>FZ111*VLOOKUP('Données projet'!$B$17,Paramètres!$A$1:$I$89,3,0)*VLOOKUP('Données projet'!$B$17,Paramètres!$A$1:$I$89,5,0)</f>
        <v>233.2511999999999</v>
      </c>
      <c r="GB111" s="13">
        <f t="shared" si="103"/>
        <v>56.985091661350864</v>
      </c>
      <c r="GC111" s="20">
        <f t="shared" si="79"/>
        <v>505.49487464351915</v>
      </c>
      <c r="GD111" s="59">
        <f t="shared" si="80"/>
        <v>798.82820797685247</v>
      </c>
      <c r="GE111" s="59">
        <f ca="1">AVERAGE(OFFSET($GD$3,0,0,'Données projet'!$E$17+1,1))-AVERAGE(OFFSET($H$3,0,0,'Données projet'!$E$17+1,1))</f>
        <v>324.86930206492627</v>
      </c>
      <c r="GF111" s="59">
        <f t="shared" si="104"/>
        <v>317.03005098025352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18.157475313765875</v>
      </c>
      <c r="GM111" s="21">
        <f>EXP(-LN(2)/25)*GM110+(1-EXP(-LN(2)/25))/(LN(2)/25)*Calculateur!GH111*Calculateur!GJ111*VLOOKUP('Données projet'!$B$17,Paramètres!$A$1:$I$89,3,0)*0.475*44/12</f>
        <v>4.2077793469203941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22.365254660686269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6.9935897435897401</v>
      </c>
      <c r="GU111" s="12">
        <f>IF('Données projet'!$A$270&gt;35,GU110+GT111-HC110,IF(A111&lt;'Données projet'!$A$270,$GR$205^A111,IF(A111='Données projet'!$A$270,'Données projet'!$B$270,GU110+GT111-HC110)))</f>
        <v>333.17307692307725</v>
      </c>
      <c r="GV111" s="17">
        <f>GU111*VLOOKUP('Données projet'!$B$18,Paramètres!$A$1:$I$89,3,0)*VLOOKUP('Données projet'!$B$18,Paramètres!$A$1:$I$89,5,0)</f>
        <v>317.0475000000003</v>
      </c>
      <c r="GW111" s="13">
        <f t="shared" si="105"/>
        <v>74.738697596063702</v>
      </c>
      <c r="GX111" s="20">
        <f t="shared" si="82"/>
        <v>682.36096081314474</v>
      </c>
      <c r="GY111" s="59">
        <f t="shared" si="83"/>
        <v>975.69429414647811</v>
      </c>
      <c r="GZ111" s="59">
        <f ca="1">AVERAGE(OFFSET($GY$3,0,0,'Données projet'!$E$18+1,1))-AVERAGE(OFFSET($H$3,0,0,'Données projet'!$E$18+1,1))</f>
        <v>401.81944956556271</v>
      </c>
      <c r="HA111" s="59">
        <f t="shared" si="106"/>
        <v>292.20785523952651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43.248260704264787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43.248260704264787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340.16666666666697</v>
      </c>
      <c r="O112" s="13">
        <f>N112*VLOOKUP('Données projet'!$B$9,Paramètres!$A$1:$I$89,3,0)*VLOOKUP('Données projet'!$B$9,Paramètres!$A$1:$I$89,5,0)</f>
        <v>307.78280000000024</v>
      </c>
      <c r="P112" s="13">
        <f t="shared" si="87"/>
        <v>72.805597304306232</v>
      </c>
      <c r="Q112" s="20">
        <f t="shared" si="107"/>
        <v>662.85812530500039</v>
      </c>
      <c r="R112" s="59">
        <f t="shared" si="55"/>
        <v>956.19145863833364</v>
      </c>
      <c r="S112" s="59">
        <f ca="1">AVERAGE(OFFSET($R$3,0,0,'Données projet'!$E$9+1,1))-AVERAGE(OFFSET($H$3,0,0,'Données projet'!$E$9+1,1))</f>
        <v>384.05928630855732</v>
      </c>
      <c r="T112" s="59">
        <f t="shared" si="88"/>
        <v>279.93992813630513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-6.3550942286383367E-14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335.04906256888819</v>
      </c>
      <c r="AO112" s="59">
        <f t="shared" si="90"/>
        <v>440.84111898279554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77.789864361727211</v>
      </c>
      <c r="AV112" s="21">
        <f>EXP(-LN(2)/25)*AV111+(1-EXP(-LN(2)/25))/(LN(2)/25)*Calculateur!AQ112*Calculateur!AS112*VLOOKUP('Données projet'!$B$10,Paramètres!$A$1:$I$89,3,0)*0.475*44/12</f>
        <v>12.890079556370104</v>
      </c>
      <c r="AW112" s="21">
        <f>EXP(-LN(2)/2)*AW111+(1-EXP(-LN(2)/2))/(LN(2)/2)*AQ112*AT112*VLOOKUP('Données projet'!$B$10,Paramètres!$A$1:$I$89,3,0)*0.475*44/12</f>
        <v>2.5452154877865667E-7</v>
      </c>
      <c r="AX112" s="21">
        <f t="shared" si="60"/>
        <v>90.67994417261886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-1.4210854715202004E-13</v>
      </c>
      <c r="BE112" s="13">
        <f>BD112*VLOOKUP('Données projet'!$B$11,Paramètres!$A$1:$I$89,3,0)*VLOOKUP('Données projet'!$B$11,Paramètres!$A$1:$I$89,5,0)</f>
        <v>-8.128608897095547E-14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320.76883487964511</v>
      </c>
      <c r="BJ112" s="59">
        <f t="shared" si="92"/>
        <v>290.51177680335746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93.233966941160901</v>
      </c>
      <c r="BQ112" s="21">
        <f>EXP(-LN(2)/25)*BQ111+(1-EXP(-LN(2)/25))/(LN(2)/25)*Calculateur!BL112*Calculateur!BN112*VLOOKUP('Données projet'!$B$11,Paramètres!$A$1:$I$89,3,0)*0.475*44/12</f>
        <v>19.692848800589832</v>
      </c>
      <c r="BR112" s="21">
        <f>EXP(-LN(2)/2)*BR111+(1-EXP(-LN(2)/2))/(LN(2)/2)*BL112*BO112*VLOOKUP('Données projet'!$B$11,Paramètres!$A$1:$I$89,3,0)*0.475*44/12</f>
        <v>4.3948809579232716E-2</v>
      </c>
      <c r="BS112" s="22">
        <f t="shared" si="63"/>
        <v>112.97076455132996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304.99999999999983</v>
      </c>
      <c r="BZ112" s="13">
        <f>BY112*VLOOKUP('Données projet'!$B$12,Paramètres!$A$1:$I$89,3,0)*VLOOKUP('Données projet'!$B$12,Paramètres!$A$1:$I$89,5,0)</f>
        <v>275.96399999999983</v>
      </c>
      <c r="CA112" s="13">
        <f t="shared" si="93"/>
        <v>66.113366665488854</v>
      </c>
      <c r="CB112" s="20">
        <f t="shared" si="64"/>
        <v>595.78474694239264</v>
      </c>
      <c r="CC112" s="59">
        <f t="shared" si="65"/>
        <v>889.11808027572602</v>
      </c>
      <c r="CD112" s="59">
        <f ca="1">AVERAGE(OFFSET($CC$3,0,0,'Données projet'!$E$12+1,1))-AVERAGE(OFFSET($H$3,0,0,'Données projet'!$E$12+1,1))</f>
        <v>366.69125512029831</v>
      </c>
      <c r="CE112" s="59">
        <f t="shared" si="94"/>
        <v>513.80016421153414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0.33810012349119972</v>
      </c>
      <c r="CL112" s="21">
        <f>EXP(-LN(2)/25)*CL111+(1-EXP(-LN(2)/25))/(LN(2)/25)*Calculateur!CG112*Calculateur!CI112*VLOOKUP('Données projet'!$B$12,Paramètres!$A$1:$I$89,3,0)*0.475*44/12</f>
        <v>0.82599674949014956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1.1640968729813492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>
        <f>VLOOKUP(A112,'Données projet'!$A$139:$I$159,2,0)</f>
        <v>340.16666666666663</v>
      </c>
      <c r="CR112" s="12">
        <f>VLOOKUP(A112,'Données projet'!$A$139:$I$159,9,0)</f>
        <v>6.9935897435897401</v>
      </c>
      <c r="CS112" s="12">
        <f t="array" ref="CS112">INDEX(CR:CR,MIN(IF(ISNUMBER(CR112:CR308),ROW(CR112:CR308),"")))</f>
        <v>6.9935897435897401</v>
      </c>
      <c r="CT112" s="12">
        <f>IF('Données projet'!$A$140&gt;35,CT111+CS112-DB111,IF(A112&lt;'Données projet'!$A$140,$CQ$205^A112,IF(A112='Données projet'!$A$140,'Données projet'!$B$140,CT111+CS112-DB111)))</f>
        <v>340.16666666666697</v>
      </c>
      <c r="CU112" s="17">
        <f>CT112*VLOOKUP('Données projet'!$B$13,Paramètres!$A$1:$I$89,3,0)*VLOOKUP('Données projet'!$B$13,Paramètres!$A$1:$I$89,5,0)</f>
        <v>228.18380000000019</v>
      </c>
      <c r="CV112" s="13">
        <f t="shared" si="95"/>
        <v>55.889795617441671</v>
      </c>
      <c r="CW112" s="20">
        <f t="shared" si="67"/>
        <v>494.76151236704459</v>
      </c>
      <c r="CX112" s="59">
        <f t="shared" si="68"/>
        <v>788.09484570037785</v>
      </c>
      <c r="CY112" s="59">
        <f ca="1">AVERAGE(OFFSET($CX$3,0,0,'Données projet'!$E$13+1,1))-AVERAGE(OFFSET($H$3,0,0,'Données projet'!$E$13+1,1))</f>
        <v>294.94331863127815</v>
      </c>
      <c r="CZ112" s="59">
        <f t="shared" si="96"/>
        <v>218.36990036643977</v>
      </c>
      <c r="DA112" s="15">
        <f>IF(ISNA(VLOOKUP(A112,'Données projet'!$A$139:$I$159,3,0)),0,VLOOKUP(A112,'Données projet'!$A$139:$I$159,3,0))</f>
        <v>10</v>
      </c>
      <c r="DB112" s="15">
        <f>IF(ISNA(VLOOKUP(A112,'Données projet'!$A$139:$I$159,4,0)),0,VLOOKUP(A112,'Données projet'!$A$139:$I$159,4,0))</f>
        <v>51.28846153846154</v>
      </c>
      <c r="DC112" s="16">
        <f>IF(ISNA(VLOOKUP(A112,'Données projet'!$A$139:$I$159,5,0)),0%,VLOOKUP(A112,'Données projet'!$A$139:$I$159,5,0)*VLOOKUP('Données projet'!$B$13,Paramètres!$A$1:$I$89,7,0))</f>
        <v>0.47700000000000004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54.981218000639501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54.981218000639501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266.99999999999983</v>
      </c>
      <c r="DP112" s="17">
        <f>DO112*VLOOKUP('Données projet'!$B$14,Paramètres!$A$1:$I$89,3,0)*VLOOKUP('Données projet'!$B$14,Paramètres!$A$1:$I$89,5,0)</f>
        <v>195.76439999999985</v>
      </c>
      <c r="DQ112" s="13">
        <f t="shared" si="97"/>
        <v>48.812154563023455</v>
      </c>
      <c r="DR112" s="20">
        <f t="shared" si="70"/>
        <v>425.9708325305989</v>
      </c>
      <c r="DS112" s="59">
        <f t="shared" si="71"/>
        <v>719.30416586393221</v>
      </c>
      <c r="DT112" s="59">
        <f ca="1">AVERAGE(OFFSET($DS$3,0,0,'Données projet'!$E$14+1,1))-AVERAGE(OFFSET($H$3,0,0,'Données projet'!$E$14+1,1))</f>
        <v>278.45534008146865</v>
      </c>
      <c r="DU112" s="59">
        <f t="shared" si="98"/>
        <v>272.97841038165217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12.121518322073122</v>
      </c>
      <c r="EB112" s="21">
        <f>EXP(-LN(2)/25)*EB111+(1-EXP(-LN(2)/25))/(LN(2)/25)*Calculateur!DW112*Calculateur!DY112*VLOOKUP('Données projet'!$B$14,Paramètres!$A$1:$I$89,3,0)*0.475*44/12</f>
        <v>2.7868537278268652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14.908372049899988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>
        <f>VLOOKUP(A112,'Données projet'!$A$191:$I$211,2,0)</f>
        <v>340.16666666666663</v>
      </c>
      <c r="EH112" s="12">
        <f>VLOOKUP(A112,'Données projet'!$A$191:$I$211,9,0)</f>
        <v>6.9935897435897401</v>
      </c>
      <c r="EI112" s="12">
        <f t="array" ref="EI112">INDEX(EH:EH,MIN(IF(ISNUMBER(EH112:EH308),ROW(EH112:EH308),"")))</f>
        <v>6.9935897435897401</v>
      </c>
      <c r="EJ112" s="12">
        <f>IF('Données projet'!$A$192&gt;35,EJ111+EI112-ER111,IF(A112&lt;'Données projet'!$A$192,$EG$205^A112,IF(A112='Données projet'!$A$192,'Données projet'!$B$192,EJ111+EI112-ER111)))</f>
        <v>340.16666666666697</v>
      </c>
      <c r="EK112" s="17">
        <f>EJ112*VLOOKUP('Données projet'!$B$15,Paramètres!$A$1:$I$89,3,0)*VLOOKUP('Données projet'!$B$15,Paramètres!$A$1:$I$89,5,0)</f>
        <v>366.15540000000033</v>
      </c>
      <c r="EL112" s="13">
        <f t="shared" si="99"/>
        <v>84.880289214902248</v>
      </c>
      <c r="EM112" s="20">
        <f t="shared" si="73"/>
        <v>785.55382538262199</v>
      </c>
      <c r="EN112" s="59">
        <f t="shared" si="74"/>
        <v>1078.8871587159554</v>
      </c>
      <c r="EO112" s="59">
        <f ca="1">AVERAGE(OFFSET($EN$3,0,0,'Données projet'!$E$15+1,1))-AVERAGE(OFFSET($H$3,0,0,'Données projet'!$E$15+1,1))</f>
        <v>449.09332781196957</v>
      </c>
      <c r="EP112" s="59">
        <f t="shared" si="100"/>
        <v>324.85904971519432</v>
      </c>
      <c r="EQ112" s="15">
        <f>IF(ISNA(VLOOKUP(A112,'Données projet'!$A$191:$I$211,3,0)),0,VLOOKUP(A112,'Données projet'!$A$191:$I$211,3,0))</f>
        <v>10</v>
      </c>
      <c r="ER112" s="15">
        <f>IF(ISNA(VLOOKUP(A112,'Données projet'!$A$191:$I$211,4,0)),0,VLOOKUP(A112,'Données projet'!$A$191:$I$211,4,0))</f>
        <v>51.28846153846154</v>
      </c>
      <c r="ES112" s="16">
        <f>IF(ISNA(VLOOKUP(A112,'Données projet'!$A$191:$I$211,5,0)),0%,VLOOKUP(A112,'Données projet'!$A$191:$I$211,5,0)*VLOOKUP('Données projet'!$B$15,Paramètres!$A$1:$I$89,7,0))</f>
        <v>0.38700000000000001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71.579321548002355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71.579321548002355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>
        <f>VLOOKUP(A112,'Données projet'!$A$217:$I$237,2,0)</f>
        <v>340.16666666666663</v>
      </c>
      <c r="FC112" s="12">
        <f>VLOOKUP(A112,'Données projet'!$A$217:$I$237,9,0)</f>
        <v>6.9935897435897401</v>
      </c>
      <c r="FD112" s="12">
        <f t="array" ref="FD112">INDEX(FC:FC,MIN(IF(ISNUMBER(FC112:FC308),ROW(FC112:FC308),"")))</f>
        <v>6.9935897435897401</v>
      </c>
      <c r="FE112" s="12">
        <f>IF('Données projet'!$A$218&gt;35,FE111+FD112-FM111,IF(A112&lt;'Données projet'!$A$218,$FB$205^A112,IF(A112='Données projet'!$A$218,'Données projet'!$B$218,FE111+FD112-FM111)))</f>
        <v>340.16666666666697</v>
      </c>
      <c r="FF112" s="17">
        <f>FE112*VLOOKUP('Données projet'!$B$16,Paramètres!$A$1:$I$89,3,0)*VLOOKUP('Données projet'!$B$16,Paramètres!$A$1:$I$89,5,0)</f>
        <v>344.92900000000037</v>
      </c>
      <c r="FG112" s="13">
        <f t="shared" si="101"/>
        <v>80.51745440725162</v>
      </c>
      <c r="FH112" s="20">
        <f t="shared" si="76"/>
        <v>740.98590809263044</v>
      </c>
      <c r="FI112" s="59">
        <f t="shared" si="77"/>
        <v>1034.3192414259638</v>
      </c>
      <c r="FJ112" s="59">
        <f ca="1">AVERAGE(OFFSET($FI$3,0,0,'Données projet'!$E$16+1,1))-AVERAGE(OFFSET($H$3,0,0,'Données projet'!$E$16+1,1))</f>
        <v>419.51168383014721</v>
      </c>
      <c r="FK112" s="59">
        <f t="shared" si="102"/>
        <v>213.44145308833384</v>
      </c>
      <c r="FL112" s="15">
        <f>IF(ISNA(VLOOKUP(A112,'Données projet'!$A$217:$I$237,3,0)),0,VLOOKUP(A112,'Données projet'!$A$217:$I$237,3,0))</f>
        <v>10</v>
      </c>
      <c r="FM112" s="15">
        <f>IF(ISNA(VLOOKUP(A112,'Données projet'!$A$217:$I$237,4,0)),0,VLOOKUP(A112,'Données projet'!$A$217:$I$237,4,0))</f>
        <v>51.28846153846154</v>
      </c>
      <c r="FN112" s="16">
        <f>IF(ISNA(VLOOKUP(A112,'Données projet'!$A$217:$I$237,5,0)),0%,VLOOKUP(A112,'Données projet'!$A$217:$I$237,5,0)*VLOOKUP('Données projet'!$B$16,Paramètres!$A$1:$I$89,7,0))</f>
        <v>0.38700000000000001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67.429795661161677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67.429795661161677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266.99999999999983</v>
      </c>
      <c r="GA112" s="17">
        <f>FZ112*VLOOKUP('Données projet'!$B$17,Paramètres!$A$1:$I$89,3,0)*VLOOKUP('Données projet'!$B$17,Paramètres!$A$1:$I$89,5,0)</f>
        <v>233.2511999999999</v>
      </c>
      <c r="GB112" s="13">
        <f t="shared" si="103"/>
        <v>56.985091661350864</v>
      </c>
      <c r="GC112" s="20">
        <f t="shared" si="79"/>
        <v>505.49487464351915</v>
      </c>
      <c r="GD112" s="59">
        <f t="shared" si="80"/>
        <v>798.82820797685247</v>
      </c>
      <c r="GE112" s="59">
        <f ca="1">AVERAGE(OFFSET($GD$3,0,0,'Données projet'!$E$17+1,1))-AVERAGE(OFFSET($H$3,0,0,'Données projet'!$E$17+1,1))</f>
        <v>324.86930206492627</v>
      </c>
      <c r="GF112" s="59">
        <f t="shared" si="104"/>
        <v>317.03005098025352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17.801418297829304</v>
      </c>
      <c r="GM112" s="21">
        <f>EXP(-LN(2)/25)*GM111+(1-EXP(-LN(2)/25))/(LN(2)/25)*Calculateur!GH112*Calculateur!GJ112*VLOOKUP('Données projet'!$B$17,Paramètres!$A$1:$I$89,3,0)*0.475*44/12</f>
        <v>4.0927173994013568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21.894135697230659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>
        <f>VLOOKUP(A112,'Données projet'!$A$269:$I$289,2,0)</f>
        <v>340.16666666666663</v>
      </c>
      <c r="GS112" s="12">
        <f>VLOOKUP(A112,'Données projet'!$A$269:$I$289,9,0)</f>
        <v>6.9935897435897401</v>
      </c>
      <c r="GT112" s="12">
        <f t="array" ref="GT112">INDEX(GS:GS,MIN(IF(ISNUMBER(GS112:GS308),ROW(GS112:GS308),"")))</f>
        <v>6.9935897435897401</v>
      </c>
      <c r="GU112" s="12">
        <f>IF('Données projet'!$A$270&gt;35,GU111+GT112-HC111,IF(A112&lt;'Données projet'!$A$270,$GR$205^A112,IF(A112='Données projet'!$A$270,'Données projet'!$B$270,GU111+GT112-HC111)))</f>
        <v>340.16666666666697</v>
      </c>
      <c r="GV112" s="17">
        <f>GU112*VLOOKUP('Données projet'!$B$18,Paramètres!$A$1:$I$89,3,0)*VLOOKUP('Données projet'!$B$18,Paramètres!$A$1:$I$89,5,0)</f>
        <v>323.7026000000003</v>
      </c>
      <c r="GW112" s="13">
        <f t="shared" si="105"/>
        <v>76.123235026548272</v>
      </c>
      <c r="GX112" s="20">
        <f t="shared" si="82"/>
        <v>696.36332933790538</v>
      </c>
      <c r="GY112" s="59">
        <f t="shared" si="83"/>
        <v>989.69666267123876</v>
      </c>
      <c r="GZ112" s="59">
        <f ca="1">AVERAGE(OFFSET($GY$3,0,0,'Données projet'!$E$18+1,1))-AVERAGE(OFFSET($H$3,0,0,'Données projet'!$E$18+1,1))</f>
        <v>401.81944956556271</v>
      </c>
      <c r="HA112" s="59">
        <f t="shared" si="106"/>
        <v>292.20785523952651</v>
      </c>
      <c r="HB112" s="15">
        <f>IF(ISNA(VLOOKUP(A112,'Données projet'!$A$269:$I$289,3,0)),0,VLOOKUP(A112,'Données projet'!$A$269:$I$289,3,0))</f>
        <v>10</v>
      </c>
      <c r="HC112" s="15">
        <f>IF(ISNA(VLOOKUP(A112,'Données projet'!$A$269:$I$289,4,0)),0,VLOOKUP(A112,'Données projet'!$A$269:$I$289,4,0))</f>
        <v>51.28846153846154</v>
      </c>
      <c r="HD112" s="16">
        <f>IF(ISNA(VLOOKUP(A112,'Données projet'!$A$269:$I$289,5,0)),0%,VLOOKUP(A112,'Données projet'!$A$269:$I$289,5,0)*VLOOKUP('Données projet'!$B$18,Paramètres!$A$1:$I$89,7,0))</f>
        <v>0.38700000000000001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63.280269774320935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63.280269774320935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295.72435897435929</v>
      </c>
      <c r="O113" s="13">
        <f>N113*VLOOKUP('Données projet'!$B$9,Paramètres!$A$1:$I$89,3,0)*VLOOKUP('Données projet'!$B$9,Paramètres!$A$1:$I$89,5,0)</f>
        <v>267.57140000000027</v>
      </c>
      <c r="P113" s="13">
        <f t="shared" si="87"/>
        <v>64.333588350286504</v>
      </c>
      <c r="Q113" s="20">
        <f t="shared" si="107"/>
        <v>578.06785471008277</v>
      </c>
      <c r="R113" s="59">
        <f t="shared" si="55"/>
        <v>871.40118804341614</v>
      </c>
      <c r="S113" s="59">
        <f ca="1">AVERAGE(OFFSET($R$3,0,0,'Données projet'!$E$9+1,1))-AVERAGE(OFFSET($H$3,0,0,'Données projet'!$E$9+1,1))</f>
        <v>384.05928630855732</v>
      </c>
      <c r="T113" s="59">
        <f t="shared" si="88"/>
        <v>279.93992813630513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-6.3550942286383367E-14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335.04906256888819</v>
      </c>
      <c r="AO113" s="59">
        <f t="shared" si="90"/>
        <v>440.84111898279554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76.264452568725986</v>
      </c>
      <c r="AV113" s="21">
        <f>EXP(-LN(2)/25)*AV112+(1-EXP(-LN(2)/25))/(LN(2)/25)*Calculateur!AQ113*Calculateur!AS113*VLOOKUP('Données projet'!$B$10,Paramètres!$A$1:$I$89,3,0)*0.475*44/12</f>
        <v>12.53759965304134</v>
      </c>
      <c r="AW113" s="21">
        <f>EXP(-LN(2)/2)*AW112+(1-EXP(-LN(2)/2))/(LN(2)/2)*AQ113*AT113*VLOOKUP('Données projet'!$B$10,Paramètres!$A$1:$I$89,3,0)*0.475*44/12</f>
        <v>1.7997391309949077E-7</v>
      </c>
      <c r="AX113" s="21">
        <f t="shared" si="60"/>
        <v>88.802052401741236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-1.4210854715202004E-13</v>
      </c>
      <c r="BE113" s="13">
        <f>BD113*VLOOKUP('Données projet'!$B$11,Paramètres!$A$1:$I$89,3,0)*VLOOKUP('Données projet'!$B$11,Paramètres!$A$1:$I$89,5,0)</f>
        <v>-8.128608897095547E-14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320.76883487964511</v>
      </c>
      <c r="BJ113" s="59">
        <f t="shared" si="92"/>
        <v>290.51177680335746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91.405705716549406</v>
      </c>
      <c r="BQ113" s="21">
        <f>EXP(-LN(2)/25)*BQ112+(1-EXP(-LN(2)/25))/(LN(2)/25)*Calculateur!BL113*Calculateur!BN113*VLOOKUP('Données projet'!$B$11,Paramètres!$A$1:$I$89,3,0)*0.475*44/12</f>
        <v>19.154346814535792</v>
      </c>
      <c r="BR113" s="21">
        <f>EXP(-LN(2)/2)*BR112+(1-EXP(-LN(2)/2))/(LN(2)/2)*BL113*BO113*VLOOKUP('Données projet'!$B$11,Paramètres!$A$1:$I$89,3,0)*0.475*44/12</f>
        <v>3.1076501278551754E-2</v>
      </c>
      <c r="BS113" s="22">
        <f t="shared" si="63"/>
        <v>110.59112903236375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304.99999999999983</v>
      </c>
      <c r="BZ113" s="13">
        <f>BY113*VLOOKUP('Données projet'!$B$12,Paramètres!$A$1:$I$89,3,0)*VLOOKUP('Données projet'!$B$12,Paramètres!$A$1:$I$89,5,0)</f>
        <v>275.96399999999983</v>
      </c>
      <c r="CA113" s="13">
        <f t="shared" si="93"/>
        <v>66.113366665488854</v>
      </c>
      <c r="CB113" s="20">
        <f t="shared" si="64"/>
        <v>595.78474694239264</v>
      </c>
      <c r="CC113" s="59">
        <f t="shared" si="65"/>
        <v>889.11808027572602</v>
      </c>
      <c r="CD113" s="59">
        <f ca="1">AVERAGE(OFFSET($CC$3,0,0,'Données projet'!$E$12+1,1))-AVERAGE(OFFSET($H$3,0,0,'Données projet'!$E$12+1,1))</f>
        <v>366.69125512029831</v>
      </c>
      <c r="CE113" s="59">
        <f t="shared" si="94"/>
        <v>513.80016421153414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0.33147018629025005</v>
      </c>
      <c r="CL113" s="21">
        <f>EXP(-LN(2)/25)*CL112+(1-EXP(-LN(2)/25))/(LN(2)/25)*Calculateur!CG113*Calculateur!CI113*VLOOKUP('Données projet'!$B$12,Paramètres!$A$1:$I$89,3,0)*0.475*44/12</f>
        <v>0.80340982493806024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1.1348800112283102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6.8461538461538511</v>
      </c>
      <c r="CT113" s="12">
        <f>IF('Données projet'!$A$140&gt;35,CT112+CS113-DB112,IF(A113&lt;'Données projet'!$A$140,$CQ$205^A113,IF(A113='Données projet'!$A$140,'Données projet'!$B$140,CT112+CS113-DB112)))</f>
        <v>295.72435897435929</v>
      </c>
      <c r="CU113" s="17">
        <f>CT113*VLOOKUP('Données projet'!$B$13,Paramètres!$A$1:$I$89,3,0)*VLOOKUP('Données projet'!$B$13,Paramètres!$A$1:$I$89,5,0)</f>
        <v>198.37190000000021</v>
      </c>
      <c r="CV113" s="13">
        <f t="shared" si="95"/>
        <v>49.386190586495843</v>
      </c>
      <c r="CW113" s="20">
        <f t="shared" si="67"/>
        <v>431.51200777148068</v>
      </c>
      <c r="CX113" s="59">
        <f t="shared" si="68"/>
        <v>724.845341104814</v>
      </c>
      <c r="CY113" s="59">
        <f ca="1">AVERAGE(OFFSET($CX$3,0,0,'Données projet'!$E$13+1,1))-AVERAGE(OFFSET($H$3,0,0,'Données projet'!$E$13+1,1))</f>
        <v>294.94331863127815</v>
      </c>
      <c r="CZ113" s="59">
        <f t="shared" si="96"/>
        <v>218.36990036643977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53.903069850878609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53.903069850878609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266.99999999999983</v>
      </c>
      <c r="DP113" s="17">
        <f>DO113*VLOOKUP('Données projet'!$B$14,Paramètres!$A$1:$I$89,3,0)*VLOOKUP('Données projet'!$B$14,Paramètres!$A$1:$I$89,5,0)</f>
        <v>195.76439999999985</v>
      </c>
      <c r="DQ113" s="13">
        <f t="shared" si="97"/>
        <v>48.812154563023455</v>
      </c>
      <c r="DR113" s="20">
        <f t="shared" si="70"/>
        <v>425.9708325305989</v>
      </c>
      <c r="DS113" s="59">
        <f t="shared" si="71"/>
        <v>719.30416586393221</v>
      </c>
      <c r="DT113" s="59">
        <f ca="1">AVERAGE(OFFSET($DS$3,0,0,'Données projet'!$E$14+1,1))-AVERAGE(OFFSET($H$3,0,0,'Données projet'!$E$14+1,1))</f>
        <v>278.45534008146865</v>
      </c>
      <c r="DU113" s="59">
        <f t="shared" si="98"/>
        <v>272.97841038165217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11.883822741173407</v>
      </c>
      <c r="EB113" s="21">
        <f>EXP(-LN(2)/25)*EB112+(1-EXP(-LN(2)/25))/(LN(2)/25)*Calculateur!DW113*Calculateur!DY113*VLOOKUP('Données projet'!$B$14,Paramètres!$A$1:$I$89,3,0)*0.475*44/12</f>
        <v>2.7106470660851714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14.594469807258578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6.8461538461538511</v>
      </c>
      <c r="EJ113" s="12">
        <f>IF('Données projet'!$A$192&gt;35,EJ112+EI113-ER112,IF(A113&lt;'Données projet'!$A$192,$EG$205^A113,IF(A113='Données projet'!$A$192,'Données projet'!$B$192,EJ112+EI113-ER112)))</f>
        <v>295.72435897435929</v>
      </c>
      <c r="EK113" s="17">
        <f>EJ113*VLOOKUP('Données projet'!$B$15,Paramètres!$A$1:$I$89,3,0)*VLOOKUP('Données projet'!$B$15,Paramètres!$A$1:$I$89,5,0)</f>
        <v>318.31770000000034</v>
      </c>
      <c r="EL113" s="13">
        <f t="shared" si="99"/>
        <v>75.003211120991622</v>
      </c>
      <c r="EM113" s="20">
        <f t="shared" si="73"/>
        <v>685.03392020239437</v>
      </c>
      <c r="EN113" s="59">
        <f t="shared" si="74"/>
        <v>978.36725353572774</v>
      </c>
      <c r="EO113" s="59">
        <f ca="1">AVERAGE(OFFSET($EN$3,0,0,'Données projet'!$E$15+1,1))-AVERAGE(OFFSET($H$3,0,0,'Données projet'!$E$15+1,1))</f>
        <v>449.09332781196957</v>
      </c>
      <c r="EP113" s="59">
        <f t="shared" si="100"/>
        <v>324.85904971519432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70.175694711521203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70.175694711521203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6.8461538461538511</v>
      </c>
      <c r="FE113" s="12">
        <f>IF('Données projet'!$A$218&gt;35,FE112+FD113-FM112,IF(A113&lt;'Données projet'!$A$218,$FB$205^A113,IF(A113='Données projet'!$A$218,'Données projet'!$B$218,FE112+FD113-FM112)))</f>
        <v>295.72435897435929</v>
      </c>
      <c r="FF113" s="17">
        <f>FE113*VLOOKUP('Données projet'!$B$16,Paramètres!$A$1:$I$89,3,0)*VLOOKUP('Données projet'!$B$16,Paramètres!$A$1:$I$89,5,0)</f>
        <v>299.86450000000036</v>
      </c>
      <c r="FG113" s="13">
        <f t="shared" si="101"/>
        <v>71.148056724241755</v>
      </c>
      <c r="FH113" s="20">
        <f t="shared" si="76"/>
        <v>646.18020296138832</v>
      </c>
      <c r="FI113" s="59">
        <f t="shared" si="77"/>
        <v>939.51353629472169</v>
      </c>
      <c r="FJ113" s="59">
        <f ca="1">AVERAGE(OFFSET($FI$3,0,0,'Données projet'!$E$16+1,1))-AVERAGE(OFFSET($H$3,0,0,'Données projet'!$E$16+1,1))</f>
        <v>419.51168383014721</v>
      </c>
      <c r="FK113" s="59">
        <f t="shared" si="102"/>
        <v>213.44145308833384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66.10753849636059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66.10753849636059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266.99999999999983</v>
      </c>
      <c r="GA113" s="17">
        <f>FZ113*VLOOKUP('Données projet'!$B$17,Paramètres!$A$1:$I$89,3,0)*VLOOKUP('Données projet'!$B$17,Paramètres!$A$1:$I$89,5,0)</f>
        <v>233.2511999999999</v>
      </c>
      <c r="GB113" s="13">
        <f t="shared" si="103"/>
        <v>56.985091661350864</v>
      </c>
      <c r="GC113" s="20">
        <f t="shared" si="79"/>
        <v>505.49487464351915</v>
      </c>
      <c r="GD113" s="59">
        <f t="shared" si="80"/>
        <v>798.82820797685247</v>
      </c>
      <c r="GE113" s="59">
        <f ca="1">AVERAGE(OFFSET($GD$3,0,0,'Données projet'!$E$17+1,1))-AVERAGE(OFFSET($H$3,0,0,'Données projet'!$E$17+1,1))</f>
        <v>324.86930206492627</v>
      </c>
      <c r="GF113" s="59">
        <f t="shared" si="104"/>
        <v>317.03005098025352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17.452343342801914</v>
      </c>
      <c r="GM113" s="21">
        <f>EXP(-LN(2)/25)*GM112+(1-EXP(-LN(2)/25))/(LN(2)/25)*Calculateur!GH113*Calculateur!GJ113*VLOOKUP('Données projet'!$B$17,Paramètres!$A$1:$I$89,3,0)*0.475*44/12</f>
        <v>3.9808018268880727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21.433145169689986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6.8461538461538511</v>
      </c>
      <c r="GU113" s="12">
        <f>IF('Données projet'!$A$270&gt;35,GU112+GT113-HC112,IF(A113&lt;'Données projet'!$A$270,$GR$205^A113,IF(A113='Données projet'!$A$270,'Données projet'!$B$270,GU112+GT113-HC112)))</f>
        <v>295.72435897435929</v>
      </c>
      <c r="GV113" s="17">
        <f>GU113*VLOOKUP('Données projet'!$B$18,Paramètres!$A$1:$I$89,3,0)*VLOOKUP('Données projet'!$B$18,Paramètres!$A$1:$I$89,5,0)</f>
        <v>281.41130000000032</v>
      </c>
      <c r="GW113" s="13">
        <f t="shared" si="105"/>
        <v>67.265169814085198</v>
      </c>
      <c r="GX113" s="20">
        <f t="shared" si="82"/>
        <v>607.27818492619883</v>
      </c>
      <c r="GY113" s="59">
        <f t="shared" si="83"/>
        <v>900.6115182595322</v>
      </c>
      <c r="GZ113" s="59">
        <f ca="1">AVERAGE(OFFSET($GY$3,0,0,'Données projet'!$E$18+1,1))-AVERAGE(OFFSET($H$3,0,0,'Données projet'!$E$18+1,1))</f>
        <v>401.81944956556271</v>
      </c>
      <c r="HA113" s="59">
        <f t="shared" si="106"/>
        <v>292.20785523952651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62.039382281199913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62.039382281199913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302.57051282051316</v>
      </c>
      <c r="O114" s="13">
        <f>N114*VLOOKUP('Données projet'!$B$9,Paramètres!$A$1:$I$89,3,0)*VLOOKUP('Données projet'!$B$9,Paramètres!$A$1:$I$89,5,0)</f>
        <v>273.7658000000003</v>
      </c>
      <c r="P114" s="13">
        <f t="shared" si="87"/>
        <v>65.647821692657914</v>
      </c>
      <c r="Q114" s="20">
        <f t="shared" si="107"/>
        <v>591.14539111471311</v>
      </c>
      <c r="R114" s="59">
        <f t="shared" si="55"/>
        <v>884.47872444804648</v>
      </c>
      <c r="S114" s="59">
        <f ca="1">AVERAGE(OFFSET($R$3,0,0,'Données projet'!$E$9+1,1))-AVERAGE(OFFSET($H$3,0,0,'Données projet'!$E$9+1,1))</f>
        <v>384.05928630855732</v>
      </c>
      <c r="T114" s="59">
        <f t="shared" si="88"/>
        <v>279.93992813630513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-6.3550942286383367E-14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335.04906256888819</v>
      </c>
      <c r="AO114" s="59">
        <f t="shared" si="90"/>
        <v>440.84111898279554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74.768953170576196</v>
      </c>
      <c r="AV114" s="21">
        <f>EXP(-LN(2)/25)*AV113+(1-EXP(-LN(2)/25))/(LN(2)/25)*Calculateur!AQ114*Calculateur!AS114*VLOOKUP('Données projet'!$B$10,Paramètres!$A$1:$I$89,3,0)*0.475*44/12</f>
        <v>12.194758331205215</v>
      </c>
      <c r="AW114" s="21">
        <f>EXP(-LN(2)/2)*AW113+(1-EXP(-LN(2)/2))/(LN(2)/2)*AQ114*AT114*VLOOKUP('Données projet'!$B$10,Paramètres!$A$1:$I$89,3,0)*0.475*44/12</f>
        <v>1.2726077438932834E-7</v>
      </c>
      <c r="AX114" s="21">
        <f t="shared" si="60"/>
        <v>86.96371162904218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-1.4210854715202004E-13</v>
      </c>
      <c r="BE114" s="13">
        <f>BD114*VLOOKUP('Données projet'!$B$11,Paramètres!$A$1:$I$89,3,0)*VLOOKUP('Données projet'!$B$11,Paramètres!$A$1:$I$89,5,0)</f>
        <v>-8.128608897095547E-14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320.76883487964511</v>
      </c>
      <c r="BJ114" s="59">
        <f t="shared" si="92"/>
        <v>290.51177680335746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89.613295579423308</v>
      </c>
      <c r="BQ114" s="21">
        <f>EXP(-LN(2)/25)*BQ113+(1-EXP(-LN(2)/25))/(LN(2)/25)*Calculateur!BL114*Calculateur!BN114*VLOOKUP('Données projet'!$B$11,Paramètres!$A$1:$I$89,3,0)*0.475*44/12</f>
        <v>18.630570193608989</v>
      </c>
      <c r="BR114" s="21">
        <f>EXP(-LN(2)/2)*BR113+(1-EXP(-LN(2)/2))/(LN(2)/2)*BL114*BO114*VLOOKUP('Données projet'!$B$11,Paramètres!$A$1:$I$89,3,0)*0.475*44/12</f>
        <v>2.1974404789616361E-2</v>
      </c>
      <c r="BS114" s="22">
        <f t="shared" si="63"/>
        <v>108.26584017782191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304.99999999999983</v>
      </c>
      <c r="BZ114" s="13">
        <f>BY114*VLOOKUP('Données projet'!$B$12,Paramètres!$A$1:$I$89,3,0)*VLOOKUP('Données projet'!$B$12,Paramètres!$A$1:$I$89,5,0)</f>
        <v>275.96399999999983</v>
      </c>
      <c r="CA114" s="13">
        <f t="shared" si="93"/>
        <v>66.113366665488854</v>
      </c>
      <c r="CB114" s="20">
        <f t="shared" si="64"/>
        <v>595.78474694239264</v>
      </c>
      <c r="CC114" s="59">
        <f t="shared" si="65"/>
        <v>889.11808027572602</v>
      </c>
      <c r="CD114" s="59">
        <f ca="1">AVERAGE(OFFSET($CC$3,0,0,'Données projet'!$E$12+1,1))-AVERAGE(OFFSET($H$3,0,0,'Données projet'!$E$12+1,1))</f>
        <v>366.69125512029831</v>
      </c>
      <c r="CE114" s="59">
        <f t="shared" si="94"/>
        <v>513.80016421153414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0.32497025811394858</v>
      </c>
      <c r="CL114" s="21">
        <f>EXP(-LN(2)/25)*CL113+(1-EXP(-LN(2)/25))/(LN(2)/25)*Calculateur!CG114*Calculateur!CI114*VLOOKUP('Données projet'!$B$12,Paramètres!$A$1:$I$89,3,0)*0.475*44/12</f>
        <v>0.78144054102564253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1.1064107991395911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6.8461538461538511</v>
      </c>
      <c r="CT114" s="12">
        <f>IF('Données projet'!$A$140&gt;35,CT113+CS114-DB113,IF(A114&lt;'Données projet'!$A$140,$CQ$205^A114,IF(A114='Données projet'!$A$140,'Données projet'!$B$140,CT113+CS114-DB113)))</f>
        <v>302.57051282051316</v>
      </c>
      <c r="CU114" s="17">
        <f>CT114*VLOOKUP('Données projet'!$B$13,Paramètres!$A$1:$I$89,3,0)*VLOOKUP('Données projet'!$B$13,Paramètres!$A$1:$I$89,5,0)</f>
        <v>202.96430000000024</v>
      </c>
      <c r="CV114" s="13">
        <f t="shared" si="95"/>
        <v>50.395072260685758</v>
      </c>
      <c r="CW114" s="20">
        <f t="shared" si="67"/>
        <v>441.26757335402812</v>
      </c>
      <c r="CX114" s="59">
        <f t="shared" si="68"/>
        <v>734.60090668736143</v>
      </c>
      <c r="CY114" s="59">
        <f ca="1">AVERAGE(OFFSET($CX$3,0,0,'Données projet'!$E$13+1,1))-AVERAGE(OFFSET($H$3,0,0,'Données projet'!$E$13+1,1))</f>
        <v>294.94331863127815</v>
      </c>
      <c r="CZ114" s="59">
        <f t="shared" si="96"/>
        <v>218.36990036643977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52.84606352872909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52.84606352872909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266.99999999999983</v>
      </c>
      <c r="DP114" s="17">
        <f>DO114*VLOOKUP('Données projet'!$B$14,Paramètres!$A$1:$I$89,3,0)*VLOOKUP('Données projet'!$B$14,Paramètres!$A$1:$I$89,5,0)</f>
        <v>195.76439999999985</v>
      </c>
      <c r="DQ114" s="13">
        <f t="shared" si="97"/>
        <v>48.812154563023455</v>
      </c>
      <c r="DR114" s="20">
        <f t="shared" si="70"/>
        <v>425.9708325305989</v>
      </c>
      <c r="DS114" s="59">
        <f t="shared" si="71"/>
        <v>719.30416586393221</v>
      </c>
      <c r="DT114" s="59">
        <f ca="1">AVERAGE(OFFSET($DS$3,0,0,'Données projet'!$E$14+1,1))-AVERAGE(OFFSET($H$3,0,0,'Données projet'!$E$14+1,1))</f>
        <v>278.45534008146865</v>
      </c>
      <c r="DU114" s="59">
        <f t="shared" si="98"/>
        <v>272.97841038165217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11.650788225635146</v>
      </c>
      <c r="EB114" s="21">
        <f>EXP(-LN(2)/25)*EB113+(1-EXP(-LN(2)/25))/(LN(2)/25)*Calculateur!DW114*Calculateur!DY114*VLOOKUP('Données projet'!$B$14,Paramètres!$A$1:$I$89,3,0)*0.475*44/12</f>
        <v>2.6365242795163386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14.287312505151485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6.8461538461538511</v>
      </c>
      <c r="EJ114" s="12">
        <f>IF('Données projet'!$A$192&gt;35,EJ113+EI114-ER113,IF(A114&lt;'Données projet'!$A$192,$EG$205^A114,IF(A114='Données projet'!$A$192,'Données projet'!$B$192,EJ113+EI114-ER113)))</f>
        <v>302.57051282051316</v>
      </c>
      <c r="EK114" s="17">
        <f>EJ114*VLOOKUP('Données projet'!$B$15,Paramètres!$A$1:$I$89,3,0)*VLOOKUP('Données projet'!$B$15,Paramètres!$A$1:$I$89,5,0)</f>
        <v>325.68690000000038</v>
      </c>
      <c r="EL114" s="13">
        <f t="shared" si="99"/>
        <v>76.535407961985811</v>
      </c>
      <c r="EM114" s="20">
        <f t="shared" si="73"/>
        <v>700.53718636712586</v>
      </c>
      <c r="EN114" s="59">
        <f t="shared" si="74"/>
        <v>993.87051970045923</v>
      </c>
      <c r="EO114" s="59">
        <f ca="1">AVERAGE(OFFSET($EN$3,0,0,'Données projet'!$E$15+1,1))-AVERAGE(OFFSET($H$3,0,0,'Données projet'!$E$15+1,1))</f>
        <v>449.09332781196957</v>
      </c>
      <c r="EP114" s="59">
        <f t="shared" si="100"/>
        <v>324.85904971519432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68.799592141175609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68.799592141175609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6.8461538461538511</v>
      </c>
      <c r="FE114" s="12">
        <f>IF('Données projet'!$A$218&gt;35,FE113+FD114-FM113,IF(A114&lt;'Données projet'!$A$218,$FB$205^A114,IF(A114='Données projet'!$A$218,'Données projet'!$B$218,FE113+FD114-FM113)))</f>
        <v>302.57051282051316</v>
      </c>
      <c r="FF114" s="17">
        <f>FE114*VLOOKUP('Données projet'!$B$16,Paramètres!$A$1:$I$89,3,0)*VLOOKUP('Données projet'!$B$16,Paramètres!$A$1:$I$89,5,0)</f>
        <v>306.80650000000037</v>
      </c>
      <c r="FG114" s="13">
        <f t="shared" si="101"/>
        <v>72.601498865270955</v>
      </c>
      <c r="FH114" s="20">
        <f t="shared" si="76"/>
        <v>660.80226469034744</v>
      </c>
      <c r="FI114" s="59">
        <f t="shared" si="77"/>
        <v>954.13559802368081</v>
      </c>
      <c r="FJ114" s="59">
        <f ca="1">AVERAGE(OFFSET($FI$3,0,0,'Données projet'!$E$16+1,1))-AVERAGE(OFFSET($H$3,0,0,'Données projet'!$E$16+1,1))</f>
        <v>419.51168383014721</v>
      </c>
      <c r="FK114" s="59">
        <f t="shared" si="102"/>
        <v>213.44145308833384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64.811209988064007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64.811209988064007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266.99999999999983</v>
      </c>
      <c r="GA114" s="17">
        <f>FZ114*VLOOKUP('Données projet'!$B$17,Paramètres!$A$1:$I$89,3,0)*VLOOKUP('Données projet'!$B$17,Paramètres!$A$1:$I$89,5,0)</f>
        <v>233.2511999999999</v>
      </c>
      <c r="GB114" s="13">
        <f t="shared" si="103"/>
        <v>56.985091661350864</v>
      </c>
      <c r="GC114" s="20">
        <f t="shared" si="79"/>
        <v>505.49487464351915</v>
      </c>
      <c r="GD114" s="59">
        <f t="shared" si="80"/>
        <v>798.82820797685247</v>
      </c>
      <c r="GE114" s="59">
        <f ca="1">AVERAGE(OFFSET($GD$3,0,0,'Données projet'!$E$17+1,1))-AVERAGE(OFFSET($H$3,0,0,'Données projet'!$E$17+1,1))</f>
        <v>324.86930206492627</v>
      </c>
      <c r="GF114" s="59">
        <f t="shared" si="104"/>
        <v>317.03005098025352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17.110113534727912</v>
      </c>
      <c r="GM114" s="21">
        <f>EXP(-LN(2)/25)*GM113+(1-EXP(-LN(2)/25))/(LN(2)/25)*Calculateur!GH114*Calculateur!GJ114*VLOOKUP('Données projet'!$B$17,Paramètres!$A$1:$I$89,3,0)*0.475*44/12</f>
        <v>3.8719465915905484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20.982060126318459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6.8461538461538511</v>
      </c>
      <c r="GU114" s="12">
        <f>IF('Données projet'!$A$270&gt;35,GU113+GT114-HC113,IF(A114&lt;'Données projet'!$A$270,$GR$205^A114,IF(A114='Données projet'!$A$270,'Données projet'!$B$270,GU113+GT114-HC113)))</f>
        <v>302.57051282051316</v>
      </c>
      <c r="GV114" s="17">
        <f>GU114*VLOOKUP('Données projet'!$B$18,Paramètres!$A$1:$I$89,3,0)*VLOOKUP('Données projet'!$B$18,Paramètres!$A$1:$I$89,5,0)</f>
        <v>287.9261000000003</v>
      </c>
      <c r="GW114" s="13">
        <f t="shared" si="105"/>
        <v>68.639290723813005</v>
      </c>
      <c r="GX114" s="20">
        <f t="shared" si="82"/>
        <v>621.01805551064149</v>
      </c>
      <c r="GY114" s="59">
        <f t="shared" si="83"/>
        <v>914.35138884397475</v>
      </c>
      <c r="GZ114" s="59">
        <f ca="1">AVERAGE(OFFSET($GY$3,0,0,'Données projet'!$E$18+1,1))-AVERAGE(OFFSET($H$3,0,0,'Données projet'!$E$18+1,1))</f>
        <v>401.81944956556271</v>
      </c>
      <c r="HA114" s="59">
        <f t="shared" si="106"/>
        <v>292.20785523952651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60.822827834952356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60.822827834952356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309.41666666666703</v>
      </c>
      <c r="O115" s="13">
        <f>N115*VLOOKUP('Données projet'!$B$9,Paramètres!$A$1:$I$89,3,0)*VLOOKUP('Données projet'!$B$9,Paramètres!$A$1:$I$89,5,0)</f>
        <v>279.96020000000033</v>
      </c>
      <c r="P115" s="13">
        <f t="shared" si="87"/>
        <v>66.958597927408931</v>
      </c>
      <c r="Q115" s="20">
        <f t="shared" si="107"/>
        <v>604.2169063902378</v>
      </c>
      <c r="R115" s="59">
        <f t="shared" si="55"/>
        <v>897.55023972357117</v>
      </c>
      <c r="S115" s="59">
        <f ca="1">AVERAGE(OFFSET($R$3,0,0,'Données projet'!$E$9+1,1))-AVERAGE(OFFSET($H$3,0,0,'Données projet'!$E$9+1,1))</f>
        <v>384.05928630855732</v>
      </c>
      <c r="T115" s="59">
        <f t="shared" si="88"/>
        <v>279.93992813630513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-6.3550942286383367E-14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335.04906256888819</v>
      </c>
      <c r="AO115" s="59">
        <f t="shared" si="90"/>
        <v>440.84111898279554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73.302779603459555</v>
      </c>
      <c r="AV115" s="21">
        <f>EXP(-LN(2)/25)*AV114+(1-EXP(-LN(2)/25))/(LN(2)/25)*Calculateur!AQ115*Calculateur!AS115*VLOOKUP('Données projet'!$B$10,Paramètres!$A$1:$I$89,3,0)*0.475*44/12</f>
        <v>11.861292023343939</v>
      </c>
      <c r="AW115" s="21">
        <f>EXP(-LN(2)/2)*AW114+(1-EXP(-LN(2)/2))/(LN(2)/2)*AQ115*AT115*VLOOKUP('Données projet'!$B$10,Paramètres!$A$1:$I$89,3,0)*0.475*44/12</f>
        <v>8.9986956549745383E-8</v>
      </c>
      <c r="AX115" s="21">
        <f t="shared" si="60"/>
        <v>85.164071716790446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-1.4210854715202004E-13</v>
      </c>
      <c r="BE115" s="13">
        <f>BD115*VLOOKUP('Données projet'!$B$11,Paramètres!$A$1:$I$89,3,0)*VLOOKUP('Données projet'!$B$11,Paramètres!$A$1:$I$89,5,0)</f>
        <v>-8.128608897095547E-14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320.76883487964511</v>
      </c>
      <c r="BJ115" s="59">
        <f t="shared" si="92"/>
        <v>290.51177680335746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87.856033511824023</v>
      </c>
      <c r="BQ115" s="21">
        <f>EXP(-LN(2)/25)*BQ114+(1-EXP(-LN(2)/25))/(LN(2)/25)*Calculateur!BL115*Calculateur!BN115*VLOOKUP('Données projet'!$B$11,Paramètres!$A$1:$I$89,3,0)*0.475*44/12</f>
        <v>18.121116271925647</v>
      </c>
      <c r="BR115" s="21">
        <f>EXP(-LN(2)/2)*BR114+(1-EXP(-LN(2)/2))/(LN(2)/2)*BL115*BO115*VLOOKUP('Données projet'!$B$11,Paramètres!$A$1:$I$89,3,0)*0.475*44/12</f>
        <v>1.5538250639275879E-2</v>
      </c>
      <c r="BS115" s="22">
        <f t="shared" si="63"/>
        <v>105.99268803438895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304.99999999999983</v>
      </c>
      <c r="BZ115" s="13">
        <f>BY115*VLOOKUP('Données projet'!$B$12,Paramètres!$A$1:$I$89,3,0)*VLOOKUP('Données projet'!$B$12,Paramètres!$A$1:$I$89,5,0)</f>
        <v>275.96399999999983</v>
      </c>
      <c r="CA115" s="13">
        <f t="shared" si="93"/>
        <v>66.113366665488854</v>
      </c>
      <c r="CB115" s="20">
        <f t="shared" si="64"/>
        <v>595.78474694239264</v>
      </c>
      <c r="CC115" s="59">
        <f t="shared" si="65"/>
        <v>889.11808027572602</v>
      </c>
      <c r="CD115" s="59">
        <f ca="1">AVERAGE(OFFSET($CC$3,0,0,'Données projet'!$E$12+1,1))-AVERAGE(OFFSET($H$3,0,0,'Données projet'!$E$12+1,1))</f>
        <v>366.69125512029831</v>
      </c>
      <c r="CE115" s="59">
        <f t="shared" si="94"/>
        <v>513.80016421153414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0.31859778956461965</v>
      </c>
      <c r="CL115" s="21">
        <f>EXP(-LN(2)/25)*CL114+(1-EXP(-LN(2)/25))/(LN(2)/25)*Calculateur!CG115*Calculateur!CI115*VLOOKUP('Données projet'!$B$12,Paramètres!$A$1:$I$89,3,0)*0.475*44/12</f>
        <v>0.76007200833712429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1.0786697979017439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6.8461538461538511</v>
      </c>
      <c r="CT115" s="12">
        <f>IF('Données projet'!$A$140&gt;35,CT114+CS115-DB114,IF(A115&lt;'Données projet'!$A$140,$CQ$205^A115,IF(A115='Données projet'!$A$140,'Données projet'!$B$140,CT114+CS115-DB114)))</f>
        <v>309.41666666666703</v>
      </c>
      <c r="CU115" s="17">
        <f>CT115*VLOOKUP('Données projet'!$B$13,Paramètres!$A$1:$I$89,3,0)*VLOOKUP('Données projet'!$B$13,Paramètres!$A$1:$I$89,5,0)</f>
        <v>207.55670000000023</v>
      </c>
      <c r="CV115" s="13">
        <f t="shared" si="95"/>
        <v>51.401300058724914</v>
      </c>
      <c r="CW115" s="20">
        <f t="shared" si="67"/>
        <v>451.01851676894626</v>
      </c>
      <c r="CX115" s="59">
        <f t="shared" si="68"/>
        <v>744.35185010227951</v>
      </c>
      <c r="CY115" s="59">
        <f ca="1">AVERAGE(OFFSET($CX$3,0,0,'Données projet'!$E$13+1,1))-AVERAGE(OFFSET($H$3,0,0,'Données projet'!$E$13+1,1))</f>
        <v>294.94331863127815</v>
      </c>
      <c r="CZ115" s="59">
        <f t="shared" si="96"/>
        <v>218.36990036643977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51.809784455846732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51.809784455846732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266.99999999999983</v>
      </c>
      <c r="DP115" s="17">
        <f>DO115*VLOOKUP('Données projet'!$B$14,Paramètres!$A$1:$I$89,3,0)*VLOOKUP('Données projet'!$B$14,Paramètres!$A$1:$I$89,5,0)</f>
        <v>195.76439999999985</v>
      </c>
      <c r="DQ115" s="13">
        <f t="shared" si="97"/>
        <v>48.812154563023455</v>
      </c>
      <c r="DR115" s="20">
        <f t="shared" si="70"/>
        <v>425.9708325305989</v>
      </c>
      <c r="DS115" s="59">
        <f t="shared" si="71"/>
        <v>719.30416586393221</v>
      </c>
      <c r="DT115" s="59">
        <f ca="1">AVERAGE(OFFSET($DS$3,0,0,'Données projet'!$E$14+1,1))-AVERAGE(OFFSET($H$3,0,0,'Données projet'!$E$14+1,1))</f>
        <v>278.45534008146865</v>
      </c>
      <c r="DU115" s="59">
        <f t="shared" si="98"/>
        <v>272.97841038165217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11.422323374809572</v>
      </c>
      <c r="EB115" s="21">
        <f>EXP(-LN(2)/25)*EB114+(1-EXP(-LN(2)/25))/(LN(2)/25)*Calculateur!DW115*Calculateur!DY115*VLOOKUP('Données projet'!$B$14,Paramètres!$A$1:$I$89,3,0)*0.475*44/12</f>
        <v>2.5644283844441782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13.98675175925375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6.8461538461538511</v>
      </c>
      <c r="EJ115" s="12">
        <f>IF('Données projet'!$A$192&gt;35,EJ114+EI115-ER114,IF(A115&lt;'Données projet'!$A$192,$EG$205^A115,IF(A115='Données projet'!$A$192,'Données projet'!$B$192,EJ114+EI115-ER114)))</f>
        <v>309.41666666666703</v>
      </c>
      <c r="EK115" s="17">
        <f>EJ115*VLOOKUP('Données projet'!$B$15,Paramètres!$A$1:$I$89,3,0)*VLOOKUP('Données projet'!$B$15,Paramètres!$A$1:$I$89,5,0)</f>
        <v>333.05610000000036</v>
      </c>
      <c r="EL115" s="13">
        <f t="shared" si="99"/>
        <v>78.063574339588101</v>
      </c>
      <c r="EM115" s="20">
        <f t="shared" si="73"/>
        <v>716.03343280811657</v>
      </c>
      <c r="EN115" s="59">
        <f t="shared" si="74"/>
        <v>1009.3667661414499</v>
      </c>
      <c r="EO115" s="59">
        <f ca="1">AVERAGE(OFFSET($EN$3,0,0,'Données projet'!$E$15+1,1))-AVERAGE(OFFSET($H$3,0,0,'Données projet'!$E$15+1,1))</f>
        <v>449.09332781196957</v>
      </c>
      <c r="EP115" s="59">
        <f t="shared" si="100"/>
        <v>324.85904971519432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67.450474102894802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67.450474102894802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6.8461538461538511</v>
      </c>
      <c r="FE115" s="12">
        <f>IF('Données projet'!$A$218&gt;35,FE114+FD115-FM114,IF(A115&lt;'Données projet'!$A$218,$FB$205^A115,IF(A115='Données projet'!$A$218,'Données projet'!$B$218,FE114+FD115-FM114)))</f>
        <v>309.41666666666703</v>
      </c>
      <c r="FF115" s="17">
        <f>FE115*VLOOKUP('Données projet'!$B$16,Paramètres!$A$1:$I$89,3,0)*VLOOKUP('Données projet'!$B$16,Paramètres!$A$1:$I$89,5,0)</f>
        <v>313.74850000000038</v>
      </c>
      <c r="FG115" s="13">
        <f t="shared" si="101"/>
        <v>74.051117708153953</v>
      </c>
      <c r="FH115" s="20">
        <f t="shared" si="76"/>
        <v>675.41766750836871</v>
      </c>
      <c r="FI115" s="59">
        <f t="shared" si="77"/>
        <v>968.75100084170208</v>
      </c>
      <c r="FJ115" s="59">
        <f ca="1">AVERAGE(OFFSET($FI$3,0,0,'Données projet'!$E$16+1,1))-AVERAGE(OFFSET($H$3,0,0,'Données projet'!$E$16+1,1))</f>
        <v>419.51168383014721</v>
      </c>
      <c r="FK115" s="59">
        <f t="shared" si="102"/>
        <v>213.44145308833384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63.540301691132811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63.540301691132811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266.99999999999983</v>
      </c>
      <c r="GA115" s="17">
        <f>FZ115*VLOOKUP('Données projet'!$B$17,Paramètres!$A$1:$I$89,3,0)*VLOOKUP('Données projet'!$B$17,Paramètres!$A$1:$I$89,5,0)</f>
        <v>233.2511999999999</v>
      </c>
      <c r="GB115" s="13">
        <f t="shared" si="103"/>
        <v>56.985091661350864</v>
      </c>
      <c r="GC115" s="20">
        <f t="shared" si="79"/>
        <v>505.49487464351915</v>
      </c>
      <c r="GD115" s="59">
        <f t="shared" si="80"/>
        <v>798.82820797685247</v>
      </c>
      <c r="GE115" s="59">
        <f ca="1">AVERAGE(OFFSET($GD$3,0,0,'Données projet'!$E$17+1,1))-AVERAGE(OFFSET($H$3,0,0,'Données projet'!$E$17+1,1))</f>
        <v>324.86930206492627</v>
      </c>
      <c r="GF115" s="59">
        <f t="shared" si="104"/>
        <v>317.03005098025352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16.774594644450669</v>
      </c>
      <c r="GM115" s="21">
        <f>EXP(-LN(2)/25)*GM114+(1-EXP(-LN(2)/25))/(LN(2)/25)*Calculateur!GH115*Calculateur!GJ115*VLOOKUP('Données projet'!$B$17,Paramètres!$A$1:$I$89,3,0)*0.475*44/12</f>
        <v>3.7660680084266831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20.540662652877351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6.8461538461538511</v>
      </c>
      <c r="GU115" s="12">
        <f>IF('Données projet'!$A$270&gt;35,GU114+GT115-HC114,IF(A115&lt;'Données projet'!$A$270,$GR$205^A115,IF(A115='Données projet'!$A$270,'Données projet'!$B$270,GU114+GT115-HC114)))</f>
        <v>309.41666666666703</v>
      </c>
      <c r="GV115" s="17">
        <f>GU115*VLOOKUP('Données projet'!$B$18,Paramètres!$A$1:$I$89,3,0)*VLOOKUP('Données projet'!$B$18,Paramètres!$A$1:$I$89,5,0)</f>
        <v>294.44090000000034</v>
      </c>
      <c r="GW115" s="13">
        <f t="shared" si="105"/>
        <v>70.009796990908342</v>
      </c>
      <c r="GX115" s="20">
        <f t="shared" si="82"/>
        <v>634.75163059249928</v>
      </c>
      <c r="GY115" s="59">
        <f t="shared" si="83"/>
        <v>928.08496392583265</v>
      </c>
      <c r="GZ115" s="59">
        <f ca="1">AVERAGE(OFFSET($GY$3,0,0,'Données projet'!$E$18+1,1))-AVERAGE(OFFSET($H$3,0,0,'Données projet'!$E$18+1,1))</f>
        <v>401.81944956556271</v>
      </c>
      <c r="HA115" s="59">
        <f t="shared" si="106"/>
        <v>292.20785523952651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59.63012927937077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59.63012927937077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316.26282051282089</v>
      </c>
      <c r="O116" s="13">
        <f>N116*VLOOKUP('Données projet'!$B$9,Paramètres!$A$1:$I$89,3,0)*VLOOKUP('Données projet'!$B$9,Paramètres!$A$1:$I$89,5,0)</f>
        <v>286.15460000000036</v>
      </c>
      <c r="P116" s="13">
        <f t="shared" si="87"/>
        <v>68.266002354364261</v>
      </c>
      <c r="Q116" s="20">
        <f t="shared" si="107"/>
        <v>617.28254910051839</v>
      </c>
      <c r="R116" s="59">
        <f t="shared" si="55"/>
        <v>910.61588243385177</v>
      </c>
      <c r="S116" s="59">
        <f ca="1">AVERAGE(OFFSET($R$3,0,0,'Données projet'!$E$9+1,1))-AVERAGE(OFFSET($H$3,0,0,'Données projet'!$E$9+1,1))</f>
        <v>384.05928630855732</v>
      </c>
      <c r="T116" s="59">
        <f t="shared" si="88"/>
        <v>279.93992813630513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-6.3550942286383367E-14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335.04906256888819</v>
      </c>
      <c r="AO116" s="59">
        <f t="shared" si="90"/>
        <v>440.84111898279554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71.865356805716502</v>
      </c>
      <c r="AV116" s="21">
        <f>EXP(-LN(2)/25)*AV115+(1-EXP(-LN(2)/25))/(LN(2)/25)*Calculateur!AQ116*Calculateur!AS116*VLOOKUP('Données projet'!$B$10,Paramètres!$A$1:$I$89,3,0)*0.475*44/12</f>
        <v>11.536944369207362</v>
      </c>
      <c r="AW116" s="21">
        <f>EXP(-LN(2)/2)*AW115+(1-EXP(-LN(2)/2))/(LN(2)/2)*AQ116*AT116*VLOOKUP('Données projet'!$B$10,Paramètres!$A$1:$I$89,3,0)*0.475*44/12</f>
        <v>6.3630387194664168E-8</v>
      </c>
      <c r="AX116" s="21">
        <f t="shared" si="60"/>
        <v>83.402301238554244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-1.4210854715202004E-13</v>
      </c>
      <c r="BE116" s="13">
        <f>BD116*VLOOKUP('Données projet'!$B$11,Paramètres!$A$1:$I$89,3,0)*VLOOKUP('Données projet'!$B$11,Paramètres!$A$1:$I$89,5,0)</f>
        <v>-8.128608897095547E-14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320.76883487964511</v>
      </c>
      <c r="BJ116" s="59">
        <f t="shared" si="92"/>
        <v>290.51177680335746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86.133230281546332</v>
      </c>
      <c r="BQ116" s="21">
        <f>EXP(-LN(2)/25)*BQ115+(1-EXP(-LN(2)/25))/(LN(2)/25)*Calculateur!BL116*Calculateur!BN116*VLOOKUP('Données projet'!$B$11,Paramètres!$A$1:$I$89,3,0)*0.475*44/12</f>
        <v>17.625593394521751</v>
      </c>
      <c r="BR116" s="21">
        <f>EXP(-LN(2)/2)*BR115+(1-EXP(-LN(2)/2))/(LN(2)/2)*BL116*BO116*VLOOKUP('Données projet'!$B$11,Paramètres!$A$1:$I$89,3,0)*0.475*44/12</f>
        <v>1.0987202394808182E-2</v>
      </c>
      <c r="BS116" s="22">
        <f t="shared" si="63"/>
        <v>103.76981087846289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304.99999999999983</v>
      </c>
      <c r="BZ116" s="13">
        <f>BY116*VLOOKUP('Données projet'!$B$12,Paramètres!$A$1:$I$89,3,0)*VLOOKUP('Données projet'!$B$12,Paramètres!$A$1:$I$89,5,0)</f>
        <v>275.96399999999983</v>
      </c>
      <c r="CA116" s="13">
        <f t="shared" si="93"/>
        <v>66.113366665488854</v>
      </c>
      <c r="CB116" s="20">
        <f t="shared" si="64"/>
        <v>595.78474694239264</v>
      </c>
      <c r="CC116" s="59">
        <f t="shared" si="65"/>
        <v>889.11808027572602</v>
      </c>
      <c r="CD116" s="59">
        <f ca="1">AVERAGE(OFFSET($CC$3,0,0,'Données projet'!$E$12+1,1))-AVERAGE(OFFSET($H$3,0,0,'Données projet'!$E$12+1,1))</f>
        <v>366.69125512029831</v>
      </c>
      <c r="CE116" s="59">
        <f t="shared" si="94"/>
        <v>513.80016421153414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0.31235028123672104</v>
      </c>
      <c r="CL116" s="21">
        <f>EXP(-LN(2)/25)*CL115+(1-EXP(-LN(2)/25))/(LN(2)/25)*Calculateur!CG116*Calculateur!CI116*VLOOKUP('Données projet'!$B$12,Paramètres!$A$1:$I$89,3,0)*0.475*44/12</f>
        <v>0.73928779929869592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1.0516380805354171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6.8461538461538511</v>
      </c>
      <c r="CT116" s="12">
        <f>IF('Données projet'!$A$140&gt;35,CT115+CS116-DB115,IF(A116&lt;'Données projet'!$A$140,$CQ$205^A116,IF(A116='Données projet'!$A$140,'Données projet'!$B$140,CT115+CS116-DB115)))</f>
        <v>316.26282051282089</v>
      </c>
      <c r="CU116" s="17">
        <f>CT116*VLOOKUP('Données projet'!$B$13,Paramètres!$A$1:$I$89,3,0)*VLOOKUP('Données projet'!$B$13,Paramètres!$A$1:$I$89,5,0)</f>
        <v>212.14910000000023</v>
      </c>
      <c r="CV116" s="13">
        <f t="shared" si="95"/>
        <v>52.404939461701829</v>
      </c>
      <c r="CW116" s="20">
        <f t="shared" si="67"/>
        <v>460.76495206246437</v>
      </c>
      <c r="CX116" s="59">
        <f t="shared" si="68"/>
        <v>754.09828539579769</v>
      </c>
      <c r="CY116" s="59">
        <f ca="1">AVERAGE(OFFSET($CX$3,0,0,'Données projet'!$E$13+1,1))-AVERAGE(OFFSET($H$3,0,0,'Données projet'!$E$13+1,1))</f>
        <v>294.94331863127815</v>
      </c>
      <c r="CZ116" s="59">
        <f t="shared" si="96"/>
        <v>218.36990036643977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50.793826183515769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50.793826183515769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266.99999999999983</v>
      </c>
      <c r="DP116" s="17">
        <f>DO116*VLOOKUP('Données projet'!$B$14,Paramètres!$A$1:$I$89,3,0)*VLOOKUP('Données projet'!$B$14,Paramètres!$A$1:$I$89,5,0)</f>
        <v>195.76439999999985</v>
      </c>
      <c r="DQ116" s="13">
        <f t="shared" si="97"/>
        <v>48.812154563023455</v>
      </c>
      <c r="DR116" s="20">
        <f t="shared" si="70"/>
        <v>425.9708325305989</v>
      </c>
      <c r="DS116" s="59">
        <f t="shared" si="71"/>
        <v>719.30416586393221</v>
      </c>
      <c r="DT116" s="59">
        <f ca="1">AVERAGE(OFFSET($DS$3,0,0,'Données projet'!$E$14+1,1))-AVERAGE(OFFSET($H$3,0,0,'Données projet'!$E$14+1,1))</f>
        <v>278.45534008146865</v>
      </c>
      <c r="DU116" s="59">
        <f t="shared" si="98"/>
        <v>272.97841038165217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11.198338580358888</v>
      </c>
      <c r="EB116" s="21">
        <f>EXP(-LN(2)/25)*EB115+(1-EXP(-LN(2)/25))/(LN(2)/25)*Calculateur!DW116*Calculateur!DY116*VLOOKUP('Données projet'!$B$14,Paramètres!$A$1:$I$89,3,0)*0.475*44/12</f>
        <v>2.4943039554141246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13.692642535773013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6.8461538461538511</v>
      </c>
      <c r="EJ116" s="12">
        <f>IF('Données projet'!$A$192&gt;35,EJ115+EI116-ER115,IF(A116&lt;'Données projet'!$A$192,$EG$205^A116,IF(A116='Données projet'!$A$192,'Données projet'!$B$192,EJ115+EI116-ER115)))</f>
        <v>316.26282051282089</v>
      </c>
      <c r="EK116" s="17">
        <f>EJ116*VLOOKUP('Données projet'!$B$15,Paramètres!$A$1:$I$89,3,0)*VLOOKUP('Données projet'!$B$15,Paramètres!$A$1:$I$89,5,0)</f>
        <v>340.42530000000039</v>
      </c>
      <c r="EL116" s="13">
        <f t="shared" si="99"/>
        <v>79.587809700462586</v>
      </c>
      <c r="EM116" s="20">
        <f t="shared" si="73"/>
        <v>731.5228327283063</v>
      </c>
      <c r="EN116" s="59">
        <f t="shared" si="74"/>
        <v>1024.8561660616397</v>
      </c>
      <c r="EO116" s="59">
        <f ca="1">AVERAGE(OFFSET($EN$3,0,0,'Données projet'!$E$15+1,1))-AVERAGE(OFFSET($H$3,0,0,'Données projet'!$E$15+1,1))</f>
        <v>449.09332781196957</v>
      </c>
      <c r="EP116" s="59">
        <f t="shared" si="100"/>
        <v>324.85904971519432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66.127811446463923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66.127811446463923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6.8461538461538511</v>
      </c>
      <c r="FE116" s="12">
        <f>IF('Données projet'!$A$218&gt;35,FE115+FD116-FM115,IF(A116&lt;'Données projet'!$A$218,$FB$205^A116,IF(A116='Données projet'!$A$218,'Données projet'!$B$218,FE115+FD116-FM115)))</f>
        <v>316.26282051282089</v>
      </c>
      <c r="FF116" s="17">
        <f>FE116*VLOOKUP('Données projet'!$B$16,Paramètres!$A$1:$I$89,3,0)*VLOOKUP('Données projet'!$B$16,Paramètres!$A$1:$I$89,5,0)</f>
        <v>320.69050000000038</v>
      </c>
      <c r="FG116" s="13">
        <f t="shared" si="101"/>
        <v>75.497007588010661</v>
      </c>
      <c r="FH116" s="20">
        <f t="shared" si="76"/>
        <v>690.02657571578584</v>
      </c>
      <c r="FI116" s="59">
        <f t="shared" si="77"/>
        <v>983.3599090491191</v>
      </c>
      <c r="FJ116" s="59">
        <f ca="1">AVERAGE(OFFSET($FI$3,0,0,'Données projet'!$E$16+1,1))-AVERAGE(OFFSET($H$3,0,0,'Données projet'!$E$16+1,1))</f>
        <v>419.51168383014721</v>
      </c>
      <c r="FK116" s="59">
        <f t="shared" si="102"/>
        <v>213.44145308833384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62.294315130726915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62.294315130726915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266.99999999999983</v>
      </c>
      <c r="GA116" s="17">
        <f>FZ116*VLOOKUP('Données projet'!$B$17,Paramètres!$A$1:$I$89,3,0)*VLOOKUP('Données projet'!$B$17,Paramètres!$A$1:$I$89,5,0)</f>
        <v>233.2511999999999</v>
      </c>
      <c r="GB116" s="13">
        <f t="shared" si="103"/>
        <v>56.985091661350864</v>
      </c>
      <c r="GC116" s="20">
        <f t="shared" si="79"/>
        <v>505.49487464351915</v>
      </c>
      <c r="GD116" s="59">
        <f t="shared" si="80"/>
        <v>798.82820797685247</v>
      </c>
      <c r="GE116" s="59">
        <f ca="1">AVERAGE(OFFSET($GD$3,0,0,'Données projet'!$E$17+1,1))-AVERAGE(OFFSET($H$3,0,0,'Données projet'!$E$17+1,1))</f>
        <v>324.86930206492627</v>
      </c>
      <c r="GF116" s="59">
        <f t="shared" si="104"/>
        <v>317.03005098025352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16.445655074965448</v>
      </c>
      <c r="GM116" s="21">
        <f>EXP(-LN(2)/25)*GM115+(1-EXP(-LN(2)/25))/(LN(2)/25)*Calculateur!GH116*Calculateur!GJ116*VLOOKUP('Données projet'!$B$17,Paramètres!$A$1:$I$89,3,0)*0.475*44/12</f>
        <v>3.6630846806873465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20.108739755652795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6.8461538461538511</v>
      </c>
      <c r="GU116" s="12">
        <f>IF('Données projet'!$A$270&gt;35,GU115+GT116-HC115,IF(A116&lt;'Données projet'!$A$270,$GR$205^A116,IF(A116='Données projet'!$A$270,'Données projet'!$B$270,GU115+GT116-HC115)))</f>
        <v>316.26282051282089</v>
      </c>
      <c r="GV116" s="17">
        <f>GU116*VLOOKUP('Données projet'!$B$18,Paramètres!$A$1:$I$89,3,0)*VLOOKUP('Données projet'!$B$18,Paramètres!$A$1:$I$89,5,0)</f>
        <v>300.95570000000038</v>
      </c>
      <c r="GW116" s="13">
        <f t="shared" si="105"/>
        <v>71.376777802176036</v>
      </c>
      <c r="GX116" s="20">
        <f t="shared" si="82"/>
        <v>648.47906550545724</v>
      </c>
      <c r="GY116" s="59">
        <f t="shared" si="83"/>
        <v>941.81239883879061</v>
      </c>
      <c r="GZ116" s="59">
        <f ca="1">AVERAGE(OFFSET($GY$3,0,0,'Données projet'!$E$18+1,1))-AVERAGE(OFFSET($H$3,0,0,'Données projet'!$E$18+1,1))</f>
        <v>401.81944956556271</v>
      </c>
      <c r="HA116" s="59">
        <f t="shared" si="106"/>
        <v>292.20785523952651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58.46081881498985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58.46081881498985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323.10897435897476</v>
      </c>
      <c r="O117" s="13">
        <f>N117*VLOOKUP('Données projet'!$B$9,Paramètres!$A$1:$I$89,3,0)*VLOOKUP('Données projet'!$B$9,Paramètres!$A$1:$I$89,5,0)</f>
        <v>292.34900000000033</v>
      </c>
      <c r="P117" s="13">
        <f t="shared" si="87"/>
        <v>69.570116369442999</v>
      </c>
      <c r="Q117" s="20">
        <f t="shared" si="107"/>
        <v>630.34246101011377</v>
      </c>
      <c r="R117" s="59">
        <f t="shared" si="55"/>
        <v>923.67579434344702</v>
      </c>
      <c r="S117" s="59">
        <f ca="1">AVERAGE(OFFSET($R$3,0,0,'Données projet'!$E$9+1,1))-AVERAGE(OFFSET($H$3,0,0,'Données projet'!$E$9+1,1))</f>
        <v>384.05928630855732</v>
      </c>
      <c r="T117" s="59">
        <f t="shared" si="88"/>
        <v>279.93992813630513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-6.3550942286383367E-14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335.04906256888819</v>
      </c>
      <c r="AO117" s="59">
        <f t="shared" si="90"/>
        <v>440.84111898279554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70.456120992295851</v>
      </c>
      <c r="AV117" s="21">
        <f>EXP(-LN(2)/25)*AV116+(1-EXP(-LN(2)/25))/(LN(2)/25)*Calculateur!AQ117*Calculateur!AS117*VLOOKUP('Données projet'!$B$10,Paramètres!$A$1:$I$89,3,0)*0.475*44/12</f>
        <v>11.221466018729849</v>
      </c>
      <c r="AW117" s="21">
        <f>EXP(-LN(2)/2)*AW116+(1-EXP(-LN(2)/2))/(LN(2)/2)*AQ117*AT117*VLOOKUP('Données projet'!$B$10,Paramètres!$A$1:$I$89,3,0)*0.475*44/12</f>
        <v>4.4993478274872691E-8</v>
      </c>
      <c r="AX117" s="21">
        <f t="shared" si="60"/>
        <v>81.677587056019192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-1.4210854715202004E-13</v>
      </c>
      <c r="BE117" s="13">
        <f>BD117*VLOOKUP('Données projet'!$B$11,Paramètres!$A$1:$I$89,3,0)*VLOOKUP('Données projet'!$B$11,Paramètres!$A$1:$I$89,5,0)</f>
        <v>-8.128608897095547E-14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320.76883487964511</v>
      </c>
      <c r="BJ117" s="59">
        <f t="shared" si="92"/>
        <v>290.51177680335746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84.44421017180818</v>
      </c>
      <c r="BQ117" s="21">
        <f>EXP(-LN(2)/25)*BQ116+(1-EXP(-LN(2)/25))/(LN(2)/25)*Calculateur!BL117*Calculateur!BN117*VLOOKUP('Données projet'!$B$11,Paramètres!$A$1:$I$89,3,0)*0.475*44/12</f>
        <v>17.143620616258879</v>
      </c>
      <c r="BR117" s="21">
        <f>EXP(-LN(2)/2)*BR116+(1-EXP(-LN(2)/2))/(LN(2)/2)*BL117*BO117*VLOOKUP('Données projet'!$B$11,Paramètres!$A$1:$I$89,3,0)*0.475*44/12</f>
        <v>7.7691253196379411E-3</v>
      </c>
      <c r="BS117" s="22">
        <f t="shared" si="63"/>
        <v>101.59559991338671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304.99999999999983</v>
      </c>
      <c r="BZ117" s="13">
        <f>BY117*VLOOKUP('Données projet'!$B$12,Paramètres!$A$1:$I$89,3,0)*VLOOKUP('Données projet'!$B$12,Paramètres!$A$1:$I$89,5,0)</f>
        <v>275.96399999999983</v>
      </c>
      <c r="CA117" s="13">
        <f t="shared" si="93"/>
        <v>66.113366665488854</v>
      </c>
      <c r="CB117" s="20">
        <f t="shared" si="64"/>
        <v>595.78474694239264</v>
      </c>
      <c r="CC117" s="59">
        <f t="shared" si="65"/>
        <v>889.11808027572602</v>
      </c>
      <c r="CD117" s="59">
        <f ca="1">AVERAGE(OFFSET($CC$3,0,0,'Données projet'!$E$12+1,1))-AVERAGE(OFFSET($H$3,0,0,'Données projet'!$E$12+1,1))</f>
        <v>366.69125512029831</v>
      </c>
      <c r="CE117" s="59">
        <f t="shared" si="94"/>
        <v>513.80016421153414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0.30622528273652871</v>
      </c>
      <c r="CL117" s="21">
        <f>EXP(-LN(2)/25)*CL116+(1-EXP(-LN(2)/25))/(LN(2)/25)*Calculateur!CG117*Calculateur!CI117*VLOOKUP('Données projet'!$B$12,Paramètres!$A$1:$I$89,3,0)*0.475*44/12</f>
        <v>0.7190719355494174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1.0252972182859461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6.8461538461538511</v>
      </c>
      <c r="CT117" s="12">
        <f>IF('Données projet'!$A$140&gt;35,CT116+CS117-DB116,IF(A117&lt;'Données projet'!$A$140,$CQ$205^A117,IF(A117='Données projet'!$A$140,'Données projet'!$B$140,CT116+CS117-DB116)))</f>
        <v>323.10897435897476</v>
      </c>
      <c r="CU117" s="17">
        <f>CT117*VLOOKUP('Données projet'!$B$13,Paramètres!$A$1:$I$89,3,0)*VLOOKUP('Données projet'!$B$13,Paramètres!$A$1:$I$89,5,0)</f>
        <v>216.74150000000029</v>
      </c>
      <c r="CV117" s="13">
        <f t="shared" si="95"/>
        <v>53.406052953840948</v>
      </c>
      <c r="CW117" s="20">
        <f t="shared" si="67"/>
        <v>470.50698806127343</v>
      </c>
      <c r="CX117" s="59">
        <f t="shared" si="68"/>
        <v>763.84032139460669</v>
      </c>
      <c r="CY117" s="59">
        <f ca="1">AVERAGE(OFFSET($CX$3,0,0,'Données projet'!$E$13+1,1))-AVERAGE(OFFSET($H$3,0,0,'Données projet'!$E$13+1,1))</f>
        <v>294.94331863127815</v>
      </c>
      <c r="CZ117" s="59">
        <f t="shared" si="96"/>
        <v>218.36990036643977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49.797790233231858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49.797790233231858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266.99999999999983</v>
      </c>
      <c r="DP117" s="17">
        <f>DO117*VLOOKUP('Données projet'!$B$14,Paramètres!$A$1:$I$89,3,0)*VLOOKUP('Données projet'!$B$14,Paramètres!$A$1:$I$89,5,0)</f>
        <v>195.76439999999985</v>
      </c>
      <c r="DQ117" s="13">
        <f t="shared" si="97"/>
        <v>48.812154563023455</v>
      </c>
      <c r="DR117" s="20">
        <f t="shared" si="70"/>
        <v>425.9708325305989</v>
      </c>
      <c r="DS117" s="59">
        <f t="shared" si="71"/>
        <v>719.30416586393221</v>
      </c>
      <c r="DT117" s="59">
        <f ca="1">AVERAGE(OFFSET($DS$3,0,0,'Données projet'!$E$14+1,1))-AVERAGE(OFFSET($H$3,0,0,'Données projet'!$E$14+1,1))</f>
        <v>278.45534008146865</v>
      </c>
      <c r="DU117" s="59">
        <f t="shared" si="98"/>
        <v>272.97841038165217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10.978745991110147</v>
      </c>
      <c r="EB117" s="21">
        <f>EXP(-LN(2)/25)*EB116+(1-EXP(-LN(2)/25))/(LN(2)/25)*Calculateur!DW117*Calculateur!DY117*VLOOKUP('Données projet'!$B$14,Paramètres!$A$1:$I$89,3,0)*0.475*44/12</f>
        <v>2.4260970825835813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13.404843073693728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6.8461538461538511</v>
      </c>
      <c r="EJ117" s="12">
        <f>IF('Données projet'!$A$192&gt;35,EJ116+EI117-ER116,IF(A117&lt;'Données projet'!$A$192,$EG$205^A117,IF(A117='Données projet'!$A$192,'Données projet'!$B$192,EJ116+EI117-ER116)))</f>
        <v>323.10897435897476</v>
      </c>
      <c r="EK117" s="17">
        <f>EJ117*VLOOKUP('Données projet'!$B$15,Paramètres!$A$1:$I$89,3,0)*VLOOKUP('Données projet'!$B$15,Paramètres!$A$1:$I$89,5,0)</f>
        <v>347.79450000000043</v>
      </c>
      <c r="EL117" s="13">
        <f t="shared" si="99"/>
        <v>81.108208939911421</v>
      </c>
      <c r="EM117" s="20">
        <f t="shared" si="73"/>
        <v>747.00555140367976</v>
      </c>
      <c r="EN117" s="59">
        <f t="shared" si="74"/>
        <v>1040.3388847370131</v>
      </c>
      <c r="EO117" s="59">
        <f ca="1">AVERAGE(OFFSET($EN$3,0,0,'Données projet'!$E$15+1,1))-AVERAGE(OFFSET($H$3,0,0,'Données projet'!$E$15+1,1))</f>
        <v>449.09332781196957</v>
      </c>
      <c r="EP117" s="59">
        <f t="shared" si="100"/>
        <v>324.85904971519432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64.831085397981099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64.831085397981099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6.8461538461538511</v>
      </c>
      <c r="FE117" s="12">
        <f>IF('Données projet'!$A$218&gt;35,FE116+FD117-FM116,IF(A117&lt;'Données projet'!$A$218,$FB$205^A117,IF(A117='Données projet'!$A$218,'Données projet'!$B$218,FE116+FD117-FM116)))</f>
        <v>323.10897435897476</v>
      </c>
      <c r="FF117" s="17">
        <f>FE117*VLOOKUP('Données projet'!$B$16,Paramètres!$A$1:$I$89,3,0)*VLOOKUP('Données projet'!$B$16,Paramètres!$A$1:$I$89,5,0)</f>
        <v>327.63250000000045</v>
      </c>
      <c r="FG117" s="13">
        <f t="shared" si="101"/>
        <v>76.939258522537983</v>
      </c>
      <c r="FH117" s="20">
        <f t="shared" si="76"/>
        <v>704.62914609342113</v>
      </c>
      <c r="FI117" s="59">
        <f t="shared" si="77"/>
        <v>997.9624794267545</v>
      </c>
      <c r="FJ117" s="59">
        <f ca="1">AVERAGE(OFFSET($FI$3,0,0,'Données projet'!$E$16+1,1))-AVERAGE(OFFSET($H$3,0,0,'Données projet'!$E$16+1,1))</f>
        <v>419.51168383014721</v>
      </c>
      <c r="FK117" s="59">
        <f t="shared" si="102"/>
        <v>213.44145308833384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61.072761606793819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61.072761606793819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266.99999999999983</v>
      </c>
      <c r="GA117" s="17">
        <f>FZ117*VLOOKUP('Données projet'!$B$17,Paramètres!$A$1:$I$89,3,0)*VLOOKUP('Données projet'!$B$17,Paramètres!$A$1:$I$89,5,0)</f>
        <v>233.2511999999999</v>
      </c>
      <c r="GB117" s="13">
        <f t="shared" si="103"/>
        <v>56.985091661350864</v>
      </c>
      <c r="GC117" s="20">
        <f t="shared" si="79"/>
        <v>505.49487464351915</v>
      </c>
      <c r="GD117" s="59">
        <f t="shared" si="80"/>
        <v>798.82820797685247</v>
      </c>
      <c r="GE117" s="59">
        <f ca="1">AVERAGE(OFFSET($GD$3,0,0,'Données projet'!$E$17+1,1))-AVERAGE(OFFSET($H$3,0,0,'Données projet'!$E$17+1,1))</f>
        <v>324.86930206492627</v>
      </c>
      <c r="GF117" s="59">
        <f t="shared" si="104"/>
        <v>317.03005098025352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16.123165809804505</v>
      </c>
      <c r="GM117" s="21">
        <f>EXP(-LN(2)/25)*GM116+(1-EXP(-LN(2)/25))/(LN(2)/25)*Calculateur!GH117*Calculateur!GJ117*VLOOKUP('Données projet'!$B$17,Paramètres!$A$1:$I$89,3,0)*0.475*44/12</f>
        <v>3.5629174374606998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19.686083247265206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6.8461538461538511</v>
      </c>
      <c r="GU117" s="12">
        <f>IF('Données projet'!$A$270&gt;35,GU116+GT117-HC116,IF(A117&lt;'Données projet'!$A$270,$GR$205^A117,IF(A117='Données projet'!$A$270,'Données projet'!$B$270,GU116+GT117-HC116)))</f>
        <v>323.10897435897476</v>
      </c>
      <c r="GV117" s="17">
        <f>GU117*VLOOKUP('Données projet'!$B$18,Paramètres!$A$1:$I$89,3,0)*VLOOKUP('Données projet'!$B$18,Paramètres!$A$1:$I$89,5,0)</f>
        <v>307.47050000000041</v>
      </c>
      <c r="GW117" s="13">
        <f t="shared" si="105"/>
        <v>72.740318262620519</v>
      </c>
      <c r="GX117" s="20">
        <f t="shared" si="82"/>
        <v>662.2005084740648</v>
      </c>
      <c r="GY117" s="59">
        <f t="shared" si="83"/>
        <v>955.53384180739818</v>
      </c>
      <c r="GZ117" s="59">
        <f ca="1">AVERAGE(OFFSET($GY$3,0,0,'Données projet'!$E$18+1,1))-AVERAGE(OFFSET($H$3,0,0,'Données projet'!$E$18+1,1))</f>
        <v>401.81944956556271</v>
      </c>
      <c r="HA117" s="59">
        <f t="shared" si="106"/>
        <v>292.20785523952651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57.314437815606482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57.314437815606482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329.95512820512863</v>
      </c>
      <c r="O118" s="13">
        <f>N118*VLOOKUP('Données projet'!$B$9,Paramètres!$A$1:$I$89,3,0)*VLOOKUP('Données projet'!$B$9,Paramètres!$A$1:$I$89,5,0)</f>
        <v>298.54340000000036</v>
      </c>
      <c r="P118" s="13">
        <f t="shared" si="87"/>
        <v>70.871017722198957</v>
      </c>
      <c r="Q118" s="20">
        <f t="shared" si="107"/>
        <v>643.39677753283047</v>
      </c>
      <c r="R118" s="59">
        <f t="shared" si="55"/>
        <v>936.73011086616384</v>
      </c>
      <c r="S118" s="59">
        <f ca="1">AVERAGE(OFFSET($R$3,0,0,'Données projet'!$E$9+1,1))-AVERAGE(OFFSET($H$3,0,0,'Données projet'!$E$9+1,1))</f>
        <v>384.05928630855732</v>
      </c>
      <c r="T118" s="59">
        <f t="shared" si="88"/>
        <v>279.93992813630513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-6.3550942286383367E-14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335.04906256888819</v>
      </c>
      <c r="AO118" s="59">
        <f t="shared" si="90"/>
        <v>440.84111898279554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69.074519433627401</v>
      </c>
      <c r="AV118" s="21">
        <f>EXP(-LN(2)/25)*AV117+(1-EXP(-LN(2)/25))/(LN(2)/25)*Calculateur!AQ118*Calculateur!AS118*VLOOKUP('Données projet'!$B$10,Paramètres!$A$1:$I$89,3,0)*0.475*44/12</f>
        <v>10.914614440336431</v>
      </c>
      <c r="AW118" s="21">
        <f>EXP(-LN(2)/2)*AW117+(1-EXP(-LN(2)/2))/(LN(2)/2)*AQ118*AT118*VLOOKUP('Données projet'!$B$10,Paramètres!$A$1:$I$89,3,0)*0.475*44/12</f>
        <v>3.1815193597332084E-8</v>
      </c>
      <c r="AX118" s="21">
        <f t="shared" si="60"/>
        <v>79.989133905779028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-1.4210854715202004E-13</v>
      </c>
      <c r="BE118" s="13">
        <f>BD118*VLOOKUP('Données projet'!$B$11,Paramètres!$A$1:$I$89,3,0)*VLOOKUP('Données projet'!$B$11,Paramètres!$A$1:$I$89,5,0)</f>
        <v>-8.128608897095547E-14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320.76883487964511</v>
      </c>
      <c r="BJ118" s="59">
        <f t="shared" si="92"/>
        <v>290.51177680335746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82.788310716221446</v>
      </c>
      <c r="BQ118" s="21">
        <f>EXP(-LN(2)/25)*BQ117+(1-EXP(-LN(2)/25))/(LN(2)/25)*Calculateur!BL118*Calculateur!BN118*VLOOKUP('Données projet'!$B$11,Paramètres!$A$1:$I$89,3,0)*0.475*44/12</f>
        <v>16.674827408963456</v>
      </c>
      <c r="BR118" s="21">
        <f>EXP(-LN(2)/2)*BR117+(1-EXP(-LN(2)/2))/(LN(2)/2)*BL118*BO118*VLOOKUP('Données projet'!$B$11,Paramètres!$A$1:$I$89,3,0)*0.475*44/12</f>
        <v>5.4936011974040921E-3</v>
      </c>
      <c r="BS118" s="22">
        <f t="shared" si="63"/>
        <v>99.468631726382299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304.99999999999983</v>
      </c>
      <c r="BZ118" s="13">
        <f>BY118*VLOOKUP('Données projet'!$B$12,Paramètres!$A$1:$I$89,3,0)*VLOOKUP('Données projet'!$B$12,Paramètres!$A$1:$I$89,5,0)</f>
        <v>275.96399999999983</v>
      </c>
      <c r="CA118" s="13">
        <f t="shared" si="93"/>
        <v>66.113366665488854</v>
      </c>
      <c r="CB118" s="20">
        <f t="shared" si="64"/>
        <v>595.78474694239264</v>
      </c>
      <c r="CC118" s="59">
        <f t="shared" si="65"/>
        <v>889.11808027572602</v>
      </c>
      <c r="CD118" s="59">
        <f ca="1">AVERAGE(OFFSET($CC$3,0,0,'Données projet'!$E$12+1,1))-AVERAGE(OFFSET($H$3,0,0,'Données projet'!$E$12+1,1))</f>
        <v>366.69125512029831</v>
      </c>
      <c r="CE118" s="59">
        <f t="shared" si="94"/>
        <v>513.80016421153414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0.30022039172104498</v>
      </c>
      <c r="CL118" s="21">
        <f>EXP(-LN(2)/25)*CL117+(1-EXP(-LN(2)/25))/(LN(2)/25)*Calculateur!CG118*Calculateur!CI118*VLOOKUP('Données projet'!$B$12,Paramètres!$A$1:$I$89,3,0)*0.475*44/12</f>
        <v>0.6994088756574689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0.99962926737851387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6.8461538461538511</v>
      </c>
      <c r="CT118" s="12">
        <f>IF('Données projet'!$A$140&gt;35,CT117+CS118-DB117,IF(A118&lt;'Données projet'!$A$140,$CQ$205^A118,IF(A118='Données projet'!$A$140,'Données projet'!$B$140,CT117+CS118-DB117)))</f>
        <v>329.95512820512863</v>
      </c>
      <c r="CU118" s="17">
        <f>CT118*VLOOKUP('Données projet'!$B$13,Paramètres!$A$1:$I$89,3,0)*VLOOKUP('Données projet'!$B$13,Paramètres!$A$1:$I$89,5,0)</f>
        <v>221.33390000000028</v>
      </c>
      <c r="CV118" s="13">
        <f t="shared" si="95"/>
        <v>54.404700220205555</v>
      </c>
      <c r="CW118" s="20">
        <f t="shared" si="67"/>
        <v>480.24472871685845</v>
      </c>
      <c r="CX118" s="59">
        <f t="shared" si="68"/>
        <v>773.57806205019176</v>
      </c>
      <c r="CY118" s="59">
        <f ca="1">AVERAGE(OFFSET($CX$3,0,0,'Données projet'!$E$13+1,1))-AVERAGE(OFFSET($H$3,0,0,'Données projet'!$E$13+1,1))</f>
        <v>294.94331863127815</v>
      </c>
      <c r="CZ118" s="59">
        <f t="shared" si="96"/>
        <v>218.36990036643977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48.821285940411073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48.821285940411073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266.99999999999983</v>
      </c>
      <c r="DP118" s="17">
        <f>DO118*VLOOKUP('Données projet'!$B$14,Paramètres!$A$1:$I$89,3,0)*VLOOKUP('Données projet'!$B$14,Paramètres!$A$1:$I$89,5,0)</f>
        <v>195.76439999999985</v>
      </c>
      <c r="DQ118" s="13">
        <f t="shared" si="97"/>
        <v>48.812154563023455</v>
      </c>
      <c r="DR118" s="20">
        <f t="shared" si="70"/>
        <v>425.9708325305989</v>
      </c>
      <c r="DS118" s="59">
        <f t="shared" si="71"/>
        <v>719.30416586393221</v>
      </c>
      <c r="DT118" s="59">
        <f ca="1">AVERAGE(OFFSET($DS$3,0,0,'Données projet'!$E$14+1,1))-AVERAGE(OFFSET($H$3,0,0,'Données projet'!$E$14+1,1))</f>
        <v>278.45534008146865</v>
      </c>
      <c r="DU118" s="59">
        <f t="shared" si="98"/>
        <v>272.97841038165217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10.763459478598319</v>
      </c>
      <c r="EB118" s="21">
        <f>EXP(-LN(2)/25)*EB117+(1-EXP(-LN(2)/25))/(LN(2)/25)*Calculateur!DW118*Calculateur!DY118*VLOOKUP('Données projet'!$B$14,Paramètres!$A$1:$I$89,3,0)*0.475*44/12</f>
        <v>2.3597553302774328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13.123214808875751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6.8461538461538511</v>
      </c>
      <c r="EJ118" s="12">
        <f>IF('Données projet'!$A$192&gt;35,EJ117+EI118-ER117,IF(A118&lt;'Données projet'!$A$192,$EG$205^A118,IF(A118='Données projet'!$A$192,'Données projet'!$B$192,EJ117+EI118-ER117)))</f>
        <v>329.95512820512863</v>
      </c>
      <c r="EK118" s="17">
        <f>EJ118*VLOOKUP('Données projet'!$B$15,Paramètres!$A$1:$I$89,3,0)*VLOOKUP('Données projet'!$B$15,Paramètres!$A$1:$I$89,5,0)</f>
        <v>355.16370000000046</v>
      </c>
      <c r="EL118" s="13">
        <f t="shared" si="99"/>
        <v>82.624862702127828</v>
      </c>
      <c r="EM118" s="20">
        <f t="shared" si="73"/>
        <v>762.48174670620676</v>
      </c>
      <c r="EN118" s="59">
        <f t="shared" si="74"/>
        <v>1055.8150800395401</v>
      </c>
      <c r="EO118" s="59">
        <f ca="1">AVERAGE(OFFSET($EN$3,0,0,'Données projet'!$E$15+1,1))-AVERAGE(OFFSET($H$3,0,0,'Données projet'!$E$15+1,1))</f>
        <v>449.09332781196957</v>
      </c>
      <c r="EP118" s="59">
        <f t="shared" si="100"/>
        <v>324.85904971519432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63.559787356384227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63.559787356384227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6.8461538461538511</v>
      </c>
      <c r="FE118" s="12">
        <f>IF('Données projet'!$A$218&gt;35,FE117+FD118-FM117,IF(A118&lt;'Données projet'!$A$218,$FB$205^A118,IF(A118='Données projet'!$A$218,'Données projet'!$B$218,FE117+FD118-FM117)))</f>
        <v>329.95512820512863</v>
      </c>
      <c r="FF118" s="17">
        <f>FE118*VLOOKUP('Données projet'!$B$16,Paramètres!$A$1:$I$89,3,0)*VLOOKUP('Données projet'!$B$16,Paramètres!$A$1:$I$89,5,0)</f>
        <v>334.57450000000046</v>
      </c>
      <c r="FG118" s="13">
        <f t="shared" si="101"/>
        <v>78.377956496830535</v>
      </c>
      <c r="FH118" s="20">
        <f t="shared" si="76"/>
        <v>719.22552839864738</v>
      </c>
      <c r="FI118" s="59">
        <f t="shared" si="77"/>
        <v>1012.5588617319806</v>
      </c>
      <c r="FJ118" s="59">
        <f ca="1">AVERAGE(OFFSET($FI$3,0,0,'Données projet'!$E$16+1,1))-AVERAGE(OFFSET($H$3,0,0,'Données projet'!$E$16+1,1))</f>
        <v>419.51168383014721</v>
      </c>
      <c r="FK118" s="59">
        <f t="shared" si="102"/>
        <v>213.44145308833384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59.875162002390972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59.875162002390972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266.99999999999983</v>
      </c>
      <c r="GA118" s="17">
        <f>FZ118*VLOOKUP('Données projet'!$B$17,Paramètres!$A$1:$I$89,3,0)*VLOOKUP('Données projet'!$B$17,Paramètres!$A$1:$I$89,5,0)</f>
        <v>233.2511999999999</v>
      </c>
      <c r="GB118" s="13">
        <f t="shared" si="103"/>
        <v>56.985091661350864</v>
      </c>
      <c r="GC118" s="20">
        <f t="shared" si="79"/>
        <v>505.49487464351915</v>
      </c>
      <c r="GD118" s="59">
        <f t="shared" si="80"/>
        <v>798.82820797685247</v>
      </c>
      <c r="GE118" s="59">
        <f ca="1">AVERAGE(OFFSET($GD$3,0,0,'Données projet'!$E$17+1,1))-AVERAGE(OFFSET($H$3,0,0,'Données projet'!$E$17+1,1))</f>
        <v>324.86930206492627</v>
      </c>
      <c r="GF118" s="59">
        <f t="shared" si="104"/>
        <v>317.03005098025352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15.807000362434339</v>
      </c>
      <c r="GM118" s="21">
        <f>EXP(-LN(2)/25)*GM117+(1-EXP(-LN(2)/25))/(LN(2)/25)*Calculateur!GH118*Calculateur!GJ118*VLOOKUP('Données projet'!$B$17,Paramètres!$A$1:$I$89,3,0)*0.475*44/12</f>
        <v>3.4654892727676523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19.272489635201993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6.8461538461538511</v>
      </c>
      <c r="GU118" s="12">
        <f>IF('Données projet'!$A$270&gt;35,GU117+GT118-HC117,IF(A118&lt;'Données projet'!$A$270,$GR$205^A118,IF(A118='Données projet'!$A$270,'Données projet'!$B$270,GU117+GT118-HC117)))</f>
        <v>329.95512820512863</v>
      </c>
      <c r="GV118" s="17">
        <f>GU118*VLOOKUP('Données projet'!$B$18,Paramètres!$A$1:$I$89,3,0)*VLOOKUP('Données projet'!$B$18,Paramètres!$A$1:$I$89,5,0)</f>
        <v>313.98530000000039</v>
      </c>
      <c r="GW118" s="13">
        <f t="shared" si="105"/>
        <v>74.100499664721866</v>
      </c>
      <c r="GX118" s="20">
        <f t="shared" si="82"/>
        <v>675.91610108272448</v>
      </c>
      <c r="GY118" s="59">
        <f t="shared" si="83"/>
        <v>969.24943441605774</v>
      </c>
      <c r="GZ118" s="59">
        <f ca="1">AVERAGE(OFFSET($GY$3,0,0,'Données projet'!$E$18+1,1))-AVERAGE(OFFSET($H$3,0,0,'Données projet'!$E$18+1,1))</f>
        <v>401.81944956556271</v>
      </c>
      <c r="HA118" s="59">
        <f t="shared" si="106"/>
        <v>292.20785523952651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56.190536648397654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56.190536648397654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336.8012820512825</v>
      </c>
      <c r="O119" s="13">
        <f>N119*VLOOKUP('Données projet'!$B$9,Paramètres!$A$1:$I$89,3,0)*VLOOKUP('Données projet'!$B$9,Paramètres!$A$1:$I$89,5,0)</f>
        <v>304.73780000000039</v>
      </c>
      <c r="P119" s="13">
        <f t="shared" si="87"/>
        <v>72.168780751383139</v>
      </c>
      <c r="Q119" s="20">
        <f t="shared" si="107"/>
        <v>656.4456281419931</v>
      </c>
      <c r="R119" s="59">
        <f t="shared" si="55"/>
        <v>949.77896147532647</v>
      </c>
      <c r="S119" s="59">
        <f ca="1">AVERAGE(OFFSET($R$3,0,0,'Données projet'!$E$9+1,1))-AVERAGE(OFFSET($H$3,0,0,'Données projet'!$E$9+1,1))</f>
        <v>384.05928630855732</v>
      </c>
      <c r="T119" s="59">
        <f t="shared" si="88"/>
        <v>279.93992813630513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-6.3550942286383367E-14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335.04906256888819</v>
      </c>
      <c r="AO119" s="59">
        <f t="shared" si="90"/>
        <v>440.84111898279554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67.720010238830696</v>
      </c>
      <c r="AV119" s="21">
        <f>EXP(-LN(2)/25)*AV118+(1-EXP(-LN(2)/25))/(LN(2)/25)*Calculateur!AQ119*Calculateur!AS119*VLOOKUP('Données projet'!$B$10,Paramètres!$A$1:$I$89,3,0)*0.475*44/12</f>
        <v>10.616153734490803</v>
      </c>
      <c r="AW119" s="21">
        <f>EXP(-LN(2)/2)*AW118+(1-EXP(-LN(2)/2))/(LN(2)/2)*AQ119*AT119*VLOOKUP('Données projet'!$B$10,Paramètres!$A$1:$I$89,3,0)*0.475*44/12</f>
        <v>2.2496739137436346E-8</v>
      </c>
      <c r="AX119" s="21">
        <f t="shared" si="60"/>
        <v>78.336163995818239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-1.4210854715202004E-13</v>
      </c>
      <c r="BE119" s="13">
        <f>BD119*VLOOKUP('Données projet'!$B$11,Paramètres!$A$1:$I$89,3,0)*VLOOKUP('Données projet'!$B$11,Paramètres!$A$1:$I$89,5,0)</f>
        <v>-8.128608897095547E-14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320.76883487964511</v>
      </c>
      <c r="BJ119" s="59">
        <f t="shared" si="92"/>
        <v>290.51177680335746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81.164882438959822</v>
      </c>
      <c r="BQ119" s="21">
        <f>EXP(-LN(2)/25)*BQ118+(1-EXP(-LN(2)/25))/(LN(2)/25)*Calculateur!BL119*Calculateur!BN119*VLOOKUP('Données projet'!$B$11,Paramètres!$A$1:$I$89,3,0)*0.475*44/12</f>
        <v>16.218853376574287</v>
      </c>
      <c r="BR119" s="21">
        <f>EXP(-LN(2)/2)*BR118+(1-EXP(-LN(2)/2))/(LN(2)/2)*BL119*BO119*VLOOKUP('Données projet'!$B$11,Paramètres!$A$1:$I$89,3,0)*0.475*44/12</f>
        <v>3.884562659818971E-3</v>
      </c>
      <c r="BS119" s="22">
        <f t="shared" si="63"/>
        <v>97.38762037819393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304.99999999999983</v>
      </c>
      <c r="BZ119" s="13">
        <f>BY119*VLOOKUP('Données projet'!$B$12,Paramètres!$A$1:$I$89,3,0)*VLOOKUP('Données projet'!$B$12,Paramètres!$A$1:$I$89,5,0)</f>
        <v>275.96399999999983</v>
      </c>
      <c r="CA119" s="13">
        <f t="shared" si="93"/>
        <v>66.113366665488854</v>
      </c>
      <c r="CB119" s="20">
        <f t="shared" si="64"/>
        <v>595.78474694239264</v>
      </c>
      <c r="CC119" s="59">
        <f t="shared" si="65"/>
        <v>889.11808027572602</v>
      </c>
      <c r="CD119" s="59">
        <f ca="1">AVERAGE(OFFSET($CC$3,0,0,'Données projet'!$E$12+1,1))-AVERAGE(OFFSET($H$3,0,0,'Données projet'!$E$12+1,1))</f>
        <v>366.69125512029831</v>
      </c>
      <c r="CE119" s="59">
        <f t="shared" si="94"/>
        <v>513.80016421153414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0.29433325295575302</v>
      </c>
      <c r="CL119" s="21">
        <f>EXP(-LN(2)/25)*CL118+(1-EXP(-LN(2)/25))/(LN(2)/25)*Calculateur!CG119*Calculateur!CI119*VLOOKUP('Données projet'!$B$12,Paramètres!$A$1:$I$89,3,0)*0.475*44/12</f>
        <v>0.68028350317230113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0.9746167561280541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6.8461538461538511</v>
      </c>
      <c r="CT119" s="12">
        <f>IF('Données projet'!$A$140&gt;35,CT118+CS119-DB118,IF(A119&lt;'Données projet'!$A$140,$CQ$205^A119,IF(A119='Données projet'!$A$140,'Données projet'!$B$140,CT118+CS119-DB118)))</f>
        <v>336.8012820512825</v>
      </c>
      <c r="CU119" s="17">
        <f>CT119*VLOOKUP('Données projet'!$B$13,Paramètres!$A$1:$I$89,3,0)*VLOOKUP('Données projet'!$B$13,Paramètres!$A$1:$I$89,5,0)</f>
        <v>225.92630000000028</v>
      </c>
      <c r="CV119" s="13">
        <f t="shared" si="95"/>
        <v>55.400938327528685</v>
      </c>
      <c r="CW119" s="20">
        <f t="shared" si="67"/>
        <v>489.97827342044621</v>
      </c>
      <c r="CX119" s="59">
        <f t="shared" si="68"/>
        <v>783.31160675377953</v>
      </c>
      <c r="CY119" s="59">
        <f ca="1">AVERAGE(OFFSET($CX$3,0,0,'Données projet'!$E$13+1,1))-AVERAGE(OFFSET($H$3,0,0,'Données projet'!$E$13+1,1))</f>
        <v>294.94331863127815</v>
      </c>
      <c r="CZ119" s="59">
        <f t="shared" si="96"/>
        <v>218.36990036643977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47.863930301163698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47.863930301163698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266.99999999999983</v>
      </c>
      <c r="DP119" s="17">
        <f>DO119*VLOOKUP('Données projet'!$B$14,Paramètres!$A$1:$I$89,3,0)*VLOOKUP('Données projet'!$B$14,Paramètres!$A$1:$I$89,5,0)</f>
        <v>195.76439999999985</v>
      </c>
      <c r="DQ119" s="13">
        <f t="shared" si="97"/>
        <v>48.812154563023455</v>
      </c>
      <c r="DR119" s="20">
        <f t="shared" si="70"/>
        <v>425.9708325305989</v>
      </c>
      <c r="DS119" s="59">
        <f t="shared" si="71"/>
        <v>719.30416586393221</v>
      </c>
      <c r="DT119" s="59">
        <f ca="1">AVERAGE(OFFSET($DS$3,0,0,'Données projet'!$E$14+1,1))-AVERAGE(OFFSET($H$3,0,0,'Données projet'!$E$14+1,1))</f>
        <v>278.45534008146865</v>
      </c>
      <c r="DU119" s="59">
        <f t="shared" si="98"/>
        <v>272.97841038165217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10.552394603285043</v>
      </c>
      <c r="EB119" s="21">
        <f>EXP(-LN(2)/25)*EB118+(1-EXP(-LN(2)/25))/(LN(2)/25)*Calculateur!DW119*Calculateur!DY119*VLOOKUP('Données projet'!$B$14,Paramètres!$A$1:$I$89,3,0)*0.475*44/12</f>
        <v>2.2952276966768568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12.8476222999619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6.8461538461538511</v>
      </c>
      <c r="EJ119" s="12">
        <f>IF('Données projet'!$A$192&gt;35,EJ118+EI119-ER118,IF(A119&lt;'Données projet'!$A$192,$EG$205^A119,IF(A119='Données projet'!$A$192,'Données projet'!$B$192,EJ118+EI119-ER118)))</f>
        <v>336.8012820512825</v>
      </c>
      <c r="EK119" s="17">
        <f>EJ119*VLOOKUP('Données projet'!$B$15,Paramètres!$A$1:$I$89,3,0)*VLOOKUP('Données projet'!$B$15,Paramètres!$A$1:$I$89,5,0)</f>
        <v>362.53290000000044</v>
      </c>
      <c r="EL119" s="13">
        <f t="shared" si="99"/>
        <v>84.13785765482551</v>
      </c>
      <c r="EM119" s="20">
        <f t="shared" si="73"/>
        <v>777.95156958215512</v>
      </c>
      <c r="EN119" s="59">
        <f t="shared" si="74"/>
        <v>1071.2849029154884</v>
      </c>
      <c r="EO119" s="59">
        <f ca="1">AVERAGE(OFFSET($EN$3,0,0,'Données projet'!$E$15+1,1))-AVERAGE(OFFSET($H$3,0,0,'Données projet'!$E$15+1,1))</f>
        <v>449.09332781196957</v>
      </c>
      <c r="EP119" s="59">
        <f t="shared" si="100"/>
        <v>324.85904971519432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62.313418693967833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62.313418693967833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6.8461538461538511</v>
      </c>
      <c r="FE119" s="12">
        <f>IF('Données projet'!$A$218&gt;35,FE118+FD119-FM118,IF(A119&lt;'Données projet'!$A$218,$FB$205^A119,IF(A119='Données projet'!$A$218,'Données projet'!$B$218,FE118+FD119-FM118)))</f>
        <v>336.8012820512825</v>
      </c>
      <c r="FF119" s="17">
        <f>FE119*VLOOKUP('Données projet'!$B$16,Paramètres!$A$1:$I$89,3,0)*VLOOKUP('Données projet'!$B$16,Paramètres!$A$1:$I$89,5,0)</f>
        <v>341.51650000000046</v>
      </c>
      <c r="FG119" s="13">
        <f t="shared" si="101"/>
        <v>79.813183723893872</v>
      </c>
      <c r="FH119" s="20">
        <f t="shared" si="76"/>
        <v>733.81586581911597</v>
      </c>
      <c r="FI119" s="59">
        <f t="shared" si="77"/>
        <v>1027.1491991524492</v>
      </c>
      <c r="FJ119" s="59">
        <f ca="1">AVERAGE(OFFSET($FI$3,0,0,'Données projet'!$E$16+1,1))-AVERAGE(OFFSET($H$3,0,0,'Données projet'!$E$16+1,1))</f>
        <v>419.51168383014721</v>
      </c>
      <c r="FK119" s="59">
        <f t="shared" si="102"/>
        <v>213.44145308833384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58.701046595766833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58.701046595766833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266.99999999999983</v>
      </c>
      <c r="GA119" s="17">
        <f>FZ119*VLOOKUP('Données projet'!$B$17,Paramètres!$A$1:$I$89,3,0)*VLOOKUP('Données projet'!$B$17,Paramètres!$A$1:$I$89,5,0)</f>
        <v>233.2511999999999</v>
      </c>
      <c r="GB119" s="13">
        <f t="shared" si="103"/>
        <v>56.985091661350864</v>
      </c>
      <c r="GC119" s="20">
        <f t="shared" si="79"/>
        <v>505.49487464351915</v>
      </c>
      <c r="GD119" s="59">
        <f t="shared" si="80"/>
        <v>798.82820797685247</v>
      </c>
      <c r="GE119" s="59">
        <f ca="1">AVERAGE(OFFSET($GD$3,0,0,'Données projet'!$E$17+1,1))-AVERAGE(OFFSET($H$3,0,0,'Données projet'!$E$17+1,1))</f>
        <v>324.86930206492627</v>
      </c>
      <c r="GF119" s="59">
        <f t="shared" si="104"/>
        <v>317.03005098025352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15.497034726645222</v>
      </c>
      <c r="GM119" s="21">
        <f>EXP(-LN(2)/25)*GM118+(1-EXP(-LN(2)/25))/(LN(2)/25)*Calculateur!GH119*Calculateur!GJ119*VLOOKUP('Données projet'!$B$17,Paramètres!$A$1:$I$89,3,0)*0.475*44/12</f>
        <v>3.3707252863616604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18.867760013006883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6.8461538461538511</v>
      </c>
      <c r="GU119" s="12">
        <f>IF('Données projet'!$A$270&gt;35,GU118+GT119-HC118,IF(A119&lt;'Données projet'!$A$270,$GR$205^A119,IF(A119='Données projet'!$A$270,'Données projet'!$B$270,GU118+GT119-HC118)))</f>
        <v>336.8012820512825</v>
      </c>
      <c r="GV119" s="17">
        <f>GU119*VLOOKUP('Données projet'!$B$18,Paramètres!$A$1:$I$89,3,0)*VLOOKUP('Données projet'!$B$18,Paramètres!$A$1:$I$89,5,0)</f>
        <v>320.50010000000043</v>
      </c>
      <c r="GW119" s="13">
        <f t="shared" si="105"/>
        <v>75.457399734732135</v>
      </c>
      <c r="GX119" s="20">
        <f t="shared" si="82"/>
        <v>689.62597870465913</v>
      </c>
      <c r="GY119" s="59">
        <f t="shared" si="83"/>
        <v>982.9593120379925</v>
      </c>
      <c r="GZ119" s="59">
        <f ca="1">AVERAGE(OFFSET($GY$3,0,0,'Données projet'!$E$18+1,1))-AVERAGE(OFFSET($H$3,0,0,'Données projet'!$E$18+1,1))</f>
        <v>401.81944956556271</v>
      </c>
      <c r="HA119" s="59">
        <f t="shared" si="106"/>
        <v>292.20785523952651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55.088674497565769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55.088674497565769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343.64743589743637</v>
      </c>
      <c r="O120" s="13">
        <f>N120*VLOOKUP('Données projet'!$B$9,Paramètres!$A$1:$I$89,3,0)*VLOOKUP('Données projet'!$B$9,Paramètres!$A$1:$I$89,5,0)</f>
        <v>310.93220000000042</v>
      </c>
      <c r="P120" s="13">
        <f t="shared" si="87"/>
        <v>73.463476600811546</v>
      </c>
      <c r="Q120" s="20">
        <f t="shared" si="107"/>
        <v>669.48913674641415</v>
      </c>
      <c r="R120" s="59">
        <f t="shared" si="55"/>
        <v>962.82247007974752</v>
      </c>
      <c r="S120" s="59">
        <f ca="1">AVERAGE(OFFSET($R$3,0,0,'Données projet'!$E$9+1,1))-AVERAGE(OFFSET($H$3,0,0,'Données projet'!$E$9+1,1))</f>
        <v>384.05928630855732</v>
      </c>
      <c r="T120" s="59">
        <f t="shared" si="88"/>
        <v>279.93992813630513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-6.3550942286383367E-14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335.04906256888819</v>
      </c>
      <c r="AO120" s="59">
        <f t="shared" si="90"/>
        <v>440.84111898279554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66.392062143174925</v>
      </c>
      <c r="AV120" s="21">
        <f>EXP(-LN(2)/25)*AV119+(1-EXP(-LN(2)/25))/(LN(2)/25)*Calculateur!AQ120*Calculateur!AS120*VLOOKUP('Données projet'!$B$10,Paramètres!$A$1:$I$89,3,0)*0.475*44/12</f>
        <v>10.32585445234189</v>
      </c>
      <c r="AW120" s="21">
        <f>EXP(-LN(2)/2)*AW119+(1-EXP(-LN(2)/2))/(LN(2)/2)*AQ120*AT120*VLOOKUP('Données projet'!$B$10,Paramètres!$A$1:$I$89,3,0)*0.475*44/12</f>
        <v>1.5907596798666042E-8</v>
      </c>
      <c r="AX120" s="21">
        <f t="shared" si="60"/>
        <v>76.717916611424414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-1.4210854715202004E-13</v>
      </c>
      <c r="BE120" s="13">
        <f>BD120*VLOOKUP('Données projet'!$B$11,Paramètres!$A$1:$I$89,3,0)*VLOOKUP('Données projet'!$B$11,Paramètres!$A$1:$I$89,5,0)</f>
        <v>-8.128608897095547E-14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320.76883487964511</v>
      </c>
      <c r="BJ120" s="59">
        <f t="shared" si="92"/>
        <v>290.51177680335746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79.573288600021826</v>
      </c>
      <c r="BQ120" s="21">
        <f>EXP(-LN(2)/25)*BQ119+(1-EXP(-LN(2)/25))/(LN(2)/25)*Calculateur!BL120*Calculateur!BN120*VLOOKUP('Données projet'!$B$11,Paramètres!$A$1:$I$89,3,0)*0.475*44/12</f>
        <v>15.775347978079433</v>
      </c>
      <c r="BR120" s="21">
        <f>EXP(-LN(2)/2)*BR119+(1-EXP(-LN(2)/2))/(LN(2)/2)*BL120*BO120*VLOOKUP('Données projet'!$B$11,Paramètres!$A$1:$I$89,3,0)*0.475*44/12</f>
        <v>2.7468005987020465E-3</v>
      </c>
      <c r="BS120" s="22">
        <f t="shared" si="63"/>
        <v>95.351383378699964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304.99999999999983</v>
      </c>
      <c r="BZ120" s="13">
        <f>BY120*VLOOKUP('Données projet'!$B$12,Paramètres!$A$1:$I$89,3,0)*VLOOKUP('Données projet'!$B$12,Paramètres!$A$1:$I$89,5,0)</f>
        <v>275.96399999999983</v>
      </c>
      <c r="CA120" s="13">
        <f t="shared" si="93"/>
        <v>66.113366665488854</v>
      </c>
      <c r="CB120" s="20">
        <f t="shared" si="64"/>
        <v>595.78474694239264</v>
      </c>
      <c r="CC120" s="59">
        <f t="shared" si="65"/>
        <v>889.11808027572602</v>
      </c>
      <c r="CD120" s="59">
        <f ca="1">AVERAGE(OFFSET($CC$3,0,0,'Données projet'!$E$12+1,1))-AVERAGE(OFFSET($H$3,0,0,'Données projet'!$E$12+1,1))</f>
        <v>366.69125512029831</v>
      </c>
      <c r="CE120" s="59">
        <f t="shared" si="94"/>
        <v>513.80016421153414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0.28856155739084832</v>
      </c>
      <c r="CL120" s="21">
        <f>EXP(-LN(2)/25)*CL119+(1-EXP(-LN(2)/25))/(LN(2)/25)*Calculateur!CG120*Calculateur!CI120*VLOOKUP('Données projet'!$B$12,Paramètres!$A$1:$I$89,3,0)*0.475*44/12</f>
        <v>0.66168111500349991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0.95024267239434823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6.8461538461538511</v>
      </c>
      <c r="CT120" s="12">
        <f>IF('Données projet'!$A$140&gt;35,CT119+CS120-DB119,IF(A120&lt;'Données projet'!$A$140,$CQ$205^A120,IF(A120='Données projet'!$A$140,'Données projet'!$B$140,CT119+CS120-DB119)))</f>
        <v>343.64743589743637</v>
      </c>
      <c r="CU120" s="17">
        <f>CT120*VLOOKUP('Données projet'!$B$13,Paramètres!$A$1:$I$89,3,0)*VLOOKUP('Données projet'!$B$13,Paramètres!$A$1:$I$89,5,0)</f>
        <v>230.51870000000034</v>
      </c>
      <c r="CV120" s="13">
        <f t="shared" si="95"/>
        <v>56.394821889926483</v>
      </c>
      <c r="CW120" s="20">
        <f t="shared" si="67"/>
        <v>499.70771729162249</v>
      </c>
      <c r="CX120" s="59">
        <f t="shared" si="68"/>
        <v>793.0410506249558</v>
      </c>
      <c r="CY120" s="59">
        <f ca="1">AVERAGE(OFFSET($CX$3,0,0,'Données projet'!$E$13+1,1))-AVERAGE(OFFSET($H$3,0,0,'Données projet'!$E$13+1,1))</f>
        <v>294.94331863127815</v>
      </c>
      <c r="CZ120" s="59">
        <f t="shared" si="96"/>
        <v>218.36990036643977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46.925347822072681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46.925347822072681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266.99999999999983</v>
      </c>
      <c r="DP120" s="17">
        <f>DO120*VLOOKUP('Données projet'!$B$14,Paramètres!$A$1:$I$89,3,0)*VLOOKUP('Données projet'!$B$14,Paramètres!$A$1:$I$89,5,0)</f>
        <v>195.76439999999985</v>
      </c>
      <c r="DQ120" s="13">
        <f t="shared" si="97"/>
        <v>48.812154563023455</v>
      </c>
      <c r="DR120" s="20">
        <f t="shared" si="70"/>
        <v>425.9708325305989</v>
      </c>
      <c r="DS120" s="59">
        <f t="shared" si="71"/>
        <v>719.30416586393221</v>
      </c>
      <c r="DT120" s="59">
        <f ca="1">AVERAGE(OFFSET($DS$3,0,0,'Données projet'!$E$14+1,1))-AVERAGE(OFFSET($H$3,0,0,'Données projet'!$E$14+1,1))</f>
        <v>278.45534008146865</v>
      </c>
      <c r="DU120" s="59">
        <f t="shared" si="98"/>
        <v>272.97841038165217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10.345468581439796</v>
      </c>
      <c r="EB120" s="21">
        <f>EXP(-LN(2)/25)*EB119+(1-EXP(-LN(2)/25))/(LN(2)/25)*Calculateur!DW120*Calculateur!DY120*VLOOKUP('Données projet'!$B$14,Paramètres!$A$1:$I$89,3,0)*0.475*44/12</f>
        <v>2.2324645746104492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12.577933156050246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6.8461538461538511</v>
      </c>
      <c r="EJ120" s="12">
        <f>IF('Données projet'!$A$192&gt;35,EJ119+EI120-ER119,IF(A120&lt;'Données projet'!$A$192,$EG$205^A120,IF(A120='Données projet'!$A$192,'Données projet'!$B$192,EJ119+EI120-ER119)))</f>
        <v>343.64743589743637</v>
      </c>
      <c r="EK120" s="17">
        <f>EJ120*VLOOKUP('Données projet'!$B$15,Paramètres!$A$1:$I$89,3,0)*VLOOKUP('Données projet'!$B$15,Paramètres!$A$1:$I$89,5,0)</f>
        <v>369.90210000000053</v>
      </c>
      <c r="EL120" s="13">
        <f t="shared" si="99"/>
        <v>85.647276740908836</v>
      </c>
      <c r="EM120" s="20">
        <f t="shared" si="73"/>
        <v>793.41516449041717</v>
      </c>
      <c r="EN120" s="59">
        <f t="shared" si="74"/>
        <v>1086.7484978237505</v>
      </c>
      <c r="EO120" s="59">
        <f ca="1">AVERAGE(OFFSET($EN$3,0,0,'Données projet'!$E$15+1,1))-AVERAGE(OFFSET($H$3,0,0,'Données projet'!$E$15+1,1))</f>
        <v>449.09332781196957</v>
      </c>
      <c r="EP120" s="59">
        <f t="shared" si="100"/>
        <v>324.85904971519432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61.091490560811607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61.091490560811607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6.8461538461538511</v>
      </c>
      <c r="FE120" s="12">
        <f>IF('Données projet'!$A$218&gt;35,FE119+FD120-FM119,IF(A120&lt;'Données projet'!$A$218,$FB$205^A120,IF(A120='Données projet'!$A$218,'Données projet'!$B$218,FE119+FD120-FM119)))</f>
        <v>343.64743589743637</v>
      </c>
      <c r="FF120" s="17">
        <f>FE120*VLOOKUP('Données projet'!$B$16,Paramètres!$A$1:$I$89,3,0)*VLOOKUP('Données projet'!$B$16,Paramètres!$A$1:$I$89,5,0)</f>
        <v>348.45850000000053</v>
      </c>
      <c r="FG120" s="13">
        <f t="shared" si="101"/>
        <v>81.245018883378833</v>
      </c>
      <c r="FH120" s="20">
        <f t="shared" si="76"/>
        <v>748.40029538855242</v>
      </c>
      <c r="FI120" s="59">
        <f t="shared" si="77"/>
        <v>1041.7336287218857</v>
      </c>
      <c r="FJ120" s="59">
        <f ca="1">AVERAGE(OFFSET($FI$3,0,0,'Données projet'!$E$16+1,1))-AVERAGE(OFFSET($H$3,0,0,'Données projet'!$E$16+1,1))</f>
        <v>419.51168383014721</v>
      </c>
      <c r="FK120" s="59">
        <f t="shared" si="102"/>
        <v>213.44145308833384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57.549954876126904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57.549954876126904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266.99999999999983</v>
      </c>
      <c r="GA120" s="17">
        <f>FZ120*VLOOKUP('Données projet'!$B$17,Paramètres!$A$1:$I$89,3,0)*VLOOKUP('Données projet'!$B$17,Paramètres!$A$1:$I$89,5,0)</f>
        <v>233.2511999999999</v>
      </c>
      <c r="GB120" s="13">
        <f t="shared" si="103"/>
        <v>56.985091661350864</v>
      </c>
      <c r="GC120" s="20">
        <f t="shared" si="79"/>
        <v>505.49487464351915</v>
      </c>
      <c r="GD120" s="59">
        <f t="shared" si="80"/>
        <v>798.82820797685247</v>
      </c>
      <c r="GE120" s="59">
        <f ca="1">AVERAGE(OFFSET($GD$3,0,0,'Données projet'!$E$17+1,1))-AVERAGE(OFFSET($H$3,0,0,'Données projet'!$E$17+1,1))</f>
        <v>324.86930206492627</v>
      </c>
      <c r="GF120" s="59">
        <f t="shared" si="104"/>
        <v>317.03005098025352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15.193147327913559</v>
      </c>
      <c r="GM120" s="21">
        <f>EXP(-LN(2)/25)*GM119+(1-EXP(-LN(2)/25))/(LN(2)/25)*Calculateur!GH120*Calculateur!GJ120*VLOOKUP('Données projet'!$B$17,Paramètres!$A$1:$I$89,3,0)*0.475*44/12</f>
        <v>3.2785526261473619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18.47169995406092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6.8461538461538511</v>
      </c>
      <c r="GU120" s="12">
        <f>IF('Données projet'!$A$270&gt;35,GU119+GT120-HC119,IF(A120&lt;'Données projet'!$A$270,$GR$205^A120,IF(A120='Données projet'!$A$270,'Données projet'!$B$270,GU119+GT120-HC119)))</f>
        <v>343.64743589743637</v>
      </c>
      <c r="GV120" s="17">
        <f>GU120*VLOOKUP('Données projet'!$B$18,Paramètres!$A$1:$I$89,3,0)*VLOOKUP('Données projet'!$B$18,Paramètres!$A$1:$I$89,5,0)</f>
        <v>327.01490000000047</v>
      </c>
      <c r="GW120" s="13">
        <f t="shared" si="105"/>
        <v>76.811092858380277</v>
      </c>
      <c r="GX120" s="20">
        <f t="shared" si="82"/>
        <v>703.3302708950132</v>
      </c>
      <c r="GY120" s="59">
        <f t="shared" si="83"/>
        <v>996.66360422834646</v>
      </c>
      <c r="GZ120" s="59">
        <f ca="1">AVERAGE(OFFSET($GY$3,0,0,'Données projet'!$E$18+1,1))-AVERAGE(OFFSET($H$3,0,0,'Données projet'!$E$18+1,1))</f>
        <v>401.81944956556271</v>
      </c>
      <c r="HA120" s="59">
        <f t="shared" si="106"/>
        <v>292.20785523952651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54.008419191442144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54.008419191442144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350.49358974359023</v>
      </c>
      <c r="O121" s="13">
        <f>N121*VLOOKUP('Données projet'!$B$9,Paramètres!$A$1:$I$89,3,0)*VLOOKUP('Données projet'!$B$9,Paramètres!$A$1:$I$89,5,0)</f>
        <v>317.12660000000039</v>
      </c>
      <c r="P121" s="13">
        <f t="shared" si="87"/>
        <v>74.755173417545677</v>
      </c>
      <c r="Q121" s="20">
        <f t="shared" si="107"/>
        <v>682.52742203555931</v>
      </c>
      <c r="R121" s="59">
        <f t="shared" si="55"/>
        <v>975.86075536889257</v>
      </c>
      <c r="S121" s="59">
        <f ca="1">AVERAGE(OFFSET($R$3,0,0,'Données projet'!$E$9+1,1))-AVERAGE(OFFSET($H$3,0,0,'Données projet'!$E$9+1,1))</f>
        <v>384.05928630855732</v>
      </c>
      <c r="T121" s="59">
        <f t="shared" si="88"/>
        <v>279.93992813630513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-6.3550942286383367E-14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335.04906256888819</v>
      </c>
      <c r="AO121" s="59">
        <f t="shared" si="90"/>
        <v>440.84111898279554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65.090154299706612</v>
      </c>
      <c r="AV121" s="21">
        <f>EXP(-LN(2)/25)*AV120+(1-EXP(-LN(2)/25))/(LN(2)/25)*Calculateur!AQ121*Calculateur!AS121*VLOOKUP('Données projet'!$B$10,Paramètres!$A$1:$I$89,3,0)*0.475*44/12</f>
        <v>10.043493419329515</v>
      </c>
      <c r="AW121" s="21">
        <f>EXP(-LN(2)/2)*AW120+(1-EXP(-LN(2)/2))/(LN(2)/2)*AQ121*AT121*VLOOKUP('Données projet'!$B$10,Paramètres!$A$1:$I$89,3,0)*0.475*44/12</f>
        <v>1.1248369568718173E-8</v>
      </c>
      <c r="AX121" s="21">
        <f t="shared" si="60"/>
        <v>75.133647730284508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-1.4210854715202004E-13</v>
      </c>
      <c r="BE121" s="13">
        <f>BD121*VLOOKUP('Données projet'!$B$11,Paramètres!$A$1:$I$89,3,0)*VLOOKUP('Données projet'!$B$11,Paramètres!$A$1:$I$89,5,0)</f>
        <v>-8.128608897095547E-14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320.76883487964511</v>
      </c>
      <c r="BJ121" s="59">
        <f t="shared" si="92"/>
        <v>290.51177680335746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78.012904945489012</v>
      </c>
      <c r="BQ121" s="21">
        <f>EXP(-LN(2)/25)*BQ120+(1-EXP(-LN(2)/25))/(LN(2)/25)*Calculateur!BL121*Calculateur!BN121*VLOOKUP('Données projet'!$B$11,Paramètres!$A$1:$I$89,3,0)*0.475*44/12</f>
        <v>15.343970258029355</v>
      </c>
      <c r="BR121" s="21">
        <f>EXP(-LN(2)/2)*BR120+(1-EXP(-LN(2)/2))/(LN(2)/2)*BL121*BO121*VLOOKUP('Données projet'!$B$11,Paramètres!$A$1:$I$89,3,0)*0.475*44/12</f>
        <v>1.9422813299094859E-3</v>
      </c>
      <c r="BS121" s="22">
        <f t="shared" si="63"/>
        <v>93.358817484848274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304.99999999999983</v>
      </c>
      <c r="BZ121" s="13">
        <f>BY121*VLOOKUP('Données projet'!$B$12,Paramètres!$A$1:$I$89,3,0)*VLOOKUP('Données projet'!$B$12,Paramètres!$A$1:$I$89,5,0)</f>
        <v>275.96399999999983</v>
      </c>
      <c r="CA121" s="13">
        <f t="shared" si="93"/>
        <v>66.113366665488854</v>
      </c>
      <c r="CB121" s="20">
        <f t="shared" si="64"/>
        <v>595.78474694239264</v>
      </c>
      <c r="CC121" s="59">
        <f t="shared" si="65"/>
        <v>889.11808027572602</v>
      </c>
      <c r="CD121" s="59">
        <f ca="1">AVERAGE(OFFSET($CC$3,0,0,'Données projet'!$E$12+1,1))-AVERAGE(OFFSET($H$3,0,0,'Données projet'!$E$12+1,1))</f>
        <v>366.69125512029831</v>
      </c>
      <c r="CE121" s="59">
        <f t="shared" si="94"/>
        <v>513.80016421153414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0.28290304125558474</v>
      </c>
      <c r="CL121" s="21">
        <f>EXP(-LN(2)/25)*CL120+(1-EXP(-LN(2)/25))/(LN(2)/25)*Calculateur!CG121*Calculateur!CI121*VLOOKUP('Données projet'!$B$12,Paramètres!$A$1:$I$89,3,0)*0.475*44/12</f>
        <v>0.6435874101174317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0.92649045137301644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6.8461538461538511</v>
      </c>
      <c r="CT121" s="12">
        <f>IF('Données projet'!$A$140&gt;35,CT120+CS121-DB120,IF(A121&lt;'Données projet'!$A$140,$CQ$205^A121,IF(A121='Données projet'!$A$140,'Données projet'!$B$140,CT120+CS121-DB120)))</f>
        <v>350.49358974359023</v>
      </c>
      <c r="CU121" s="17">
        <f>CT121*VLOOKUP('Données projet'!$B$13,Paramètres!$A$1:$I$89,3,0)*VLOOKUP('Données projet'!$B$13,Paramètres!$A$1:$I$89,5,0)</f>
        <v>235.11110000000033</v>
      </c>
      <c r="CV121" s="13">
        <f t="shared" si="95"/>
        <v>57.38640322103258</v>
      </c>
      <c r="CW121" s="20">
        <f t="shared" si="67"/>
        <v>509.43315144329898</v>
      </c>
      <c r="CX121" s="59">
        <f t="shared" si="68"/>
        <v>802.7664847766323</v>
      </c>
      <c r="CY121" s="59">
        <f ca="1">AVERAGE(OFFSET($CX$3,0,0,'Données projet'!$E$13+1,1))-AVERAGE(OFFSET($H$3,0,0,'Données projet'!$E$13+1,1))</f>
        <v>294.94331863127815</v>
      </c>
      <c r="CZ121" s="59">
        <f t="shared" si="96"/>
        <v>218.36990036643977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46.005170372917853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46.005170372917853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266.99999999999983</v>
      </c>
      <c r="DP121" s="17">
        <f>DO121*VLOOKUP('Données projet'!$B$14,Paramètres!$A$1:$I$89,3,0)*VLOOKUP('Données projet'!$B$14,Paramètres!$A$1:$I$89,5,0)</f>
        <v>195.76439999999985</v>
      </c>
      <c r="DQ121" s="13">
        <f t="shared" si="97"/>
        <v>48.812154563023455</v>
      </c>
      <c r="DR121" s="20">
        <f t="shared" si="70"/>
        <v>425.9708325305989</v>
      </c>
      <c r="DS121" s="59">
        <f t="shared" si="71"/>
        <v>719.30416586393221</v>
      </c>
      <c r="DT121" s="59">
        <f ca="1">AVERAGE(OFFSET($DS$3,0,0,'Données projet'!$E$14+1,1))-AVERAGE(OFFSET($H$3,0,0,'Données projet'!$E$14+1,1))</f>
        <v>278.45534008146865</v>
      </c>
      <c r="DU121" s="59">
        <f t="shared" si="98"/>
        <v>272.97841038165217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10.142600252670524</v>
      </c>
      <c r="EB121" s="21">
        <f>EXP(-LN(2)/25)*EB120+(1-EXP(-LN(2)/25))/(LN(2)/25)*Calculateur!DW121*Calculateur!DY121*VLOOKUP('Données projet'!$B$14,Paramètres!$A$1:$I$89,3,0)*0.475*44/12</f>
        <v>2.171417713417517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12.314017966088041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6.8461538461538511</v>
      </c>
      <c r="EJ121" s="12">
        <f>IF('Données projet'!$A$192&gt;35,EJ120+EI121-ER120,IF(A121&lt;'Données projet'!$A$192,$EG$205^A121,IF(A121='Données projet'!$A$192,'Données projet'!$B$192,EJ120+EI121-ER120)))</f>
        <v>350.49358974359023</v>
      </c>
      <c r="EK121" s="17">
        <f>EJ121*VLOOKUP('Données projet'!$B$15,Paramètres!$A$1:$I$89,3,0)*VLOOKUP('Données projet'!$B$15,Paramètres!$A$1:$I$89,5,0)</f>
        <v>377.27130000000051</v>
      </c>
      <c r="EL121" s="13">
        <f t="shared" si="99"/>
        <v>87.153199409520511</v>
      </c>
      <c r="EM121" s="20">
        <f t="shared" si="73"/>
        <v>808.87266980491574</v>
      </c>
      <c r="EN121" s="59">
        <f t="shared" si="74"/>
        <v>1102.2060031382491</v>
      </c>
      <c r="EO121" s="59">
        <f ca="1">AVERAGE(OFFSET($EN$3,0,0,'Données projet'!$E$15+1,1))-AVERAGE(OFFSET($H$3,0,0,'Données projet'!$E$15+1,1))</f>
        <v>449.09332781196957</v>
      </c>
      <c r="EP121" s="59">
        <f t="shared" si="100"/>
        <v>324.85904971519432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59.893523693044003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59.893523693044003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6.8461538461538511</v>
      </c>
      <c r="FE121" s="12">
        <f>IF('Données projet'!$A$218&gt;35,FE120+FD121-FM120,IF(A121&lt;'Données projet'!$A$218,$FB$205^A121,IF(A121='Données projet'!$A$218,'Données projet'!$B$218,FE120+FD121-FM120)))</f>
        <v>350.49358974359023</v>
      </c>
      <c r="FF121" s="17">
        <f>FE121*VLOOKUP('Données projet'!$B$16,Paramètres!$A$1:$I$89,3,0)*VLOOKUP('Données projet'!$B$16,Paramètres!$A$1:$I$89,5,0)</f>
        <v>355.40050000000053</v>
      </c>
      <c r="FG121" s="13">
        <f t="shared" si="101"/>
        <v>82.673537340753484</v>
      </c>
      <c r="FH121" s="20">
        <f t="shared" si="76"/>
        <v>762.97894836847979</v>
      </c>
      <c r="FI121" s="59">
        <f t="shared" si="77"/>
        <v>1056.3122817018132</v>
      </c>
      <c r="FJ121" s="59">
        <f ca="1">AVERAGE(OFFSET($FI$3,0,0,'Données projet'!$E$16+1,1))-AVERAGE(OFFSET($H$3,0,0,'Données projet'!$E$16+1,1))</f>
        <v>419.51168383014721</v>
      </c>
      <c r="FK121" s="59">
        <f t="shared" si="102"/>
        <v>213.44145308833384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56.421435363012492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56.421435363012492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266.99999999999983</v>
      </c>
      <c r="GA121" s="17">
        <f>FZ121*VLOOKUP('Données projet'!$B$17,Paramètres!$A$1:$I$89,3,0)*VLOOKUP('Données projet'!$B$17,Paramètres!$A$1:$I$89,5,0)</f>
        <v>233.2511999999999</v>
      </c>
      <c r="GB121" s="13">
        <f t="shared" si="103"/>
        <v>56.985091661350864</v>
      </c>
      <c r="GC121" s="20">
        <f t="shared" si="79"/>
        <v>505.49487464351915</v>
      </c>
      <c r="GD121" s="59">
        <f t="shared" si="80"/>
        <v>798.82820797685247</v>
      </c>
      <c r="GE121" s="59">
        <f ca="1">AVERAGE(OFFSET($GD$3,0,0,'Données projet'!$E$17+1,1))-AVERAGE(OFFSET($H$3,0,0,'Données projet'!$E$17+1,1))</f>
        <v>324.86930206492627</v>
      </c>
      <c r="GF121" s="59">
        <f t="shared" si="104"/>
        <v>317.03005098025352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14.895218975718013</v>
      </c>
      <c r="GM121" s="21">
        <f>EXP(-LN(2)/25)*GM120+(1-EXP(-LN(2)/25))/(LN(2)/25)*Calculateur!GH121*Calculateur!GJ121*VLOOKUP('Données projet'!$B$17,Paramètres!$A$1:$I$89,3,0)*0.475*44/12</f>
        <v>3.1889004321737731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18.084119407891787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6.8461538461538511</v>
      </c>
      <c r="GU121" s="12">
        <f>IF('Données projet'!$A$270&gt;35,GU120+GT121-HC120,IF(A121&lt;'Données projet'!$A$270,$GR$205^A121,IF(A121='Données projet'!$A$270,'Données projet'!$B$270,GU120+GT121-HC120)))</f>
        <v>350.49358974359023</v>
      </c>
      <c r="GV121" s="17">
        <f>GU121*VLOOKUP('Données projet'!$B$18,Paramètres!$A$1:$I$89,3,0)*VLOOKUP('Données projet'!$B$18,Paramètres!$A$1:$I$89,5,0)</f>
        <v>333.5297000000005</v>
      </c>
      <c r="GW121" s="13">
        <f t="shared" si="105"/>
        <v>78.161650288083365</v>
      </c>
      <c r="GX121" s="20">
        <f t="shared" si="82"/>
        <v>717.029101751746</v>
      </c>
      <c r="GY121" s="59">
        <f t="shared" si="83"/>
        <v>1010.3624350850794</v>
      </c>
      <c r="GZ121" s="59">
        <f ca="1">AVERAGE(OFFSET($GY$3,0,0,'Données projet'!$E$18+1,1))-AVERAGE(OFFSET($H$3,0,0,'Données projet'!$E$18+1,1))</f>
        <v>401.81944956556271</v>
      </c>
      <c r="HA121" s="59">
        <f t="shared" si="106"/>
        <v>292.20785523952651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52.949347032980931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52.949347032980931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357.3397435897441</v>
      </c>
      <c r="O122" s="13">
        <f>N122*VLOOKUP('Données projet'!$B$9,Paramètres!$A$1:$I$89,3,0)*VLOOKUP('Données projet'!$B$9,Paramètres!$A$1:$I$89,5,0)</f>
        <v>323.32100000000048</v>
      </c>
      <c r="P122" s="13">
        <f t="shared" si="87"/>
        <v>76.043936534151186</v>
      </c>
      <c r="Q122" s="20">
        <f t="shared" si="107"/>
        <v>695.56059779698069</v>
      </c>
      <c r="R122" s="59">
        <f t="shared" si="55"/>
        <v>988.89393113031406</v>
      </c>
      <c r="S122" s="59">
        <f ca="1">AVERAGE(OFFSET($R$3,0,0,'Données projet'!$E$9+1,1))-AVERAGE(OFFSET($H$3,0,0,'Données projet'!$E$9+1,1))</f>
        <v>384.05928630855732</v>
      </c>
      <c r="T122" s="59">
        <f t="shared" si="88"/>
        <v>279.93992813630513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-6.3550942286383367E-14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335.04906256888819</v>
      </c>
      <c r="AO122" s="59">
        <f t="shared" si="90"/>
        <v>440.84111898279554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63.813776074963336</v>
      </c>
      <c r="AV122" s="21">
        <f>EXP(-LN(2)/25)*AV121+(1-EXP(-LN(2)/25))/(LN(2)/25)*Calculateur!AQ122*Calculateur!AS122*VLOOKUP('Données projet'!$B$10,Paramètres!$A$1:$I$89,3,0)*0.475*44/12</f>
        <v>9.7688535636135843</v>
      </c>
      <c r="AW122" s="21">
        <f>EXP(-LN(2)/2)*AW121+(1-EXP(-LN(2)/2))/(LN(2)/2)*AQ122*AT122*VLOOKUP('Données projet'!$B$10,Paramètres!$A$1:$I$89,3,0)*0.475*44/12</f>
        <v>7.953798399333021E-9</v>
      </c>
      <c r="AX122" s="21">
        <f t="shared" si="60"/>
        <v>73.582629646530719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-1.4210854715202004E-13</v>
      </c>
      <c r="BE122" s="13">
        <f>BD122*VLOOKUP('Données projet'!$B$11,Paramètres!$A$1:$I$89,3,0)*VLOOKUP('Données projet'!$B$11,Paramètres!$A$1:$I$89,5,0)</f>
        <v>-8.128608897095547E-14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320.76883487964511</v>
      </c>
      <c r="BJ122" s="59">
        <f t="shared" si="92"/>
        <v>290.51177680335746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76.483119462681543</v>
      </c>
      <c r="BQ122" s="21">
        <f>EXP(-LN(2)/25)*BQ121+(1-EXP(-LN(2)/25))/(LN(2)/25)*Calculateur!BL122*Calculateur!BN122*VLOOKUP('Données projet'!$B$11,Paramètres!$A$1:$I$89,3,0)*0.475*44/12</f>
        <v>14.924388584419216</v>
      </c>
      <c r="BR122" s="21">
        <f>EXP(-LN(2)/2)*BR121+(1-EXP(-LN(2)/2))/(LN(2)/2)*BL122*BO122*VLOOKUP('Données projet'!$B$11,Paramètres!$A$1:$I$89,3,0)*0.475*44/12</f>
        <v>1.3734002993510235E-3</v>
      </c>
      <c r="BS122" s="22">
        <f t="shared" si="63"/>
        <v>91.40888144740012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304.99999999999983</v>
      </c>
      <c r="BZ122" s="13">
        <f>BY122*VLOOKUP('Données projet'!$B$12,Paramètres!$A$1:$I$89,3,0)*VLOOKUP('Données projet'!$B$12,Paramètres!$A$1:$I$89,5,0)</f>
        <v>275.96399999999983</v>
      </c>
      <c r="CA122" s="13">
        <f t="shared" si="93"/>
        <v>66.113366665488854</v>
      </c>
      <c r="CB122" s="20">
        <f t="shared" si="64"/>
        <v>595.78474694239264</v>
      </c>
      <c r="CC122" s="59">
        <f t="shared" si="65"/>
        <v>889.11808027572602</v>
      </c>
      <c r="CD122" s="59">
        <f ca="1">AVERAGE(OFFSET($CC$3,0,0,'Données projet'!$E$12+1,1))-AVERAGE(OFFSET($H$3,0,0,'Données projet'!$E$12+1,1))</f>
        <v>366.69125512029831</v>
      </c>
      <c r="CE122" s="59">
        <f t="shared" si="94"/>
        <v>513.80016421153414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0.27735548517037961</v>
      </c>
      <c r="CL122" s="21">
        <f>EXP(-LN(2)/25)*CL121+(1-EXP(-LN(2)/25))/(LN(2)/25)*Calculateur!CG122*Calculateur!CI122*VLOOKUP('Données projet'!$B$12,Paramètres!$A$1:$I$89,3,0)*0.475*44/12</f>
        <v>0.62598847854297957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0.90334396371335912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>
        <f>VLOOKUP(A122,'Données projet'!$A$139:$I$159,2,0)</f>
        <v>357.33974358974359</v>
      </c>
      <c r="CR122" s="12">
        <f>VLOOKUP(A122,'Données projet'!$A$139:$I$159,9,0)</f>
        <v>6.8461538461538511</v>
      </c>
      <c r="CS122" s="12">
        <f t="array" ref="CS122">INDEX(CR:CR,MIN(IF(ISNUMBER(CR122:CR318),ROW(CR122:CR318),"")))</f>
        <v>6.8461538461538511</v>
      </c>
      <c r="CT122" s="12">
        <f>IF('Données projet'!$A$140&gt;35,CT121+CS122-DB121,IF(A122&lt;'Données projet'!$A$140,$CQ$205^A122,IF(A122='Données projet'!$A$140,'Données projet'!$B$140,CT121+CS122-DB121)))</f>
        <v>357.3397435897441</v>
      </c>
      <c r="CU122" s="17">
        <f>CT122*VLOOKUP('Données projet'!$B$13,Paramètres!$A$1:$I$89,3,0)*VLOOKUP('Données projet'!$B$13,Paramètres!$A$1:$I$89,5,0)</f>
        <v>239.70350000000036</v>
      </c>
      <c r="CV122" s="13">
        <f t="shared" si="95"/>
        <v>58.375732473910162</v>
      </c>
      <c r="CW122" s="20">
        <f t="shared" si="67"/>
        <v>519.15466322539407</v>
      </c>
      <c r="CX122" s="59">
        <f t="shared" si="68"/>
        <v>812.48799655872745</v>
      </c>
      <c r="CY122" s="59">
        <f ca="1">AVERAGE(OFFSET($CX$3,0,0,'Données projet'!$E$13+1,1))-AVERAGE(OFFSET($H$3,0,0,'Données projet'!$E$13+1,1))</f>
        <v>294.94331863127815</v>
      </c>
      <c r="CZ122" s="59">
        <f t="shared" si="96"/>
        <v>218.36990036643977</v>
      </c>
      <c r="DA122" s="15">
        <f>IF(ISNA(VLOOKUP(A122,'Données projet'!$A$139:$I$159,3,0)),0,VLOOKUP(A122,'Données projet'!$A$139:$I$159,3,0))</f>
        <v>11</v>
      </c>
      <c r="DB122" s="15">
        <f>IF(ISNA(VLOOKUP(A122,'Données projet'!$A$139:$I$159,4,0)),0,VLOOKUP(A122,'Données projet'!$A$139:$I$159,4,0))</f>
        <v>150.02564102564102</v>
      </c>
      <c r="DC122" s="16">
        <f>IF(ISNA(VLOOKUP(A122,'Données projet'!$A$139:$I$159,5,0)),0%,VLOOKUP(A122,'Données projet'!$A$139:$I$159,5,0)*VLOOKUP('Données projet'!$B$13,Paramètres!$A$1:$I$89,7,0))</f>
        <v>0.47700000000000004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98.16997567723476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98.16997567723476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266.99999999999983</v>
      </c>
      <c r="DP122" s="17">
        <f>DO122*VLOOKUP('Données projet'!$B$14,Paramètres!$A$1:$I$89,3,0)*VLOOKUP('Données projet'!$B$14,Paramètres!$A$1:$I$89,5,0)</f>
        <v>195.76439999999985</v>
      </c>
      <c r="DQ122" s="13">
        <f t="shared" si="97"/>
        <v>48.812154563023455</v>
      </c>
      <c r="DR122" s="20">
        <f t="shared" si="70"/>
        <v>425.9708325305989</v>
      </c>
      <c r="DS122" s="59">
        <f t="shared" si="71"/>
        <v>719.30416586393221</v>
      </c>
      <c r="DT122" s="59">
        <f ca="1">AVERAGE(OFFSET($DS$3,0,0,'Données projet'!$E$14+1,1))-AVERAGE(OFFSET($H$3,0,0,'Données projet'!$E$14+1,1))</f>
        <v>278.45534008146865</v>
      </c>
      <c r="DU122" s="59">
        <f t="shared" si="98"/>
        <v>272.97841038165217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9.9437100480909564</v>
      </c>
      <c r="EB122" s="21">
        <f>EXP(-LN(2)/25)*EB121+(1-EXP(-LN(2)/25))/(LN(2)/25)*Calculateur!DW122*Calculateur!DY122*VLOOKUP('Données projet'!$B$14,Paramètres!$A$1:$I$89,3,0)*0.475*44/12</f>
        <v>2.1120401818542205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12.055750229945177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>
        <f>VLOOKUP(A122,'Données projet'!$A$191:$I$211,2,0)</f>
        <v>357.33974358974359</v>
      </c>
      <c r="EH122" s="12">
        <f>VLOOKUP(A122,'Données projet'!$A$191:$I$211,9,0)</f>
        <v>6.8461538461538511</v>
      </c>
      <c r="EI122" s="12">
        <f t="array" ref="EI122">INDEX(EH:EH,MIN(IF(ISNUMBER(EH122:EH318),ROW(EH122:EH318),"")))</f>
        <v>6.8461538461538511</v>
      </c>
      <c r="EJ122" s="12">
        <f>IF('Données projet'!$A$192&gt;35,EJ121+EI122-ER121,IF(A122&lt;'Données projet'!$A$192,$EG$205^A122,IF(A122='Données projet'!$A$192,'Données projet'!$B$192,EJ121+EI122-ER121)))</f>
        <v>357.3397435897441</v>
      </c>
      <c r="EK122" s="17">
        <f>EJ122*VLOOKUP('Données projet'!$B$15,Paramètres!$A$1:$I$89,3,0)*VLOOKUP('Données projet'!$B$15,Paramètres!$A$1:$I$89,5,0)</f>
        <v>384.64050000000054</v>
      </c>
      <c r="EL122" s="13">
        <f t="shared" si="99"/>
        <v>88.655701828527498</v>
      </c>
      <c r="EM122" s="20">
        <f t="shared" si="73"/>
        <v>824.32421818468629</v>
      </c>
      <c r="EN122" s="59">
        <f t="shared" si="74"/>
        <v>1117.6575515180195</v>
      </c>
      <c r="EO122" s="59">
        <f ca="1">AVERAGE(OFFSET($EN$3,0,0,'Données projet'!$E$15+1,1))-AVERAGE(OFFSET($H$3,0,0,'Données projet'!$E$15+1,1))</f>
        <v>449.09332781196957</v>
      </c>
      <c r="EP122" s="59">
        <f t="shared" si="100"/>
        <v>324.85904971519432</v>
      </c>
      <c r="EQ122" s="15">
        <f>IF(ISNA(VLOOKUP(A122,'Données projet'!$A$191:$I$211,3,0)),0,VLOOKUP(A122,'Données projet'!$A$191:$I$211,3,0))</f>
        <v>11</v>
      </c>
      <c r="ER122" s="15">
        <f>IF(ISNA(VLOOKUP(A122,'Données projet'!$A$191:$I$211,4,0)),0,VLOOKUP(A122,'Données projet'!$A$191:$I$211,4,0))</f>
        <v>150.02564102564102</v>
      </c>
      <c r="ES122" s="16">
        <f>IF(ISNA(VLOOKUP(A122,'Données projet'!$A$191:$I$211,5,0)),0%,VLOOKUP(A122,'Données projet'!$A$191:$I$211,5,0)*VLOOKUP('Données projet'!$B$15,Paramètres!$A$1:$I$89,7,0))</f>
        <v>0.38700000000000001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127.80619474960753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127.80619474960753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>
        <f>VLOOKUP(A122,'Données projet'!$A$217:$I$237,2,0)</f>
        <v>357.33974358974359</v>
      </c>
      <c r="FC122" s="12">
        <f>VLOOKUP(A122,'Données projet'!$A$217:$I$237,9,0)</f>
        <v>6.8461538461538511</v>
      </c>
      <c r="FD122" s="12">
        <f t="array" ref="FD122">INDEX(FC:FC,MIN(IF(ISNUMBER(FC122:FC318),ROW(FC122:FC318),"")))</f>
        <v>6.8461538461538511</v>
      </c>
      <c r="FE122" s="12">
        <f>IF('Données projet'!$A$218&gt;35,FE121+FD122-FM121,IF(A122&lt;'Données projet'!$A$218,$FB$205^A122,IF(A122='Données projet'!$A$218,'Données projet'!$B$218,FE121+FD122-FM121)))</f>
        <v>357.3397435897441</v>
      </c>
      <c r="FF122" s="17">
        <f>FE122*VLOOKUP('Données projet'!$B$16,Paramètres!$A$1:$I$89,3,0)*VLOOKUP('Données projet'!$B$16,Paramètres!$A$1:$I$89,5,0)</f>
        <v>362.34250000000054</v>
      </c>
      <c r="FG122" s="13">
        <f t="shared" si="101"/>
        <v>84.098811348867258</v>
      </c>
      <c r="FH122" s="20">
        <f t="shared" si="76"/>
        <v>777.55195059927792</v>
      </c>
      <c r="FI122" s="59">
        <f t="shared" si="77"/>
        <v>1070.8852839326112</v>
      </c>
      <c r="FJ122" s="59">
        <f ca="1">AVERAGE(OFFSET($FI$3,0,0,'Données projet'!$E$16+1,1))-AVERAGE(OFFSET($H$3,0,0,'Données projet'!$E$16+1,1))</f>
        <v>419.51168383014721</v>
      </c>
      <c r="FK122" s="59">
        <f t="shared" si="102"/>
        <v>213.44145308833384</v>
      </c>
      <c r="FL122" s="15">
        <f>IF(ISNA(VLOOKUP(A122,'Données projet'!$A$217:$I$237,3,0)),0,VLOOKUP(A122,'Données projet'!$A$217:$I$237,3,0))</f>
        <v>11</v>
      </c>
      <c r="FM122" s="15">
        <f>IF(ISNA(VLOOKUP(A122,'Données projet'!$A$217:$I$237,4,0)),0,VLOOKUP(A122,'Données projet'!$A$217:$I$237,4,0))</f>
        <v>150.02564102564102</v>
      </c>
      <c r="FN122" s="16">
        <f>IF(ISNA(VLOOKUP(A122,'Données projet'!$A$217:$I$237,5,0)),0%,VLOOKUP(A122,'Données projet'!$A$217:$I$237,5,0)*VLOOKUP('Données projet'!$B$16,Paramètres!$A$1:$I$89,7,0))</f>
        <v>0.38700000000000001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120.39713998151436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120.39713998151436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266.99999999999983</v>
      </c>
      <c r="GA122" s="17">
        <f>FZ122*VLOOKUP('Données projet'!$B$17,Paramètres!$A$1:$I$89,3,0)*VLOOKUP('Données projet'!$B$17,Paramètres!$A$1:$I$89,5,0)</f>
        <v>233.2511999999999</v>
      </c>
      <c r="GB122" s="13">
        <f t="shared" si="103"/>
        <v>56.985091661350864</v>
      </c>
      <c r="GC122" s="20">
        <f t="shared" si="79"/>
        <v>505.49487464351915</v>
      </c>
      <c r="GD122" s="59">
        <f t="shared" si="80"/>
        <v>798.82820797685247</v>
      </c>
      <c r="GE122" s="59">
        <f ca="1">AVERAGE(OFFSET($GD$3,0,0,'Données projet'!$E$17+1,1))-AVERAGE(OFFSET($H$3,0,0,'Données projet'!$E$17+1,1))</f>
        <v>324.86930206492627</v>
      </c>
      <c r="GF122" s="59">
        <f t="shared" si="104"/>
        <v>317.03005098025352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14.603132816790669</v>
      </c>
      <c r="GM122" s="21">
        <f>EXP(-LN(2)/25)*GM121+(1-EXP(-LN(2)/25))/(LN(2)/25)*Calculateur!GH122*Calculateur!GJ122*VLOOKUP('Données projet'!$B$17,Paramètres!$A$1:$I$89,3,0)*0.475*44/12</f>
        <v>3.1016997821589958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17.704832598949665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>
        <f>VLOOKUP(A122,'Données projet'!$A$269:$I$289,2,0)</f>
        <v>357.33974358974359</v>
      </c>
      <c r="GS122" s="12">
        <f>VLOOKUP(A122,'Données projet'!$A$269:$I$289,9,0)</f>
        <v>6.8461538461538511</v>
      </c>
      <c r="GT122" s="12">
        <f t="array" ref="GT122">INDEX(GS:GS,MIN(IF(ISNUMBER(GS122:GS318),ROW(GS122:GS318),"")))</f>
        <v>6.8461538461538511</v>
      </c>
      <c r="GU122" s="12">
        <f>IF('Données projet'!$A$270&gt;35,GU121+GT122-HC121,IF(A122&lt;'Données projet'!$A$270,$GR$205^A122,IF(A122='Données projet'!$A$270,'Données projet'!$B$270,GU121+GT122-HC121)))</f>
        <v>357.3397435897441</v>
      </c>
      <c r="GV122" s="17">
        <f>GU122*VLOOKUP('Données projet'!$B$18,Paramètres!$A$1:$I$89,3,0)*VLOOKUP('Données projet'!$B$18,Paramètres!$A$1:$I$89,5,0)</f>
        <v>340.04450000000048</v>
      </c>
      <c r="GW122" s="13">
        <f t="shared" si="105"/>
        <v>79.509140333510132</v>
      </c>
      <c r="GX122" s="20">
        <f t="shared" si="82"/>
        <v>730.722590247531</v>
      </c>
      <c r="GY122" s="59">
        <f t="shared" si="83"/>
        <v>1024.0559235808644</v>
      </c>
      <c r="GZ122" s="59">
        <f ca="1">AVERAGE(OFFSET($GY$3,0,0,'Données projet'!$E$18+1,1))-AVERAGE(OFFSET($H$3,0,0,'Données projet'!$E$18+1,1))</f>
        <v>401.81944956556271</v>
      </c>
      <c r="HA122" s="59">
        <f t="shared" si="106"/>
        <v>292.20785523952651</v>
      </c>
      <c r="HB122" s="15">
        <f>IF(ISNA(VLOOKUP(A122,'Données projet'!$A$269:$I$289,3,0)),0,VLOOKUP(A122,'Données projet'!$A$269:$I$289,3,0))</f>
        <v>11</v>
      </c>
      <c r="HC122" s="15">
        <f>IF(ISNA(VLOOKUP(A122,'Données projet'!$A$269:$I$289,4,0)),0,VLOOKUP(A122,'Données projet'!$A$269:$I$289,4,0))</f>
        <v>150.02564102564102</v>
      </c>
      <c r="HD122" s="16">
        <f>IF(ISNA(VLOOKUP(A122,'Données projet'!$A$269:$I$289,5,0)),0%,VLOOKUP(A122,'Données projet'!$A$269:$I$289,5,0)*VLOOKUP('Données projet'!$B$18,Paramètres!$A$1:$I$89,7,0))</f>
        <v>0.38700000000000001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112.98808521342116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112.98808521342116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211.14423076923126</v>
      </c>
      <c r="O123" s="13">
        <f>N123*VLOOKUP('Données projet'!$B$9,Paramètres!$A$1:$I$89,3,0)*VLOOKUP('Données projet'!$B$9,Paramètres!$A$1:$I$89,5,0)</f>
        <v>191.04330000000041</v>
      </c>
      <c r="P123" s="13">
        <f t="shared" si="87"/>
        <v>47.770538104647592</v>
      </c>
      <c r="Q123" s="20">
        <f t="shared" si="107"/>
        <v>415.93410136559527</v>
      </c>
      <c r="R123" s="59">
        <f t="shared" si="55"/>
        <v>709.26743469892858</v>
      </c>
      <c r="S123" s="59">
        <f ca="1">AVERAGE(OFFSET($R$3,0,0,'Données projet'!$E$9+1,1))-AVERAGE(OFFSET($H$3,0,0,'Données projet'!$E$9+1,1))</f>
        <v>384.05928630855732</v>
      </c>
      <c r="T123" s="59">
        <f t="shared" si="88"/>
        <v>279.93992813630513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-6.3550942286383367E-14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335.04906256888819</v>
      </c>
      <c r="AO123" s="59">
        <f t="shared" si="90"/>
        <v>440.84111898279554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62.562426848693427</v>
      </c>
      <c r="AV123" s="21">
        <f>EXP(-LN(2)/25)*AV122+(1-EXP(-LN(2)/25))/(LN(2)/25)*Calculateur!AQ123*Calculateur!AS123*VLOOKUP('Données projet'!$B$10,Paramètres!$A$1:$I$89,3,0)*0.475*44/12</f>
        <v>9.5017237491948894</v>
      </c>
      <c r="AW123" s="21">
        <f>EXP(-LN(2)/2)*AW122+(1-EXP(-LN(2)/2))/(LN(2)/2)*AQ123*AT123*VLOOKUP('Données projet'!$B$10,Paramètres!$A$1:$I$89,3,0)*0.475*44/12</f>
        <v>5.6241847843590864E-9</v>
      </c>
      <c r="AX123" s="21">
        <f t="shared" si="60"/>
        <v>72.064150603512502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-1.4210854715202004E-13</v>
      </c>
      <c r="BE123" s="13">
        <f>BD123*VLOOKUP('Données projet'!$B$11,Paramètres!$A$1:$I$89,3,0)*VLOOKUP('Données projet'!$B$11,Paramètres!$A$1:$I$89,5,0)</f>
        <v>-8.128608897095547E-14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320.76883487964511</v>
      </c>
      <c r="BJ123" s="59">
        <f t="shared" si="92"/>
        <v>290.51177680335746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74.983332140114911</v>
      </c>
      <c r="BQ123" s="21">
        <f>EXP(-LN(2)/25)*BQ122+(1-EXP(-LN(2)/25))/(LN(2)/25)*Calculateur!BL123*Calculateur!BN123*VLOOKUP('Données projet'!$B$11,Paramètres!$A$1:$I$89,3,0)*0.475*44/12</f>
        <v>14.516280393738787</v>
      </c>
      <c r="BR123" s="21">
        <f>EXP(-LN(2)/2)*BR122+(1-EXP(-LN(2)/2))/(LN(2)/2)*BL123*BO123*VLOOKUP('Données projet'!$B$11,Paramètres!$A$1:$I$89,3,0)*0.475*44/12</f>
        <v>9.7114066495474307E-4</v>
      </c>
      <c r="BS123" s="22">
        <f t="shared" si="63"/>
        <v>89.500583674518651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304.99999999999983</v>
      </c>
      <c r="BZ123" s="13">
        <f>BY123*VLOOKUP('Données projet'!$B$12,Paramètres!$A$1:$I$89,3,0)*VLOOKUP('Données projet'!$B$12,Paramètres!$A$1:$I$89,5,0)</f>
        <v>275.96399999999983</v>
      </c>
      <c r="CA123" s="13">
        <f t="shared" si="93"/>
        <v>66.113366665488854</v>
      </c>
      <c r="CB123" s="20">
        <f t="shared" si="64"/>
        <v>595.78474694239264</v>
      </c>
      <c r="CC123" s="59">
        <f t="shared" si="65"/>
        <v>889.11808027572602</v>
      </c>
      <c r="CD123" s="59">
        <f ca="1">AVERAGE(OFFSET($CC$3,0,0,'Données projet'!$E$12+1,1))-AVERAGE(OFFSET($H$3,0,0,'Données projet'!$E$12+1,1))</f>
        <v>366.69125512029831</v>
      </c>
      <c r="CE123" s="59">
        <f t="shared" si="94"/>
        <v>513.80016421153414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0.27191671327633027</v>
      </c>
      <c r="CL123" s="21">
        <f>EXP(-LN(2)/25)*CL122+(1-EXP(-LN(2)/25))/(LN(2)/25)*Calculateur!CG123*Calculateur!CI123*VLOOKUP('Données projet'!$B$12,Paramètres!$A$1:$I$89,3,0)*0.475*44/12</f>
        <v>0.60887079067791838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0.88078750395424865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3.8301282051282044</v>
      </c>
      <c r="CT123" s="12">
        <f>IF('Données projet'!$A$140&gt;35,CT122+CS123-DB122,IF(A123&lt;'Données projet'!$A$140,$CQ$205^A123,IF(A123='Données projet'!$A$140,'Données projet'!$B$140,CT122+CS123-DB122)))</f>
        <v>211.14423076923126</v>
      </c>
      <c r="CU123" s="17">
        <f>CT123*VLOOKUP('Données projet'!$B$13,Paramètres!$A$1:$I$89,3,0)*VLOOKUP('Données projet'!$B$13,Paramètres!$A$1:$I$89,5,0)</f>
        <v>141.63555000000034</v>
      </c>
      <c r="CV123" s="13">
        <f t="shared" si="95"/>
        <v>36.671433379560327</v>
      </c>
      <c r="CW123" s="20">
        <f t="shared" si="67"/>
        <v>310.55132938606818</v>
      </c>
      <c r="CX123" s="59">
        <f t="shared" si="68"/>
        <v>603.88466271940149</v>
      </c>
      <c r="CY123" s="59">
        <f ca="1">AVERAGE(OFFSET($CX$3,0,0,'Données projet'!$E$13+1,1))-AVERAGE(OFFSET($H$3,0,0,'Données projet'!$E$13+1,1))</f>
        <v>294.94331863127815</v>
      </c>
      <c r="CZ123" s="59">
        <f t="shared" si="96"/>
        <v>218.36990036643977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96.244922331976909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96.244922331976909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266.99999999999983</v>
      </c>
      <c r="DP123" s="17">
        <f>DO123*VLOOKUP('Données projet'!$B$14,Paramètres!$A$1:$I$89,3,0)*VLOOKUP('Données projet'!$B$14,Paramètres!$A$1:$I$89,5,0)</f>
        <v>195.76439999999985</v>
      </c>
      <c r="DQ123" s="13">
        <f t="shared" si="97"/>
        <v>48.812154563023455</v>
      </c>
      <c r="DR123" s="20">
        <f t="shared" si="70"/>
        <v>425.9708325305989</v>
      </c>
      <c r="DS123" s="59">
        <f t="shared" si="71"/>
        <v>719.30416586393221</v>
      </c>
      <c r="DT123" s="59">
        <f ca="1">AVERAGE(OFFSET($DS$3,0,0,'Données projet'!$E$14+1,1))-AVERAGE(OFFSET($H$3,0,0,'Données projet'!$E$14+1,1))</f>
        <v>278.45534008146865</v>
      </c>
      <c r="DU123" s="59">
        <f t="shared" si="98"/>
        <v>272.97841038165217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9.7487199591121474</v>
      </c>
      <c r="EB123" s="21">
        <f>EXP(-LN(2)/25)*EB122+(1-EXP(-LN(2)/25))/(LN(2)/25)*Calculateur!DW123*Calculateur!DY123*VLOOKUP('Données projet'!$B$14,Paramètres!$A$1:$I$89,3,0)*0.475*44/12</f>
        <v>2.0542863320140508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11.803006291126199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3.8301282051282044</v>
      </c>
      <c r="EJ123" s="12">
        <f>IF('Données projet'!$A$192&gt;35,EJ122+EI123-ER122,IF(A123&lt;'Données projet'!$A$192,$EG$205^A123,IF(A123='Données projet'!$A$192,'Données projet'!$B$192,EJ122+EI123-ER122)))</f>
        <v>211.14423076923126</v>
      </c>
      <c r="EK123" s="17">
        <f>EJ123*VLOOKUP('Données projet'!$B$15,Paramètres!$A$1:$I$89,3,0)*VLOOKUP('Données projet'!$B$15,Paramètres!$A$1:$I$89,5,0)</f>
        <v>227.2756500000005</v>
      </c>
      <c r="EL123" s="13">
        <f t="shared" si="99"/>
        <v>55.693205473285282</v>
      </c>
      <c r="EM123" s="20">
        <f t="shared" si="73"/>
        <v>492.83742328263929</v>
      </c>
      <c r="EN123" s="59">
        <f t="shared" si="74"/>
        <v>786.17075661597255</v>
      </c>
      <c r="EO123" s="59">
        <f ca="1">AVERAGE(OFFSET($EN$3,0,0,'Données projet'!$E$15+1,1))-AVERAGE(OFFSET($H$3,0,0,'Données projet'!$E$15+1,1))</f>
        <v>449.09332781196957</v>
      </c>
      <c r="EP123" s="59">
        <f t="shared" si="100"/>
        <v>324.85904971519432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125.2999932246492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125.2999932246492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3.8301282051282044</v>
      </c>
      <c r="FE123" s="12">
        <f>IF('Données projet'!$A$218&gt;35,FE122+FD123-FM122,IF(A123&lt;'Données projet'!$A$218,$FB$205^A123,IF(A123='Données projet'!$A$218,'Données projet'!$B$218,FE122+FD123-FM122)))</f>
        <v>211.14423076923126</v>
      </c>
      <c r="FF123" s="17">
        <f>FE123*VLOOKUP('Données projet'!$B$16,Paramètres!$A$1:$I$89,3,0)*VLOOKUP('Données projet'!$B$16,Paramètres!$A$1:$I$89,5,0)</f>
        <v>214.1002500000005</v>
      </c>
      <c r="FG123" s="13">
        <f t="shared" si="101"/>
        <v>52.83058262367053</v>
      </c>
      <c r="FH123" s="20">
        <f t="shared" si="76"/>
        <v>464.90453348622708</v>
      </c>
      <c r="FI123" s="59">
        <f t="shared" si="77"/>
        <v>758.2378668195604</v>
      </c>
      <c r="FJ123" s="59">
        <f ca="1">AVERAGE(OFFSET($FI$3,0,0,'Données projet'!$E$16+1,1))-AVERAGE(OFFSET($H$3,0,0,'Données projet'!$E$16+1,1))</f>
        <v>419.51168383014721</v>
      </c>
      <c r="FK123" s="59">
        <f t="shared" si="102"/>
        <v>213.44145308833384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118.03622550148114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118.03622550148114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266.99999999999983</v>
      </c>
      <c r="GA123" s="17">
        <f>FZ123*VLOOKUP('Données projet'!$B$17,Paramètres!$A$1:$I$89,3,0)*VLOOKUP('Données projet'!$B$17,Paramètres!$A$1:$I$89,5,0)</f>
        <v>233.2511999999999</v>
      </c>
      <c r="GB123" s="13">
        <f t="shared" si="103"/>
        <v>56.985091661350864</v>
      </c>
      <c r="GC123" s="20">
        <f t="shared" si="79"/>
        <v>505.49487464351915</v>
      </c>
      <c r="GD123" s="59">
        <f t="shared" si="80"/>
        <v>798.82820797685247</v>
      </c>
      <c r="GE123" s="59">
        <f ca="1">AVERAGE(OFFSET($GD$3,0,0,'Données projet'!$E$17+1,1))-AVERAGE(OFFSET($H$3,0,0,'Données projet'!$E$17+1,1))</f>
        <v>324.86930206492627</v>
      </c>
      <c r="GF123" s="59">
        <f t="shared" si="104"/>
        <v>317.03005098025352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14.316774289284925</v>
      </c>
      <c r="GM123" s="21">
        <f>EXP(-LN(2)/25)*GM122+(1-EXP(-LN(2)/25))/(LN(2)/25)*Calculateur!GH123*Calculateur!GJ123*VLOOKUP('Données projet'!$B$17,Paramètres!$A$1:$I$89,3,0)*0.475*44/12</f>
        <v>3.0168836385045554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17.333657927789481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3.8301282051282044</v>
      </c>
      <c r="GU123" s="12">
        <f>IF('Données projet'!$A$270&gt;35,GU122+GT123-HC122,IF(A123&lt;'Données projet'!$A$270,$GR$205^A123,IF(A123='Données projet'!$A$270,'Données projet'!$B$270,GU122+GT123-HC122)))</f>
        <v>211.14423076923126</v>
      </c>
      <c r="GV123" s="17">
        <f>GU123*VLOOKUP('Données projet'!$B$18,Paramètres!$A$1:$I$89,3,0)*VLOOKUP('Données projet'!$B$18,Paramètres!$A$1:$I$89,5,0)</f>
        <v>200.92485000000045</v>
      </c>
      <c r="GW123" s="13">
        <f t="shared" si="105"/>
        <v>49.947367154828399</v>
      </c>
      <c r="GX123" s="20">
        <f t="shared" si="82"/>
        <v>436.93577821132686</v>
      </c>
      <c r="GY123" s="59">
        <f t="shared" si="83"/>
        <v>730.26911154466018</v>
      </c>
      <c r="GZ123" s="59">
        <f ca="1">AVERAGE(OFFSET($GY$3,0,0,'Données projet'!$E$18+1,1))-AVERAGE(OFFSET($H$3,0,0,'Données projet'!$E$18+1,1))</f>
        <v>401.81944956556271</v>
      </c>
      <c r="HA123" s="59">
        <f t="shared" si="106"/>
        <v>292.20785523952651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110.77245777831307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110.77245777831307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214.97435897435946</v>
      </c>
      <c r="O124" s="13">
        <f>N124*VLOOKUP('Données projet'!$B$9,Paramètres!$A$1:$I$89,3,0)*VLOOKUP('Données projet'!$B$9,Paramètres!$A$1:$I$89,5,0)</f>
        <v>194.50880000000043</v>
      </c>
      <c r="P124" s="13">
        <f t="shared" si="87"/>
        <v>48.535419780989194</v>
      </c>
      <c r="Q124" s="20">
        <f t="shared" si="107"/>
        <v>423.30201611855699</v>
      </c>
      <c r="R124" s="59">
        <f t="shared" si="55"/>
        <v>716.63534945189031</v>
      </c>
      <c r="S124" s="59">
        <f ca="1">AVERAGE(OFFSET($R$3,0,0,'Données projet'!$E$9+1,1))-AVERAGE(OFFSET($H$3,0,0,'Données projet'!$E$9+1,1))</f>
        <v>384.05928630855732</v>
      </c>
      <c r="T124" s="59">
        <f t="shared" si="88"/>
        <v>279.93992813630513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-6.3550942286383367E-14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335.04906256888819</v>
      </c>
      <c r="AO124" s="59">
        <f t="shared" si="90"/>
        <v>440.84111898279554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61.335615817503005</v>
      </c>
      <c r="AV124" s="21">
        <f>EXP(-LN(2)/25)*AV123+(1-EXP(-LN(2)/25))/(LN(2)/25)*Calculateur!AQ124*Calculateur!AS124*VLOOKUP('Données projet'!$B$10,Paramètres!$A$1:$I$89,3,0)*0.475*44/12</f>
        <v>9.2418986135992203</v>
      </c>
      <c r="AW124" s="21">
        <f>EXP(-LN(2)/2)*AW123+(1-EXP(-LN(2)/2))/(LN(2)/2)*AQ124*AT124*VLOOKUP('Données projet'!$B$10,Paramètres!$A$1:$I$89,3,0)*0.475*44/12</f>
        <v>3.9768991996665105E-9</v>
      </c>
      <c r="AX124" s="21">
        <f t="shared" si="60"/>
        <v>70.577514435079124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-1.4210854715202004E-13</v>
      </c>
      <c r="BE124" s="13">
        <f>BD124*VLOOKUP('Données projet'!$B$11,Paramètres!$A$1:$I$89,3,0)*VLOOKUP('Données projet'!$B$11,Paramètres!$A$1:$I$89,5,0)</f>
        <v>-8.128608897095547E-14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320.76883487964511</v>
      </c>
      <c r="BJ124" s="59">
        <f t="shared" si="92"/>
        <v>290.51177680335746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73.512954732163877</v>
      </c>
      <c r="BQ124" s="21">
        <f>EXP(-LN(2)/25)*BQ123+(1-EXP(-LN(2)/25))/(LN(2)/25)*Calculateur!BL124*Calculateur!BN124*VLOOKUP('Données projet'!$B$11,Paramètres!$A$1:$I$89,3,0)*0.475*44/12</f>
        <v>14.119331942993991</v>
      </c>
      <c r="BR124" s="21">
        <f>EXP(-LN(2)/2)*BR123+(1-EXP(-LN(2)/2))/(LN(2)/2)*BL124*BO124*VLOOKUP('Données projet'!$B$11,Paramètres!$A$1:$I$89,3,0)*0.475*44/12</f>
        <v>6.8670014967551183E-4</v>
      </c>
      <c r="BS124" s="22">
        <f t="shared" si="63"/>
        <v>87.632973375307543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304.99999999999983</v>
      </c>
      <c r="BZ124" s="13">
        <f>BY124*VLOOKUP('Données projet'!$B$12,Paramètres!$A$1:$I$89,3,0)*VLOOKUP('Données projet'!$B$12,Paramètres!$A$1:$I$89,5,0)</f>
        <v>275.96399999999983</v>
      </c>
      <c r="CA124" s="13">
        <f t="shared" si="93"/>
        <v>66.113366665488854</v>
      </c>
      <c r="CB124" s="20">
        <f t="shared" si="64"/>
        <v>595.78474694239264</v>
      </c>
      <c r="CC124" s="59">
        <f t="shared" si="65"/>
        <v>889.11808027572602</v>
      </c>
      <c r="CD124" s="59">
        <f ca="1">AVERAGE(OFFSET($CC$3,0,0,'Données projet'!$E$12+1,1))-AVERAGE(OFFSET($H$3,0,0,'Données projet'!$E$12+1,1))</f>
        <v>366.69125512029831</v>
      </c>
      <c r="CE124" s="59">
        <f t="shared" si="94"/>
        <v>513.80016421153414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0.26658459238179993</v>
      </c>
      <c r="CL124" s="21">
        <f>EXP(-LN(2)/25)*CL123+(1-EXP(-LN(2)/25))/(LN(2)/25)*Calculateur!CG124*Calculateur!CI124*VLOOKUP('Données projet'!$B$12,Paramètres!$A$1:$I$89,3,0)*0.475*44/12</f>
        <v>0.59222118688770742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0.85880577926950741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3.8301282051282044</v>
      </c>
      <c r="CT124" s="12">
        <f>IF('Données projet'!$A$140&gt;35,CT123+CS124-DB123,IF(A124&lt;'Données projet'!$A$140,$CQ$205^A124,IF(A124='Données projet'!$A$140,'Données projet'!$B$140,CT123+CS124-DB123)))</f>
        <v>214.97435897435946</v>
      </c>
      <c r="CU124" s="17">
        <f>CT124*VLOOKUP('Données projet'!$B$13,Paramètres!$A$1:$I$89,3,0)*VLOOKUP('Données projet'!$B$13,Paramètres!$A$1:$I$89,5,0)</f>
        <v>144.20480000000032</v>
      </c>
      <c r="CV124" s="13">
        <f t="shared" si="95"/>
        <v>37.258600879657607</v>
      </c>
      <c r="CW124" s="20">
        <f t="shared" si="67"/>
        <v>316.04875653207085</v>
      </c>
      <c r="CX124" s="59">
        <f t="shared" si="68"/>
        <v>609.38208986540417</v>
      </c>
      <c r="CY124" s="59">
        <f ca="1">AVERAGE(OFFSET($CX$3,0,0,'Données projet'!$E$13+1,1))-AVERAGE(OFFSET($H$3,0,0,'Données projet'!$E$13+1,1))</f>
        <v>294.94331863127815</v>
      </c>
      <c r="CZ124" s="59">
        <f t="shared" si="96"/>
        <v>218.36990036643977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94.357618108652972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94.357618108652972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266.99999999999983</v>
      </c>
      <c r="DP124" s="17">
        <f>DO124*VLOOKUP('Données projet'!$B$14,Paramètres!$A$1:$I$89,3,0)*VLOOKUP('Données projet'!$B$14,Paramètres!$A$1:$I$89,5,0)</f>
        <v>195.76439999999985</v>
      </c>
      <c r="DQ124" s="13">
        <f t="shared" si="97"/>
        <v>48.812154563023455</v>
      </c>
      <c r="DR124" s="20">
        <f t="shared" si="70"/>
        <v>425.9708325305989</v>
      </c>
      <c r="DS124" s="59">
        <f t="shared" si="71"/>
        <v>719.30416586393221</v>
      </c>
      <c r="DT124" s="59">
        <f ca="1">AVERAGE(OFFSET($DS$3,0,0,'Données projet'!$E$14+1,1))-AVERAGE(OFFSET($H$3,0,0,'Données projet'!$E$14+1,1))</f>
        <v>278.45534008146865</v>
      </c>
      <c r="DU124" s="59">
        <f t="shared" si="98"/>
        <v>272.97841038165217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9.557553506846002</v>
      </c>
      <c r="EB124" s="21">
        <f>EXP(-LN(2)/25)*EB123+(1-EXP(-LN(2)/25))/(LN(2)/25)*Calculateur!DW124*Calculateur!DY124*VLOOKUP('Données projet'!$B$14,Paramètres!$A$1:$I$89,3,0)*0.475*44/12</f>
        <v>1.9981117642349036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11.555665271080905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3.8301282051282044</v>
      </c>
      <c r="EJ124" s="12">
        <f>IF('Données projet'!$A$192&gt;35,EJ123+EI124-ER123,IF(A124&lt;'Données projet'!$A$192,$EG$205^A124,IF(A124='Données projet'!$A$192,'Données projet'!$B$192,EJ123+EI124-ER123)))</f>
        <v>214.97435897435946</v>
      </c>
      <c r="EK124" s="17">
        <f>EJ124*VLOOKUP('Données projet'!$B$15,Paramètres!$A$1:$I$89,3,0)*VLOOKUP('Données projet'!$B$15,Paramètres!$A$1:$I$89,5,0)</f>
        <v>231.39840000000049</v>
      </c>
      <c r="EL124" s="13">
        <f t="shared" si="99"/>
        <v>56.584941552747658</v>
      </c>
      <c r="EM124" s="20">
        <f t="shared" si="73"/>
        <v>501.57098653770299</v>
      </c>
      <c r="EN124" s="59">
        <f t="shared" si="74"/>
        <v>794.90431987103625</v>
      </c>
      <c r="EO124" s="59">
        <f ca="1">AVERAGE(OFFSET($EN$3,0,0,'Données projet'!$E$15+1,1))-AVERAGE(OFFSET($H$3,0,0,'Données projet'!$E$15+1,1))</f>
        <v>449.09332781196957</v>
      </c>
      <c r="EP124" s="59">
        <f t="shared" si="100"/>
        <v>324.85904971519432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122.84293678296331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122.84293678296331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3.8301282051282044</v>
      </c>
      <c r="FE124" s="12">
        <f>IF('Données projet'!$A$218&gt;35,FE123+FD124-FM123,IF(A124&lt;'Données projet'!$A$218,$FB$205^A124,IF(A124='Données projet'!$A$218,'Données projet'!$B$218,FE123+FD124-FM123)))</f>
        <v>214.97435897435946</v>
      </c>
      <c r="FF124" s="17">
        <f>FE124*VLOOKUP('Données projet'!$B$16,Paramètres!$A$1:$I$89,3,0)*VLOOKUP('Données projet'!$B$16,Paramètres!$A$1:$I$89,5,0)</f>
        <v>217.98400000000052</v>
      </c>
      <c r="FG124" s="13">
        <f t="shared" si="101"/>
        <v>53.676483595327532</v>
      </c>
      <c r="FH124" s="20">
        <f t="shared" si="76"/>
        <v>473.14200892852961</v>
      </c>
      <c r="FI124" s="59">
        <f t="shared" si="77"/>
        <v>766.47534226186292</v>
      </c>
      <c r="FJ124" s="59">
        <f ca="1">AVERAGE(OFFSET($FI$3,0,0,'Données projet'!$E$16+1,1))-AVERAGE(OFFSET($H$3,0,0,'Données projet'!$E$16+1,1))</f>
        <v>419.51168383014721</v>
      </c>
      <c r="FK124" s="59">
        <f t="shared" si="102"/>
        <v>213.44145308833384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115.72160711438573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115.72160711438573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266.99999999999983</v>
      </c>
      <c r="GA124" s="17">
        <f>FZ124*VLOOKUP('Données projet'!$B$17,Paramètres!$A$1:$I$89,3,0)*VLOOKUP('Données projet'!$B$17,Paramètres!$A$1:$I$89,5,0)</f>
        <v>233.2511999999999</v>
      </c>
      <c r="GB124" s="13">
        <f t="shared" si="103"/>
        <v>56.985091661350864</v>
      </c>
      <c r="GC124" s="20">
        <f t="shared" si="79"/>
        <v>505.49487464351915</v>
      </c>
      <c r="GD124" s="59">
        <f t="shared" si="80"/>
        <v>798.82820797685247</v>
      </c>
      <c r="GE124" s="59">
        <f ca="1">AVERAGE(OFFSET($GD$3,0,0,'Données projet'!$E$17+1,1))-AVERAGE(OFFSET($H$3,0,0,'Données projet'!$E$17+1,1))</f>
        <v>324.86930206492627</v>
      </c>
      <c r="GF124" s="59">
        <f t="shared" si="104"/>
        <v>317.03005098025352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14.036031077842114</v>
      </c>
      <c r="GM124" s="21">
        <f>EXP(-LN(2)/25)*GM123+(1-EXP(-LN(2)/25))/(LN(2)/25)*Calculateur!GH124*Calculateur!GJ124*VLOOKUP('Données projet'!$B$17,Paramètres!$A$1:$I$89,3,0)*0.475*44/12</f>
        <v>2.9343867967586328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16.970417874600749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3.8301282051282044</v>
      </c>
      <c r="GU124" s="12">
        <f>IF('Données projet'!$A$270&gt;35,GU123+GT124-HC123,IF(A124&lt;'Données projet'!$A$270,$GR$205^A124,IF(A124='Données projet'!$A$270,'Données projet'!$B$270,GU123+GT124-HC123)))</f>
        <v>214.97435897435946</v>
      </c>
      <c r="GV124" s="17">
        <f>GU124*VLOOKUP('Données projet'!$B$18,Paramètres!$A$1:$I$89,3,0)*VLOOKUP('Données projet'!$B$18,Paramètres!$A$1:$I$89,5,0)</f>
        <v>204.56960000000046</v>
      </c>
      <c r="GW124" s="13">
        <f t="shared" si="105"/>
        <v>50.747103298359882</v>
      </c>
      <c r="GX124" s="20">
        <f t="shared" si="82"/>
        <v>444.6765915779776</v>
      </c>
      <c r="GY124" s="59">
        <f t="shared" si="83"/>
        <v>738.00992491131092</v>
      </c>
      <c r="GZ124" s="59">
        <f ca="1">AVERAGE(OFFSET($GY$3,0,0,'Données projet'!$E$18+1,1))-AVERAGE(OFFSET($H$3,0,0,'Données projet'!$E$18+1,1))</f>
        <v>401.81944956556271</v>
      </c>
      <c r="HA124" s="59">
        <f t="shared" si="106"/>
        <v>292.20785523952651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108.60027744580815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108.60027744580815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218.80448717948767</v>
      </c>
      <c r="O125" s="13">
        <f>N125*VLOOKUP('Données projet'!$B$9,Paramètres!$A$1:$I$89,3,0)*VLOOKUP('Données projet'!$B$9,Paramètres!$A$1:$I$89,5,0)</f>
        <v>197.97430000000043</v>
      </c>
      <c r="P125" s="13">
        <f t="shared" si="87"/>
        <v>49.298716754178493</v>
      </c>
      <c r="Q125" s="20">
        <f t="shared" si="107"/>
        <v>430.66717084686161</v>
      </c>
      <c r="R125" s="59">
        <f t="shared" si="55"/>
        <v>724.00050418019487</v>
      </c>
      <c r="S125" s="59">
        <f ca="1">AVERAGE(OFFSET($R$3,0,0,'Données projet'!$E$9+1,1))-AVERAGE(OFFSET($H$3,0,0,'Données projet'!$E$9+1,1))</f>
        <v>384.05928630855732</v>
      </c>
      <c r="T125" s="59">
        <f t="shared" si="88"/>
        <v>279.93992813630513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-6.3550942286383367E-14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335.04906256888819</v>
      </c>
      <c r="AO125" s="59">
        <f t="shared" si="90"/>
        <v>440.84111898279554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60.132861802353389</v>
      </c>
      <c r="AV125" s="21">
        <f>EXP(-LN(2)/25)*AV124+(1-EXP(-LN(2)/25))/(LN(2)/25)*Calculateur!AQ125*Calculateur!AS125*VLOOKUP('Données projet'!$B$10,Paramètres!$A$1:$I$89,3,0)*0.475*44/12</f>
        <v>8.989178410000024</v>
      </c>
      <c r="AW125" s="21">
        <f>EXP(-LN(2)/2)*AW124+(1-EXP(-LN(2)/2))/(LN(2)/2)*AQ125*AT125*VLOOKUP('Données projet'!$B$10,Paramètres!$A$1:$I$89,3,0)*0.475*44/12</f>
        <v>2.8120923921795432E-9</v>
      </c>
      <c r="AX125" s="21">
        <f t="shared" si="60"/>
        <v>69.122040215165498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-1.4210854715202004E-13</v>
      </c>
      <c r="BE125" s="13">
        <f>BD125*VLOOKUP('Données projet'!$B$11,Paramètres!$A$1:$I$89,3,0)*VLOOKUP('Données projet'!$B$11,Paramètres!$A$1:$I$89,5,0)</f>
        <v>-8.128608897095547E-14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320.76883487964511</v>
      </c>
      <c r="BJ125" s="59">
        <f t="shared" si="92"/>
        <v>290.51177680335746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72.071410528341104</v>
      </c>
      <c r="BQ125" s="21">
        <f>EXP(-LN(2)/25)*BQ124+(1-EXP(-LN(2)/25))/(LN(2)/25)*Calculateur!BL125*Calculateur!BN125*VLOOKUP('Données projet'!$B$11,Paramètres!$A$1:$I$89,3,0)*0.475*44/12</f>
        <v>13.733238068509424</v>
      </c>
      <c r="BR125" s="21">
        <f>EXP(-LN(2)/2)*BR124+(1-EXP(-LN(2)/2))/(LN(2)/2)*BL125*BO125*VLOOKUP('Données projet'!$B$11,Paramètres!$A$1:$I$89,3,0)*0.475*44/12</f>
        <v>4.8557033247737159E-4</v>
      </c>
      <c r="BS125" s="22">
        <f t="shared" si="63"/>
        <v>85.805134167182999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304.99999999999983</v>
      </c>
      <c r="BZ125" s="13">
        <f>BY125*VLOOKUP('Données projet'!$B$12,Paramètres!$A$1:$I$89,3,0)*VLOOKUP('Données projet'!$B$12,Paramètres!$A$1:$I$89,5,0)</f>
        <v>275.96399999999983</v>
      </c>
      <c r="CA125" s="13">
        <f t="shared" si="93"/>
        <v>66.113366665488854</v>
      </c>
      <c r="CB125" s="20">
        <f t="shared" si="64"/>
        <v>595.78474694239264</v>
      </c>
      <c r="CC125" s="59">
        <f t="shared" si="65"/>
        <v>889.11808027572602</v>
      </c>
      <c r="CD125" s="59">
        <f ca="1">AVERAGE(OFFSET($CC$3,0,0,'Données projet'!$E$12+1,1))-AVERAGE(OFFSET($H$3,0,0,'Données projet'!$E$12+1,1))</f>
        <v>366.69125512029831</v>
      </c>
      <c r="CE125" s="59">
        <f t="shared" si="94"/>
        <v>513.80016421153414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0.26135703112573871</v>
      </c>
      <c r="CL125" s="21">
        <f>EXP(-LN(2)/25)*CL124+(1-EXP(-LN(2)/25))/(LN(2)/25)*Calculateur!CG125*Calculateur!CI125*VLOOKUP('Données projet'!$B$12,Paramètres!$A$1:$I$89,3,0)*0.475*44/12</f>
        <v>0.57602686738870434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0.83738389851444306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3.8301282051282044</v>
      </c>
      <c r="CT125" s="12">
        <f>IF('Données projet'!$A$140&gt;35,CT124+CS125-DB124,IF(A125&lt;'Données projet'!$A$140,$CQ$205^A125,IF(A125='Données projet'!$A$140,'Données projet'!$B$140,CT124+CS125-DB124)))</f>
        <v>218.80448717948767</v>
      </c>
      <c r="CU125" s="17">
        <f>CT125*VLOOKUP('Données projet'!$B$13,Paramètres!$A$1:$I$89,3,0)*VLOOKUP('Données projet'!$B$13,Paramètres!$A$1:$I$89,5,0)</f>
        <v>146.77405000000033</v>
      </c>
      <c r="CV125" s="13">
        <f t="shared" si="95"/>
        <v>37.844551869780702</v>
      </c>
      <c r="CW125" s="20">
        <f t="shared" si="67"/>
        <v>321.54406492320192</v>
      </c>
      <c r="CX125" s="59">
        <f t="shared" si="68"/>
        <v>614.87739825653523</v>
      </c>
      <c r="CY125" s="59">
        <f ca="1">AVERAGE(OFFSET($CX$3,0,0,'Données projet'!$E$13+1,1))-AVERAGE(OFFSET($H$3,0,0,'Données projet'!$E$13+1,1))</f>
        <v>294.94331863127815</v>
      </c>
      <c r="CZ125" s="59">
        <f t="shared" si="96"/>
        <v>218.36990036643977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92.507322770006496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92.507322770006496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266.99999999999983</v>
      </c>
      <c r="DP125" s="17">
        <f>DO125*VLOOKUP('Données projet'!$B$14,Paramètres!$A$1:$I$89,3,0)*VLOOKUP('Données projet'!$B$14,Paramètres!$A$1:$I$89,5,0)</f>
        <v>195.76439999999985</v>
      </c>
      <c r="DQ125" s="13">
        <f t="shared" si="97"/>
        <v>48.812154563023455</v>
      </c>
      <c r="DR125" s="20">
        <f t="shared" si="70"/>
        <v>425.9708325305989</v>
      </c>
      <c r="DS125" s="59">
        <f t="shared" si="71"/>
        <v>719.30416586393221</v>
      </c>
      <c r="DT125" s="59">
        <f ca="1">AVERAGE(OFFSET($DS$3,0,0,'Données projet'!$E$14+1,1))-AVERAGE(OFFSET($H$3,0,0,'Données projet'!$E$14+1,1))</f>
        <v>278.45534008146865</v>
      </c>
      <c r="DU125" s="59">
        <f t="shared" si="98"/>
        <v>272.97841038165217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9.3701357121087732</v>
      </c>
      <c r="EB125" s="21">
        <f>EXP(-LN(2)/25)*EB124+(1-EXP(-LN(2)/25))/(LN(2)/25)*Calculateur!DW125*Calculateur!DY125*VLOOKUP('Données projet'!$B$14,Paramètres!$A$1:$I$89,3,0)*0.475*44/12</f>
        <v>1.9434732929657692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11.313609005074543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3.8301282051282044</v>
      </c>
      <c r="EJ125" s="12">
        <f>IF('Données projet'!$A$192&gt;35,EJ124+EI125-ER124,IF(A125&lt;'Données projet'!$A$192,$EG$205^A125,IF(A125='Données projet'!$A$192,'Données projet'!$B$192,EJ124+EI125-ER124)))</f>
        <v>218.80448717948767</v>
      </c>
      <c r="EK125" s="17">
        <f>EJ125*VLOOKUP('Données projet'!$B$15,Paramètres!$A$1:$I$89,3,0)*VLOOKUP('Données projet'!$B$15,Paramètres!$A$1:$I$89,5,0)</f>
        <v>235.52115000000049</v>
      </c>
      <c r="EL125" s="13">
        <f t="shared" si="99"/>
        <v>57.47483010857345</v>
      </c>
      <c r="EM125" s="20">
        <f t="shared" si="73"/>
        <v>510.30133202243292</v>
      </c>
      <c r="EN125" s="59">
        <f t="shared" si="74"/>
        <v>803.63466535576617</v>
      </c>
      <c r="EO125" s="59">
        <f ca="1">AVERAGE(OFFSET($EN$3,0,0,'Données projet'!$E$15+1,1))-AVERAGE(OFFSET($H$3,0,0,'Données projet'!$E$15+1,1))</f>
        <v>449.09332781196957</v>
      </c>
      <c r="EP125" s="59">
        <f t="shared" si="100"/>
        <v>324.85904971519432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120.43406171944243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120.43406171944243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3.8301282051282044</v>
      </c>
      <c r="FE125" s="12">
        <f>IF('Données projet'!$A$218&gt;35,FE124+FD125-FM124,IF(A125&lt;'Données projet'!$A$218,$FB$205^A125,IF(A125='Données projet'!$A$218,'Données projet'!$B$218,FE124+FD125-FM124)))</f>
        <v>218.80448717948767</v>
      </c>
      <c r="FF125" s="17">
        <f>FE125*VLOOKUP('Données projet'!$B$16,Paramètres!$A$1:$I$89,3,0)*VLOOKUP('Données projet'!$B$16,Paramètres!$A$1:$I$89,5,0)</f>
        <v>221.86775000000048</v>
      </c>
      <c r="FG125" s="13">
        <f t="shared" si="101"/>
        <v>54.520632005800415</v>
      </c>
      <c r="FH125" s="20">
        <f t="shared" si="76"/>
        <v>481.37643199343648</v>
      </c>
      <c r="FI125" s="59">
        <f t="shared" si="77"/>
        <v>774.7097653267698</v>
      </c>
      <c r="FJ125" s="59">
        <f ca="1">AVERAGE(OFFSET($FI$3,0,0,'Données projet'!$E$16+1,1))-AVERAGE(OFFSET($H$3,0,0,'Données projet'!$E$16+1,1))</f>
        <v>419.51168383014721</v>
      </c>
      <c r="FK125" s="59">
        <f t="shared" si="102"/>
        <v>213.44145308833384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113.45237698208345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113.45237698208345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266.99999999999983</v>
      </c>
      <c r="GA125" s="17">
        <f>FZ125*VLOOKUP('Données projet'!$B$17,Paramètres!$A$1:$I$89,3,0)*VLOOKUP('Données projet'!$B$17,Paramètres!$A$1:$I$89,5,0)</f>
        <v>233.2511999999999</v>
      </c>
      <c r="GB125" s="13">
        <f t="shared" si="103"/>
        <v>56.985091661350864</v>
      </c>
      <c r="GC125" s="20">
        <f t="shared" si="79"/>
        <v>505.49487464351915</v>
      </c>
      <c r="GD125" s="59">
        <f t="shared" si="80"/>
        <v>798.82820797685247</v>
      </c>
      <c r="GE125" s="59">
        <f ca="1">AVERAGE(OFFSET($GD$3,0,0,'Données projet'!$E$17+1,1))-AVERAGE(OFFSET($H$3,0,0,'Données projet'!$E$17+1,1))</f>
        <v>324.86930206492627</v>
      </c>
      <c r="GF125" s="59">
        <f t="shared" si="104"/>
        <v>317.03005098025352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13.760793069539247</v>
      </c>
      <c r="GM125" s="21">
        <f>EXP(-LN(2)/25)*GM124+(1-EXP(-LN(2)/25))/(LN(2)/25)*Calculateur!GH125*Calculateur!GJ125*VLOOKUP('Données projet'!$B$17,Paramètres!$A$1:$I$89,3,0)*0.475*44/12</f>
        <v>2.8541458354885729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16.61493890502782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3.8301282051282044</v>
      </c>
      <c r="GU125" s="12">
        <f>IF('Données projet'!$A$270&gt;35,GU124+GT125-HC124,IF(A125&lt;'Données projet'!$A$270,$GR$205^A125,IF(A125='Données projet'!$A$270,'Données projet'!$B$270,GU124+GT125-HC124)))</f>
        <v>218.80448717948767</v>
      </c>
      <c r="GV125" s="17">
        <f>GU125*VLOOKUP('Données projet'!$B$18,Paramètres!$A$1:$I$89,3,0)*VLOOKUP('Données projet'!$B$18,Paramètres!$A$1:$I$89,5,0)</f>
        <v>208.21435000000048</v>
      </c>
      <c r="GW125" s="13">
        <f t="shared" si="105"/>
        <v>51.545182526283547</v>
      </c>
      <c r="GX125" s="20">
        <f t="shared" si="82"/>
        <v>452.41451914994468</v>
      </c>
      <c r="GY125" s="59">
        <f t="shared" si="83"/>
        <v>745.74785248327794</v>
      </c>
      <c r="GZ125" s="59">
        <f ca="1">AVERAGE(OFFSET($GY$3,0,0,'Données projet'!$E$18+1,1))-AVERAGE(OFFSET($H$3,0,0,'Données projet'!$E$18+1,1))</f>
        <v>401.81944956556271</v>
      </c>
      <c r="HA125" s="59">
        <f t="shared" si="106"/>
        <v>292.20785523952651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106.47069224472448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106.47069224472448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222.63461538461587</v>
      </c>
      <c r="O126" s="13">
        <f>N126*VLOOKUP('Données projet'!$B$9,Paramètres!$A$1:$I$89,3,0)*VLOOKUP('Données projet'!$B$9,Paramètres!$A$1:$I$89,5,0)</f>
        <v>201.43980000000045</v>
      </c>
      <c r="P126" s="13">
        <f t="shared" si="87"/>
        <v>50.06045996470462</v>
      </c>
      <c r="Q126" s="20">
        <f t="shared" si="107"/>
        <v>438.02961943852802</v>
      </c>
      <c r="R126" s="59">
        <f t="shared" si="55"/>
        <v>731.36295277186127</v>
      </c>
      <c r="S126" s="59">
        <f ca="1">AVERAGE(OFFSET($R$3,0,0,'Données projet'!$E$9+1,1))-AVERAGE(OFFSET($H$3,0,0,'Données projet'!$E$9+1,1))</f>
        <v>384.05928630855732</v>
      </c>
      <c r="T126" s="59">
        <f t="shared" si="88"/>
        <v>279.93992813630513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-6.3550942286383367E-14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335.04906256888819</v>
      </c>
      <c r="AO126" s="59">
        <f t="shared" si="90"/>
        <v>440.84111898279554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58.953693059833341</v>
      </c>
      <c r="AV126" s="21">
        <f>EXP(-LN(2)/25)*AV125+(1-EXP(-LN(2)/25))/(LN(2)/25)*Calculateur!AQ126*Calculateur!AS126*VLOOKUP('Données projet'!$B$10,Paramètres!$A$1:$I$89,3,0)*0.475*44/12</f>
        <v>8.7433688536582252</v>
      </c>
      <c r="AW126" s="21">
        <f>EXP(-LN(2)/2)*AW125+(1-EXP(-LN(2)/2))/(LN(2)/2)*AQ126*AT126*VLOOKUP('Données projet'!$B$10,Paramètres!$A$1:$I$89,3,0)*0.475*44/12</f>
        <v>1.9884495998332552E-9</v>
      </c>
      <c r="AX126" s="21">
        <f t="shared" si="60"/>
        <v>67.69706191548002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-1.4210854715202004E-13</v>
      </c>
      <c r="BE126" s="13">
        <f>BD126*VLOOKUP('Données projet'!$B$11,Paramètres!$A$1:$I$89,3,0)*VLOOKUP('Données projet'!$B$11,Paramètres!$A$1:$I$89,5,0)</f>
        <v>-8.128608897095547E-14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320.76883487964511</v>
      </c>
      <c r="BJ126" s="59">
        <f t="shared" si="92"/>
        <v>290.51177680335746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70.658134127100141</v>
      </c>
      <c r="BQ126" s="21">
        <f>EXP(-LN(2)/25)*BQ125+(1-EXP(-LN(2)/25))/(LN(2)/25)*Calculateur!BL126*Calculateur!BN126*VLOOKUP('Données projet'!$B$11,Paramètres!$A$1:$I$89,3,0)*0.475*44/12</f>
        <v>13.357701951326431</v>
      </c>
      <c r="BR126" s="21">
        <f>EXP(-LN(2)/2)*BR125+(1-EXP(-LN(2)/2))/(LN(2)/2)*BL126*BO126*VLOOKUP('Données projet'!$B$11,Paramètres!$A$1:$I$89,3,0)*0.475*44/12</f>
        <v>3.4335007483775597E-4</v>
      </c>
      <c r="BS126" s="22">
        <f t="shared" si="63"/>
        <v>84.016179428501417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304.99999999999983</v>
      </c>
      <c r="BZ126" s="13">
        <f>BY126*VLOOKUP('Données projet'!$B$12,Paramètres!$A$1:$I$89,3,0)*VLOOKUP('Données projet'!$B$12,Paramètres!$A$1:$I$89,5,0)</f>
        <v>275.96399999999983</v>
      </c>
      <c r="CA126" s="13">
        <f t="shared" si="93"/>
        <v>66.113366665488854</v>
      </c>
      <c r="CB126" s="20">
        <f t="shared" si="64"/>
        <v>595.78474694239264</v>
      </c>
      <c r="CC126" s="59">
        <f t="shared" si="65"/>
        <v>889.11808027572602</v>
      </c>
      <c r="CD126" s="59">
        <f ca="1">AVERAGE(OFFSET($CC$3,0,0,'Données projet'!$E$12+1,1))-AVERAGE(OFFSET($H$3,0,0,'Données projet'!$E$12+1,1))</f>
        <v>366.69125512029831</v>
      </c>
      <c r="CE126" s="59">
        <f t="shared" si="94"/>
        <v>513.80016421153414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0.25623197915741136</v>
      </c>
      <c r="CL126" s="21">
        <f>EXP(-LN(2)/25)*CL125+(1-EXP(-LN(2)/25))/(LN(2)/25)*Calculateur!CG126*Calculateur!CI126*VLOOKUP('Données projet'!$B$12,Paramètres!$A$1:$I$89,3,0)*0.475*44/12</f>
        <v>0.56027538240802377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0.81650736156543513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222.63461538461539</v>
      </c>
      <c r="CR126" s="12">
        <f>VLOOKUP(A126,'Données projet'!$A$139:$I$159,9,0)</f>
        <v>3.8301282051282044</v>
      </c>
      <c r="CS126" s="12">
        <f t="array" ref="CS126">INDEX(CR:CR,MIN(IF(ISNUMBER(CR126:CR322),ROW(CR126:CR322),"")))</f>
        <v>3.8301282051282044</v>
      </c>
      <c r="CT126" s="12">
        <f>IF('Données projet'!$A$140&gt;35,CT125+CS126-DB125,IF(A126&lt;'Données projet'!$A$140,$CQ$205^A126,IF(A126='Données projet'!$A$140,'Données projet'!$B$140,CT125+CS126-DB125)))</f>
        <v>222.63461538461587</v>
      </c>
      <c r="CU126" s="17">
        <f>CT126*VLOOKUP('Données projet'!$B$13,Paramètres!$A$1:$I$89,3,0)*VLOOKUP('Données projet'!$B$13,Paramètres!$A$1:$I$89,5,0)</f>
        <v>149.34330000000031</v>
      </c>
      <c r="CV126" s="13">
        <f t="shared" si="95"/>
        <v>38.429310101642066</v>
      </c>
      <c r="CW126" s="20">
        <f t="shared" si="67"/>
        <v>327.03729592702717</v>
      </c>
      <c r="CX126" s="59">
        <f t="shared" si="68"/>
        <v>620.37062926036049</v>
      </c>
      <c r="CY126" s="59">
        <f ca="1">AVERAGE(OFFSET($CX$3,0,0,'Données projet'!$E$13+1,1))-AVERAGE(OFFSET($H$3,0,0,'Données projet'!$E$13+1,1))</f>
        <v>294.94331863127815</v>
      </c>
      <c r="CZ126" s="59">
        <f t="shared" si="96"/>
        <v>218.36990036643977</v>
      </c>
      <c r="DA126" s="15">
        <f>IF(ISNA(VLOOKUP(A126,'Données projet'!$A$139:$I$159,3,0)),0,VLOOKUP(A126,'Données projet'!$A$139:$I$159,3,0))</f>
        <v>12</v>
      </c>
      <c r="DB126" s="15">
        <f>IF(ISNA(VLOOKUP(A126,'Données projet'!$A$139:$I$159,4,0)),0,VLOOKUP(A126,'Données projet'!$A$139:$I$159,4,0))</f>
        <v>77.17307692307692</v>
      </c>
      <c r="DC126" s="16">
        <f>IF(ISNA(VLOOKUP(A126,'Données projet'!$A$139:$I$159,5,0)),0%,VLOOKUP(A126,'Données projet'!$A$139:$I$159,5,0)*VLOOKUP('Données projet'!$B$13,Paramètres!$A$1:$I$89,7,0))</f>
        <v>0.47700000000000004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117.9909039214255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117.9909039214255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266.99999999999983</v>
      </c>
      <c r="DP126" s="17">
        <f>DO126*VLOOKUP('Données projet'!$B$14,Paramètres!$A$1:$I$89,3,0)*VLOOKUP('Données projet'!$B$14,Paramètres!$A$1:$I$89,5,0)</f>
        <v>195.76439999999985</v>
      </c>
      <c r="DQ126" s="13">
        <f t="shared" si="97"/>
        <v>48.812154563023455</v>
      </c>
      <c r="DR126" s="20">
        <f t="shared" si="70"/>
        <v>425.9708325305989</v>
      </c>
      <c r="DS126" s="59">
        <f t="shared" si="71"/>
        <v>719.30416586393221</v>
      </c>
      <c r="DT126" s="59">
        <f ca="1">AVERAGE(OFFSET($DS$3,0,0,'Données projet'!$E$14+1,1))-AVERAGE(OFFSET($H$3,0,0,'Données projet'!$E$14+1,1))</f>
        <v>278.45534008146865</v>
      </c>
      <c r="DU126" s="59">
        <f t="shared" si="98"/>
        <v>272.97841038165217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9.1863930660127728</v>
      </c>
      <c r="EB126" s="21">
        <f>EXP(-LN(2)/25)*EB125+(1-EXP(-LN(2)/25))/(LN(2)/25)*Calculateur!DW126*Calculateur!DY126*VLOOKUP('Données projet'!$B$14,Paramètres!$A$1:$I$89,3,0)*0.475*44/12</f>
        <v>1.8903289135668015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11.076721979579574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>
        <f>VLOOKUP(A126,'Données projet'!$A$191:$I$211,2,0)</f>
        <v>222.63461538461539</v>
      </c>
      <c r="EH126" s="12">
        <f>VLOOKUP(A126,'Données projet'!$A$191:$I$211,9,0)</f>
        <v>3.8301282051282044</v>
      </c>
      <c r="EI126" s="12">
        <f t="array" ref="EI126">INDEX(EH:EH,MIN(IF(ISNUMBER(EH126:EH322),ROW(EH126:EH322),"")))</f>
        <v>3.8301282051282044</v>
      </c>
      <c r="EJ126" s="12">
        <f>IF('Données projet'!$A$192&gt;35,EJ125+EI126-ER125,IF(A126&lt;'Données projet'!$A$192,$EG$205^A126,IF(A126='Données projet'!$A$192,'Données projet'!$B$192,EJ125+EI126-ER125)))</f>
        <v>222.63461538461587</v>
      </c>
      <c r="EK126" s="17">
        <f>EJ126*VLOOKUP('Données projet'!$B$15,Paramètres!$A$1:$I$89,3,0)*VLOOKUP('Données projet'!$B$15,Paramètres!$A$1:$I$89,5,0)</f>
        <v>239.64390000000054</v>
      </c>
      <c r="EL126" s="13">
        <f t="shared" si="99"/>
        <v>58.3629072126826</v>
      </c>
      <c r="EM126" s="20">
        <f t="shared" si="73"/>
        <v>519.02852256208973</v>
      </c>
      <c r="EN126" s="59">
        <f t="shared" si="74"/>
        <v>812.3618558954231</v>
      </c>
      <c r="EO126" s="59">
        <f ca="1">AVERAGE(OFFSET($EN$3,0,0,'Données projet'!$E$15+1,1))-AVERAGE(OFFSET($H$3,0,0,'Données projet'!$E$15+1,1))</f>
        <v>449.09332781196957</v>
      </c>
      <c r="EP126" s="59">
        <f t="shared" si="100"/>
        <v>324.85904971519432</v>
      </c>
      <c r="EQ126" s="15">
        <f>IF(ISNA(VLOOKUP(A126,'Données projet'!$A$191:$I$211,3,0)),0,VLOOKUP(A126,'Données projet'!$A$191:$I$211,3,0))</f>
        <v>12</v>
      </c>
      <c r="ER126" s="15">
        <f>IF(ISNA(VLOOKUP(A126,'Données projet'!$A$191:$I$211,4,0)),0,VLOOKUP(A126,'Données projet'!$A$191:$I$211,4,0))</f>
        <v>77.17307692307692</v>
      </c>
      <c r="ES126" s="16">
        <f>IF(ISNA(VLOOKUP(A126,'Données projet'!$A$191:$I$211,5,0)),0%,VLOOKUP(A126,'Données projet'!$A$191:$I$211,5,0)*VLOOKUP('Données projet'!$B$15,Paramètres!$A$1:$I$89,7,0))</f>
        <v>0.38700000000000001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153.61079944487471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153.61079944487471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>
        <f>VLOOKUP(A126,'Données projet'!$A$217:$I$237,2,0)</f>
        <v>222.63461538461539</v>
      </c>
      <c r="FC126" s="12">
        <f>VLOOKUP(A126,'Données projet'!$A$217:$I$237,9,0)</f>
        <v>3.8301282051282044</v>
      </c>
      <c r="FD126" s="12">
        <f t="array" ref="FD126">INDEX(FC:FC,MIN(IF(ISNUMBER(FC126:FC322),ROW(FC126:FC322),"")))</f>
        <v>3.8301282051282044</v>
      </c>
      <c r="FE126" s="12">
        <f>IF('Données projet'!$A$218&gt;35,FE125+FD126-FM125,IF(A126&lt;'Données projet'!$A$218,$FB$205^A126,IF(A126='Données projet'!$A$218,'Données projet'!$B$218,FE125+FD126-FM125)))</f>
        <v>222.63461538461587</v>
      </c>
      <c r="FF126" s="17">
        <f>FE126*VLOOKUP('Données projet'!$B$16,Paramètres!$A$1:$I$89,3,0)*VLOOKUP('Données projet'!$B$16,Paramètres!$A$1:$I$89,5,0)</f>
        <v>225.7515000000005</v>
      </c>
      <c r="FG126" s="13">
        <f t="shared" si="101"/>
        <v>55.363062072917565</v>
      </c>
      <c r="FH126" s="20">
        <f t="shared" si="76"/>
        <v>489.60786227699901</v>
      </c>
      <c r="FI126" s="59">
        <f t="shared" si="77"/>
        <v>782.94119561033233</v>
      </c>
      <c r="FJ126" s="59">
        <f ca="1">AVERAGE(OFFSET($FI$3,0,0,'Données projet'!$E$16+1,1))-AVERAGE(OFFSET($H$3,0,0,'Données projet'!$E$16+1,1))</f>
        <v>419.51168383014721</v>
      </c>
      <c r="FK126" s="59">
        <f t="shared" si="102"/>
        <v>213.44145308833384</v>
      </c>
      <c r="FL126" s="15">
        <f>IF(ISNA(VLOOKUP(A126,'Données projet'!$A$217:$I$237,3,0)),0,VLOOKUP(A126,'Données projet'!$A$217:$I$237,3,0))</f>
        <v>12</v>
      </c>
      <c r="FM126" s="15">
        <f>IF(ISNA(VLOOKUP(A126,'Données projet'!$A$217:$I$237,4,0)),0,VLOOKUP(A126,'Données projet'!$A$217:$I$237,4,0))</f>
        <v>77.17307692307692</v>
      </c>
      <c r="FN126" s="16">
        <f>IF(ISNA(VLOOKUP(A126,'Données projet'!$A$217:$I$237,5,0)),0%,VLOOKUP(A126,'Données projet'!$A$217:$I$237,5,0)*VLOOKUP('Données projet'!$B$16,Paramètres!$A$1:$I$89,7,0))</f>
        <v>0.38700000000000001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144.70582556401243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144.70582556401243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266.99999999999983</v>
      </c>
      <c r="GA126" s="17">
        <f>FZ126*VLOOKUP('Données projet'!$B$17,Paramètres!$A$1:$I$89,3,0)*VLOOKUP('Données projet'!$B$17,Paramètres!$A$1:$I$89,5,0)</f>
        <v>233.2511999999999</v>
      </c>
      <c r="GB126" s="13">
        <f t="shared" si="103"/>
        <v>56.985091661350864</v>
      </c>
      <c r="GC126" s="20">
        <f t="shared" si="79"/>
        <v>505.49487464351915</v>
      </c>
      <c r="GD126" s="59">
        <f t="shared" si="80"/>
        <v>798.82820797685247</v>
      </c>
      <c r="GE126" s="59">
        <f ca="1">AVERAGE(OFFSET($GD$3,0,0,'Données projet'!$E$17+1,1))-AVERAGE(OFFSET($H$3,0,0,'Données projet'!$E$17+1,1))</f>
        <v>324.86930206492627</v>
      </c>
      <c r="GF126" s="59">
        <f t="shared" si="104"/>
        <v>317.03005098025352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13.490952310700589</v>
      </c>
      <c r="GM126" s="21">
        <f>EXP(-LN(2)/25)*GM125+(1-EXP(-LN(2)/25))/(LN(2)/25)*Calculateur!GH126*Calculateur!GJ126*VLOOKUP('Données projet'!$B$17,Paramètres!$A$1:$I$89,3,0)*0.475*44/12</f>
        <v>2.7760990675241315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16.267051378224721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>
        <f>VLOOKUP(A126,'Données projet'!$A$269:$I$289,2,0)</f>
        <v>222.63461538461539</v>
      </c>
      <c r="GS126" s="12">
        <f>VLOOKUP(A126,'Données projet'!$A$269:$I$289,9,0)</f>
        <v>3.8301282051282044</v>
      </c>
      <c r="GT126" s="12">
        <f t="array" ref="GT126">INDEX(GS:GS,MIN(IF(ISNUMBER(GS126:GS322),ROW(GS126:GS322),"")))</f>
        <v>3.8301282051282044</v>
      </c>
      <c r="GU126" s="12">
        <f>IF('Données projet'!$A$270&gt;35,GU125+GT126-HC125,IF(A126&lt;'Données projet'!$A$270,$GR$205^A126,IF(A126='Données projet'!$A$270,'Données projet'!$B$270,GU125+GT126-HC125)))</f>
        <v>222.63461538461587</v>
      </c>
      <c r="GV126" s="17">
        <f>GU126*VLOOKUP('Données projet'!$B$18,Paramètres!$A$1:$I$89,3,0)*VLOOKUP('Données projet'!$B$18,Paramètres!$A$1:$I$89,5,0)</f>
        <v>211.85910000000047</v>
      </c>
      <c r="GW126" s="13">
        <f t="shared" si="105"/>
        <v>52.341637188998398</v>
      </c>
      <c r="GX126" s="20">
        <f t="shared" si="82"/>
        <v>460.14961727083966</v>
      </c>
      <c r="GY126" s="59">
        <f t="shared" si="83"/>
        <v>753.48295060417297</v>
      </c>
      <c r="GZ126" s="59">
        <f ca="1">AVERAGE(OFFSET($GY$3,0,0,'Données projet'!$E$18+1,1))-AVERAGE(OFFSET($H$3,0,0,'Données projet'!$E$18+1,1))</f>
        <v>401.81944956556271</v>
      </c>
      <c r="HA126" s="59">
        <f t="shared" si="106"/>
        <v>292.20785523952651</v>
      </c>
      <c r="HB126" s="15">
        <f>IF(ISNA(VLOOKUP(A126,'Données projet'!$A$269:$I$289,3,0)),0,VLOOKUP(A126,'Données projet'!$A$269:$I$289,3,0))</f>
        <v>12</v>
      </c>
      <c r="HC126" s="15">
        <f>IF(ISNA(VLOOKUP(A126,'Données projet'!$A$269:$I$289,4,0)),0,VLOOKUP(A126,'Données projet'!$A$269:$I$289,4,0))</f>
        <v>77.17307692307692</v>
      </c>
      <c r="HD126" s="16">
        <f>IF(ISNA(VLOOKUP(A126,'Données projet'!$A$269:$I$289,5,0)),0%,VLOOKUP(A126,'Données projet'!$A$269:$I$289,5,0)*VLOOKUP('Données projet'!$B$18,Paramètres!$A$1:$I$89,7,0))</f>
        <v>0.38700000000000001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135.80085168315014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135.80085168315014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147.79647435897488</v>
      </c>
      <c r="O127" s="13">
        <f>N127*VLOOKUP('Données projet'!$B$9,Paramètres!$A$1:$I$89,3,0)*VLOOKUP('Données projet'!$B$9,Paramètres!$A$1:$I$89,5,0)</f>
        <v>133.72625000000048</v>
      </c>
      <c r="P127" s="13">
        <f t="shared" si="87"/>
        <v>34.855965018185749</v>
      </c>
      <c r="Q127" s="20">
        <f t="shared" si="107"/>
        <v>293.61402449000764</v>
      </c>
      <c r="R127" s="59">
        <f t="shared" si="55"/>
        <v>586.94735782334101</v>
      </c>
      <c r="S127" s="59">
        <f ca="1">AVERAGE(OFFSET($R$3,0,0,'Données projet'!$E$9+1,1))-AVERAGE(OFFSET($H$3,0,0,'Données projet'!$E$9+1,1))</f>
        <v>384.05928630855732</v>
      </c>
      <c r="T127" s="59">
        <f t="shared" si="88"/>
        <v>279.93992813630513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-6.3550942286383367E-14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335.04906256888819</v>
      </c>
      <c r="AO127" s="59">
        <f t="shared" si="90"/>
        <v>440.84111898279554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57.797647097132199</v>
      </c>
      <c r="AV127" s="21">
        <f>EXP(-LN(2)/25)*AV126+(1-EXP(-LN(2)/25))/(LN(2)/25)*Calculateur!AQ127*Calculateur!AS127*VLOOKUP('Données projet'!$B$10,Paramètres!$A$1:$I$89,3,0)*0.475*44/12</f>
        <v>8.5042809725611566</v>
      </c>
      <c r="AW127" s="21">
        <f>EXP(-LN(2)/2)*AW126+(1-EXP(-LN(2)/2))/(LN(2)/2)*AQ127*AT127*VLOOKUP('Données projet'!$B$10,Paramètres!$A$1:$I$89,3,0)*0.475*44/12</f>
        <v>1.4060461960897716E-9</v>
      </c>
      <c r="AX127" s="21">
        <f t="shared" si="60"/>
        <v>66.301928071099411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-1.4210854715202004E-13</v>
      </c>
      <c r="BE127" s="13">
        <f>BD127*VLOOKUP('Données projet'!$B$11,Paramètres!$A$1:$I$89,3,0)*VLOOKUP('Données projet'!$B$11,Paramètres!$A$1:$I$89,5,0)</f>
        <v>-8.128608897095547E-14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320.76883487964511</v>
      </c>
      <c r="BJ127" s="59">
        <f t="shared" si="92"/>
        <v>290.51177680335746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69.272571214074034</v>
      </c>
      <c r="BQ127" s="21">
        <f>EXP(-LN(2)/25)*BQ126+(1-EXP(-LN(2)/25))/(LN(2)/25)*Calculateur!BL127*Calculateur!BN127*VLOOKUP('Données projet'!$B$11,Paramètres!$A$1:$I$89,3,0)*0.475*44/12</f>
        <v>12.992434889016394</v>
      </c>
      <c r="BR127" s="21">
        <f>EXP(-LN(2)/2)*BR126+(1-EXP(-LN(2)/2))/(LN(2)/2)*BL127*BO127*VLOOKUP('Données projet'!$B$11,Paramètres!$A$1:$I$89,3,0)*0.475*44/12</f>
        <v>2.4278516623868585E-4</v>
      </c>
      <c r="BS127" s="22">
        <f t="shared" si="63"/>
        <v>82.265248888256664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304.99999999999983</v>
      </c>
      <c r="BZ127" s="13">
        <f>BY127*VLOOKUP('Données projet'!$B$12,Paramètres!$A$1:$I$89,3,0)*VLOOKUP('Données projet'!$B$12,Paramètres!$A$1:$I$89,5,0)</f>
        <v>275.96399999999983</v>
      </c>
      <c r="CA127" s="13">
        <f t="shared" si="93"/>
        <v>66.113366665488854</v>
      </c>
      <c r="CB127" s="20">
        <f t="shared" si="64"/>
        <v>595.78474694239264</v>
      </c>
      <c r="CC127" s="59">
        <f t="shared" si="65"/>
        <v>889.11808027572602</v>
      </c>
      <c r="CD127" s="59">
        <f ca="1">AVERAGE(OFFSET($CC$3,0,0,'Données projet'!$E$12+1,1))-AVERAGE(OFFSET($H$3,0,0,'Données projet'!$E$12+1,1))</f>
        <v>366.69125512029831</v>
      </c>
      <c r="CE127" s="59">
        <f t="shared" si="94"/>
        <v>513.80016421153414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0.25120742633220983</v>
      </c>
      <c r="CL127" s="21">
        <f>EXP(-LN(2)/25)*CL126+(1-EXP(-LN(2)/25))/(LN(2)/25)*Calculateur!CG127*Calculateur!CI127*VLOOKUP('Données projet'!$B$12,Paramètres!$A$1:$I$89,3,0)*0.475*44/12</f>
        <v>0.54495462261247452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0.79616204894468434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2.3349358974358978</v>
      </c>
      <c r="CT127" s="12">
        <f>IF('Données projet'!$A$140&gt;35,CT126+CS127-DB126,IF(A127&lt;'Données projet'!$A$140,$CQ$205^A127,IF(A127='Données projet'!$A$140,'Données projet'!$B$140,CT126+CS127-DB126)))</f>
        <v>147.79647435897488</v>
      </c>
      <c r="CU127" s="17">
        <f>CT127*VLOOKUP('Données projet'!$B$13,Paramètres!$A$1:$I$89,3,0)*VLOOKUP('Données projet'!$B$13,Paramètres!$A$1:$I$89,5,0)</f>
        <v>99.141875000000354</v>
      </c>
      <c r="CV127" s="13">
        <f t="shared" si="95"/>
        <v>26.757458671379844</v>
      </c>
      <c r="CW127" s="20">
        <f t="shared" si="67"/>
        <v>219.27467281098714</v>
      </c>
      <c r="CX127" s="59">
        <f t="shared" si="68"/>
        <v>512.60800614432048</v>
      </c>
      <c r="CY127" s="59">
        <f ca="1">AVERAGE(OFFSET($CX$3,0,0,'Données projet'!$E$13+1,1))-AVERAGE(OFFSET($H$3,0,0,'Données projet'!$E$13+1,1))</f>
        <v>294.94331863127815</v>
      </c>
      <c r="CZ127" s="59">
        <f t="shared" si="96"/>
        <v>218.36990036643977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115.67717426287155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115.67717426287155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266.99999999999983</v>
      </c>
      <c r="DP127" s="17">
        <f>DO127*VLOOKUP('Données projet'!$B$14,Paramètres!$A$1:$I$89,3,0)*VLOOKUP('Données projet'!$B$14,Paramètres!$A$1:$I$89,5,0)</f>
        <v>195.76439999999985</v>
      </c>
      <c r="DQ127" s="13">
        <f t="shared" si="97"/>
        <v>48.812154563023455</v>
      </c>
      <c r="DR127" s="20">
        <f t="shared" si="70"/>
        <v>425.9708325305989</v>
      </c>
      <c r="DS127" s="59">
        <f t="shared" si="71"/>
        <v>719.30416586393221</v>
      </c>
      <c r="DT127" s="59">
        <f ca="1">AVERAGE(OFFSET($DS$3,0,0,'Données projet'!$E$14+1,1))-AVERAGE(OFFSET($H$3,0,0,'Données projet'!$E$14+1,1))</f>
        <v>278.45534008146865</v>
      </c>
      <c r="DU127" s="59">
        <f t="shared" si="98"/>
        <v>272.97841038165217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9.0062535011347684</v>
      </c>
      <c r="EB127" s="21">
        <f>EXP(-LN(2)/25)*EB126+(1-EXP(-LN(2)/25))/(LN(2)/25)*Calculateur!DW127*Calculateur!DY127*VLOOKUP('Données projet'!$B$14,Paramètres!$A$1:$I$89,3,0)*0.475*44/12</f>
        <v>1.8386377700172403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10.844891271152008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2.3349358974358978</v>
      </c>
      <c r="EJ127" s="12">
        <f>IF('Données projet'!$A$192&gt;35,EJ126+EI127-ER126,IF(A127&lt;'Données projet'!$A$192,$EG$205^A127,IF(A127='Données projet'!$A$192,'Données projet'!$B$192,EJ126+EI127-ER126)))</f>
        <v>147.79647435897488</v>
      </c>
      <c r="EK127" s="17">
        <f>EJ127*VLOOKUP('Données projet'!$B$15,Paramètres!$A$1:$I$89,3,0)*VLOOKUP('Données projet'!$B$15,Paramètres!$A$1:$I$89,5,0)</f>
        <v>159.08812500000056</v>
      </c>
      <c r="EL127" s="13">
        <f t="shared" si="99"/>
        <v>40.636771088383441</v>
      </c>
      <c r="EM127" s="20">
        <f t="shared" si="73"/>
        <v>347.85419402060211</v>
      </c>
      <c r="EN127" s="59">
        <f t="shared" si="74"/>
        <v>641.18752735393537</v>
      </c>
      <c r="EO127" s="59">
        <f ca="1">AVERAGE(OFFSET($EN$3,0,0,'Données projet'!$E$15+1,1))-AVERAGE(OFFSET($H$3,0,0,'Données projet'!$E$15+1,1))</f>
        <v>449.09332781196957</v>
      </c>
      <c r="EP127" s="59">
        <f t="shared" si="100"/>
        <v>324.85904971519432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150.59858536109692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150.59858536109692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2.3349358974358978</v>
      </c>
      <c r="FE127" s="12">
        <f>IF('Données projet'!$A$218&gt;35,FE126+FD127-FM126,IF(A127&lt;'Données projet'!$A$218,$FB$205^A127,IF(A127='Données projet'!$A$218,'Données projet'!$B$218,FE126+FD127-FM126)))</f>
        <v>147.79647435897488</v>
      </c>
      <c r="FF127" s="17">
        <f>FE127*VLOOKUP('Données projet'!$B$16,Paramètres!$A$1:$I$89,3,0)*VLOOKUP('Données projet'!$B$16,Paramètres!$A$1:$I$89,5,0)</f>
        <v>149.86562500000053</v>
      </c>
      <c r="FG127" s="13">
        <f t="shared" si="101"/>
        <v>38.54804682725306</v>
      </c>
      <c r="FH127" s="20">
        <f t="shared" si="76"/>
        <v>328.15381176580001</v>
      </c>
      <c r="FI127" s="59">
        <f t="shared" si="77"/>
        <v>621.48714509913339</v>
      </c>
      <c r="FJ127" s="59">
        <f ca="1">AVERAGE(OFFSET($FI$3,0,0,'Données projet'!$E$16+1,1))-AVERAGE(OFFSET($H$3,0,0,'Données projet'!$E$16+1,1))</f>
        <v>419.51168383014721</v>
      </c>
      <c r="FK127" s="59">
        <f t="shared" si="102"/>
        <v>213.44145308833384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141.86823258654061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141.86823258654061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266.99999999999983</v>
      </c>
      <c r="GA127" s="17">
        <f>FZ127*VLOOKUP('Données projet'!$B$17,Paramètres!$A$1:$I$89,3,0)*VLOOKUP('Données projet'!$B$17,Paramètres!$A$1:$I$89,5,0)</f>
        <v>233.2511999999999</v>
      </c>
      <c r="GB127" s="13">
        <f t="shared" si="103"/>
        <v>56.985091661350864</v>
      </c>
      <c r="GC127" s="20">
        <f t="shared" si="79"/>
        <v>505.49487464351915</v>
      </c>
      <c r="GD127" s="59">
        <f t="shared" si="80"/>
        <v>798.82820797685247</v>
      </c>
      <c r="GE127" s="59">
        <f ca="1">AVERAGE(OFFSET($GD$3,0,0,'Données projet'!$E$17+1,1))-AVERAGE(OFFSET($H$3,0,0,'Données projet'!$E$17+1,1))</f>
        <v>324.86930206492627</v>
      </c>
      <c r="GF127" s="59">
        <f t="shared" si="104"/>
        <v>317.03005098025352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13.226402964556147</v>
      </c>
      <c r="GM127" s="21">
        <f>EXP(-LN(2)/25)*GM126+(1-EXP(-LN(2)/25))/(LN(2)/25)*Calculateur!GH127*Calculateur!GJ127*VLOOKUP('Données projet'!$B$17,Paramètres!$A$1:$I$89,3,0)*0.475*44/12</f>
        <v>2.7001864925339789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15.926589457090126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2.3349358974358978</v>
      </c>
      <c r="GU127" s="12">
        <f>IF('Données projet'!$A$270&gt;35,GU126+GT127-HC126,IF(A127&lt;'Données projet'!$A$270,$GR$205^A127,IF(A127='Données projet'!$A$270,'Données projet'!$B$270,GU126+GT127-HC126)))</f>
        <v>147.79647435897488</v>
      </c>
      <c r="GV127" s="17">
        <f>GU127*VLOOKUP('Données projet'!$B$18,Paramètres!$A$1:$I$89,3,0)*VLOOKUP('Données projet'!$B$18,Paramètres!$A$1:$I$89,5,0)</f>
        <v>140.64312500000051</v>
      </c>
      <c r="GW127" s="13">
        <f t="shared" si="105"/>
        <v>36.444297078784672</v>
      </c>
      <c r="GX127" s="20">
        <f t="shared" si="82"/>
        <v>308.4272601205509</v>
      </c>
      <c r="GY127" s="59">
        <f t="shared" si="83"/>
        <v>601.76059345388421</v>
      </c>
      <c r="GZ127" s="59">
        <f ca="1">AVERAGE(OFFSET($GY$3,0,0,'Données projet'!$E$18+1,1))-AVERAGE(OFFSET($H$3,0,0,'Données projet'!$E$18+1,1))</f>
        <v>401.81944956556271</v>
      </c>
      <c r="HA127" s="59">
        <f t="shared" si="106"/>
        <v>292.20785523952651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133.13787981198428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133.13787981198428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150.13141025641079</v>
      </c>
      <c r="O128" s="13">
        <f>N128*VLOOKUP('Données projet'!$B$9,Paramètres!$A$1:$I$89,3,0)*VLOOKUP('Données projet'!$B$9,Paramètres!$A$1:$I$89,5,0)</f>
        <v>135.83890000000048</v>
      </c>
      <c r="P128" s="13">
        <f t="shared" si="87"/>
        <v>35.342088427890417</v>
      </c>
      <c r="Q128" s="20">
        <f t="shared" si="107"/>
        <v>298.14022151190994</v>
      </c>
      <c r="R128" s="59">
        <f t="shared" si="55"/>
        <v>591.47355484524326</v>
      </c>
      <c r="S128" s="59">
        <f ca="1">AVERAGE(OFFSET($R$3,0,0,'Données projet'!$E$9+1,1))-AVERAGE(OFFSET($H$3,0,0,'Données projet'!$E$9+1,1))</f>
        <v>384.05928630855732</v>
      </c>
      <c r="T128" s="59">
        <f t="shared" si="88"/>
        <v>279.93992813630513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-6.3550942286383367E-14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335.04906256888819</v>
      </c>
      <c r="AO128" s="59">
        <f t="shared" si="90"/>
        <v>440.84111898279554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56.664270490641215</v>
      </c>
      <c r="AV128" s="21">
        <f>EXP(-LN(2)/25)*AV127+(1-EXP(-LN(2)/25))/(LN(2)/25)*Calculateur!AQ128*Calculateur!AS128*VLOOKUP('Données projet'!$B$10,Paramètres!$A$1:$I$89,3,0)*0.475*44/12</f>
        <v>8.2717309621457726</v>
      </c>
      <c r="AW128" s="21">
        <f>EXP(-LN(2)/2)*AW127+(1-EXP(-LN(2)/2))/(LN(2)/2)*AQ128*AT128*VLOOKUP('Données projet'!$B$10,Paramètres!$A$1:$I$89,3,0)*0.475*44/12</f>
        <v>9.9422479991662762E-10</v>
      </c>
      <c r="AX128" s="21">
        <f t="shared" si="60"/>
        <v>64.936001453781202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-1.4210854715202004E-13</v>
      </c>
      <c r="BE128" s="13">
        <f>BD128*VLOOKUP('Données projet'!$B$11,Paramètres!$A$1:$I$89,3,0)*VLOOKUP('Données projet'!$B$11,Paramètres!$A$1:$I$89,5,0)</f>
        <v>-8.128608897095547E-14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320.76883487964511</v>
      </c>
      <c r="BJ128" s="59">
        <f t="shared" si="92"/>
        <v>290.51177680335746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67.914178344662432</v>
      </c>
      <c r="BQ128" s="21">
        <f>EXP(-LN(2)/25)*BQ127+(1-EXP(-LN(2)/25))/(LN(2)/25)*Calculateur!BL128*Calculateur!BN128*VLOOKUP('Données projet'!$B$11,Paramètres!$A$1:$I$89,3,0)*0.475*44/12</f>
        <v>12.637156073733784</v>
      </c>
      <c r="BR128" s="21">
        <f>EXP(-LN(2)/2)*BR127+(1-EXP(-LN(2)/2))/(LN(2)/2)*BL128*BO128*VLOOKUP('Données projet'!$B$11,Paramètres!$A$1:$I$89,3,0)*0.475*44/12</f>
        <v>1.7167503741887801E-4</v>
      </c>
      <c r="BS128" s="22">
        <f t="shared" si="63"/>
        <v>80.55150609343363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304.99999999999983</v>
      </c>
      <c r="BZ128" s="13">
        <f>BY128*VLOOKUP('Données projet'!$B$12,Paramètres!$A$1:$I$89,3,0)*VLOOKUP('Données projet'!$B$12,Paramètres!$A$1:$I$89,5,0)</f>
        <v>275.96399999999983</v>
      </c>
      <c r="CA128" s="13">
        <f t="shared" si="93"/>
        <v>66.113366665488854</v>
      </c>
      <c r="CB128" s="20">
        <f t="shared" si="64"/>
        <v>595.78474694239264</v>
      </c>
      <c r="CC128" s="59">
        <f t="shared" si="65"/>
        <v>889.11808027572602</v>
      </c>
      <c r="CD128" s="59">
        <f ca="1">AVERAGE(OFFSET($CC$3,0,0,'Données projet'!$E$12+1,1))-AVERAGE(OFFSET($H$3,0,0,'Données projet'!$E$12+1,1))</f>
        <v>366.69125512029831</v>
      </c>
      <c r="CE128" s="59">
        <f t="shared" si="94"/>
        <v>513.80016421153414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0.24628140192323589</v>
      </c>
      <c r="CL128" s="21">
        <f>EXP(-LN(2)/25)*CL127+(1-EXP(-LN(2)/25))/(LN(2)/25)*Calculateur!CG128*Calculateur!CI128*VLOOKUP('Données projet'!$B$12,Paramètres!$A$1:$I$89,3,0)*0.475*44/12</f>
        <v>0.53005280979921832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0.7763342117224542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2.3349358974358978</v>
      </c>
      <c r="CT128" s="12">
        <f>IF('Données projet'!$A$140&gt;35,CT127+CS128-DB127,IF(A128&lt;'Données projet'!$A$140,$CQ$205^A128,IF(A128='Données projet'!$A$140,'Données projet'!$B$140,CT127+CS128-DB127)))</f>
        <v>150.13141025641079</v>
      </c>
      <c r="CU128" s="17">
        <f>CT128*VLOOKUP('Données projet'!$B$13,Paramètres!$A$1:$I$89,3,0)*VLOOKUP('Données projet'!$B$13,Paramètres!$A$1:$I$89,5,0)</f>
        <v>100.70815000000034</v>
      </c>
      <c r="CV128" s="13">
        <f t="shared" si="95"/>
        <v>27.130635171803128</v>
      </c>
      <c r="CW128" s="20">
        <f t="shared" si="67"/>
        <v>222.652550840891</v>
      </c>
      <c r="CX128" s="59">
        <f t="shared" si="68"/>
        <v>515.98588417422434</v>
      </c>
      <c r="CY128" s="59">
        <f ca="1">AVERAGE(OFFSET($CX$3,0,0,'Données projet'!$E$13+1,1))-AVERAGE(OFFSET($H$3,0,0,'Données projet'!$E$13+1,1))</f>
        <v>294.94331863127815</v>
      </c>
      <c r="CZ128" s="59">
        <f t="shared" si="96"/>
        <v>218.36990036643977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113.40881543168609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113.40881543168609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266.99999999999983</v>
      </c>
      <c r="DP128" s="17">
        <f>DO128*VLOOKUP('Données projet'!$B$14,Paramètres!$A$1:$I$89,3,0)*VLOOKUP('Données projet'!$B$14,Paramètres!$A$1:$I$89,5,0)</f>
        <v>195.76439999999985</v>
      </c>
      <c r="DQ128" s="13">
        <f t="shared" si="97"/>
        <v>48.812154563023455</v>
      </c>
      <c r="DR128" s="20">
        <f t="shared" si="70"/>
        <v>425.9708325305989</v>
      </c>
      <c r="DS128" s="59">
        <f t="shared" si="71"/>
        <v>719.30416586393221</v>
      </c>
      <c r="DT128" s="59">
        <f ca="1">AVERAGE(OFFSET($DS$3,0,0,'Données projet'!$E$14+1,1))-AVERAGE(OFFSET($H$3,0,0,'Données projet'!$E$14+1,1))</f>
        <v>278.45534008146865</v>
      </c>
      <c r="DU128" s="59">
        <f t="shared" si="98"/>
        <v>272.97841038165217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8.8296463632497364</v>
      </c>
      <c r="EB128" s="21">
        <f>EXP(-LN(2)/25)*EB127+(1-EXP(-LN(2)/25))/(LN(2)/25)*Calculateur!DW128*Calculateur!DY128*VLOOKUP('Données projet'!$B$14,Paramètres!$A$1:$I$89,3,0)*0.475*44/12</f>
        <v>1.7883601235063609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10.618006486756098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2.3349358974358978</v>
      </c>
      <c r="EJ128" s="12">
        <f>IF('Données projet'!$A$192&gt;35,EJ127+EI128-ER127,IF(A128&lt;'Données projet'!$A$192,$EG$205^A128,IF(A128='Données projet'!$A$192,'Données projet'!$B$192,EJ127+EI128-ER127)))</f>
        <v>150.13141025641079</v>
      </c>
      <c r="EK128" s="17">
        <f>EJ128*VLOOKUP('Données projet'!$B$15,Paramètres!$A$1:$I$89,3,0)*VLOOKUP('Données projet'!$B$15,Paramètres!$A$1:$I$89,5,0)</f>
        <v>161.60145000000057</v>
      </c>
      <c r="EL128" s="13">
        <f t="shared" si="99"/>
        <v>41.203517288368623</v>
      </c>
      <c r="EM128" s="20">
        <f t="shared" si="73"/>
        <v>353.2186513605763</v>
      </c>
      <c r="EN128" s="59">
        <f t="shared" si="74"/>
        <v>646.55198469390962</v>
      </c>
      <c r="EO128" s="59">
        <f ca="1">AVERAGE(OFFSET($EN$3,0,0,'Données projet'!$E$15+1,1))-AVERAGE(OFFSET($H$3,0,0,'Données projet'!$E$15+1,1))</f>
        <v>449.09332781196957</v>
      </c>
      <c r="EP128" s="59">
        <f t="shared" si="100"/>
        <v>324.85904971519432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147.64543895823286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147.64543895823286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2.3349358974358978</v>
      </c>
      <c r="FE128" s="12">
        <f>IF('Données projet'!$A$218&gt;35,FE127+FD128-FM127,IF(A128&lt;'Données projet'!$A$218,$FB$205^A128,IF(A128='Données projet'!$A$218,'Données projet'!$B$218,FE127+FD128-FM127)))</f>
        <v>150.13141025641079</v>
      </c>
      <c r="FF128" s="17">
        <f>FE128*VLOOKUP('Données projet'!$B$16,Paramètres!$A$1:$I$89,3,0)*VLOOKUP('Données projet'!$B$16,Paramètres!$A$1:$I$89,5,0)</f>
        <v>152.23325000000054</v>
      </c>
      <c r="FG128" s="13">
        <f t="shared" si="101"/>
        <v>39.08566235307034</v>
      </c>
      <c r="FH128" s="20">
        <f t="shared" si="76"/>
        <v>333.21377234826514</v>
      </c>
      <c r="FI128" s="59">
        <f t="shared" si="77"/>
        <v>626.5471056815984</v>
      </c>
      <c r="FJ128" s="59">
        <f ca="1">AVERAGE(OFFSET($FI$3,0,0,'Données projet'!$E$16+1,1))-AVERAGE(OFFSET($H$3,0,0,'Données projet'!$E$16+1,1))</f>
        <v>419.51168383014721</v>
      </c>
      <c r="FK128" s="59">
        <f t="shared" si="102"/>
        <v>213.44145308833384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139.0862830765962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139.0862830765962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266.99999999999983</v>
      </c>
      <c r="GA128" s="17">
        <f>FZ128*VLOOKUP('Données projet'!$B$17,Paramètres!$A$1:$I$89,3,0)*VLOOKUP('Données projet'!$B$17,Paramètres!$A$1:$I$89,5,0)</f>
        <v>233.2511999999999</v>
      </c>
      <c r="GB128" s="13">
        <f t="shared" si="103"/>
        <v>56.985091661350864</v>
      </c>
      <c r="GC128" s="20">
        <f t="shared" si="79"/>
        <v>505.49487464351915</v>
      </c>
      <c r="GD128" s="59">
        <f t="shared" si="80"/>
        <v>798.82820797685247</v>
      </c>
      <c r="GE128" s="59">
        <f ca="1">AVERAGE(OFFSET($GD$3,0,0,'Données projet'!$E$17+1,1))-AVERAGE(OFFSET($H$3,0,0,'Données projet'!$E$17+1,1))</f>
        <v>324.86930206492627</v>
      </c>
      <c r="GF128" s="59">
        <f t="shared" si="104"/>
        <v>317.03005098025352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12.967041269730428</v>
      </c>
      <c r="GM128" s="21">
        <f>EXP(-LN(2)/25)*GM127+(1-EXP(-LN(2)/25))/(LN(2)/25)*Calculateur!GH128*Calculateur!GJ128*VLOOKUP('Données projet'!$B$17,Paramètres!$A$1:$I$89,3,0)*0.475*44/12</f>
        <v>2.626349750899001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15.593391020629429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2.3349358974358978</v>
      </c>
      <c r="GU128" s="12">
        <f>IF('Données projet'!$A$270&gt;35,GU127+GT128-HC127,IF(A128&lt;'Données projet'!$A$270,$GR$205^A128,IF(A128='Données projet'!$A$270,'Données projet'!$B$270,GU127+GT128-HC127)))</f>
        <v>150.13141025641079</v>
      </c>
      <c r="GV128" s="17">
        <f>GU128*VLOOKUP('Données projet'!$B$18,Paramètres!$A$1:$I$89,3,0)*VLOOKUP('Données projet'!$B$18,Paramètres!$A$1:$I$89,5,0)</f>
        <v>142.86505000000051</v>
      </c>
      <c r="GW128" s="13">
        <f t="shared" si="105"/>
        <v>36.952572375451552</v>
      </c>
      <c r="GX128" s="20">
        <f t="shared" si="82"/>
        <v>313.18235897057895</v>
      </c>
      <c r="GY128" s="59">
        <f t="shared" si="83"/>
        <v>606.51569230391226</v>
      </c>
      <c r="GZ128" s="59">
        <f ca="1">AVERAGE(OFFSET($GY$3,0,0,'Données projet'!$E$18+1,1))-AVERAGE(OFFSET($H$3,0,0,'Données projet'!$E$18+1,1))</f>
        <v>401.81944956556271</v>
      </c>
      <c r="HA128" s="59">
        <f t="shared" si="106"/>
        <v>292.20785523952651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130.52712719495952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130.52712719495952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152.4663461538467</v>
      </c>
      <c r="O129" s="13">
        <f>N129*VLOOKUP('Données projet'!$B$9,Paramètres!$A$1:$I$89,3,0)*VLOOKUP('Données projet'!$B$9,Paramètres!$A$1:$I$89,5,0)</f>
        <v>137.95155000000048</v>
      </c>
      <c r="P129" s="13">
        <f t="shared" si="87"/>
        <v>35.827332555199952</v>
      </c>
      <c r="Q129" s="20">
        <f t="shared" si="107"/>
        <v>302.66488711697406</v>
      </c>
      <c r="R129" s="59">
        <f t="shared" si="55"/>
        <v>595.99822045030737</v>
      </c>
      <c r="S129" s="59">
        <f ca="1">AVERAGE(OFFSET($R$3,0,0,'Données projet'!$E$9+1,1))-AVERAGE(OFFSET($H$3,0,0,'Données projet'!$E$9+1,1))</f>
        <v>384.05928630855732</v>
      </c>
      <c r="T129" s="59">
        <f t="shared" si="88"/>
        <v>279.93992813630513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-6.3550942286383367E-14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335.04906256888819</v>
      </c>
      <c r="AO129" s="59">
        <f t="shared" si="90"/>
        <v>440.84111898279554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55.553118708112045</v>
      </c>
      <c r="AV129" s="21">
        <f>EXP(-LN(2)/25)*AV128+(1-EXP(-LN(2)/25))/(LN(2)/25)*Calculateur!AQ129*Calculateur!AS129*VLOOKUP('Données projet'!$B$10,Paramètres!$A$1:$I$89,3,0)*0.475*44/12</f>
        <v>8.0455400439944711</v>
      </c>
      <c r="AW129" s="21">
        <f>EXP(-LN(2)/2)*AW128+(1-EXP(-LN(2)/2))/(LN(2)/2)*AQ129*AT129*VLOOKUP('Données projet'!$B$10,Paramètres!$A$1:$I$89,3,0)*0.475*44/12</f>
        <v>7.030230980448858E-10</v>
      </c>
      <c r="AX129" s="21">
        <f t="shared" si="60"/>
        <v>63.598658752809541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-1.4210854715202004E-13</v>
      </c>
      <c r="BE129" s="13">
        <f>BD129*VLOOKUP('Données projet'!$B$11,Paramètres!$A$1:$I$89,3,0)*VLOOKUP('Données projet'!$B$11,Paramètres!$A$1:$I$89,5,0)</f>
        <v>-8.128608897095547E-14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320.76883487964511</v>
      </c>
      <c r="BJ129" s="59">
        <f t="shared" si="92"/>
        <v>290.51177680335746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66.582422730882158</v>
      </c>
      <c r="BQ129" s="21">
        <f>EXP(-LN(2)/25)*BQ128+(1-EXP(-LN(2)/25))/(LN(2)/25)*Calculateur!BL129*Calculateur!BN129*VLOOKUP('Données projet'!$B$11,Paramètres!$A$1:$I$89,3,0)*0.475*44/12</f>
        <v>12.291592376338379</v>
      </c>
      <c r="BR129" s="21">
        <f>EXP(-LN(2)/2)*BR128+(1-EXP(-LN(2)/2))/(LN(2)/2)*BL129*BO129*VLOOKUP('Données projet'!$B$11,Paramètres!$A$1:$I$89,3,0)*0.475*44/12</f>
        <v>1.2139258311934294E-4</v>
      </c>
      <c r="BS129" s="22">
        <f t="shared" si="63"/>
        <v>78.874136499803669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304.99999999999983</v>
      </c>
      <c r="BZ129" s="13">
        <f>BY129*VLOOKUP('Données projet'!$B$12,Paramètres!$A$1:$I$89,3,0)*VLOOKUP('Données projet'!$B$12,Paramètres!$A$1:$I$89,5,0)</f>
        <v>275.96399999999983</v>
      </c>
      <c r="CA129" s="13">
        <f t="shared" si="93"/>
        <v>66.113366665488854</v>
      </c>
      <c r="CB129" s="20">
        <f t="shared" si="64"/>
        <v>595.78474694239264</v>
      </c>
      <c r="CC129" s="59">
        <f t="shared" si="65"/>
        <v>889.11808027572602</v>
      </c>
      <c r="CD129" s="59">
        <f ca="1">AVERAGE(OFFSET($CC$3,0,0,'Données projet'!$E$12+1,1))-AVERAGE(OFFSET($H$3,0,0,'Données projet'!$E$12+1,1))</f>
        <v>366.69125512029831</v>
      </c>
      <c r="CE129" s="59">
        <f t="shared" si="94"/>
        <v>513.80016421153414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0.24145197384834372</v>
      </c>
      <c r="CL129" s="21">
        <f>EXP(-LN(2)/25)*CL128+(1-EXP(-LN(2)/25))/(LN(2)/25)*Calculateur!CG129*Calculateur!CI129*VLOOKUP('Données projet'!$B$12,Paramètres!$A$1:$I$89,3,0)*0.475*44/12</f>
        <v>0.5155584878409929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0.75701046168933661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2.3349358974358978</v>
      </c>
      <c r="CT129" s="12">
        <f>IF('Données projet'!$A$140&gt;35,CT128+CS129-DB128,IF(A129&lt;'Données projet'!$A$140,$CQ$205^A129,IF(A129='Données projet'!$A$140,'Données projet'!$B$140,CT128+CS129-DB128)))</f>
        <v>152.4663461538467</v>
      </c>
      <c r="CU129" s="17">
        <f>CT129*VLOOKUP('Données projet'!$B$13,Paramètres!$A$1:$I$89,3,0)*VLOOKUP('Données projet'!$B$13,Paramètres!$A$1:$I$89,5,0)</f>
        <v>102.27442500000038</v>
      </c>
      <c r="CV129" s="13">
        <f t="shared" si="95"/>
        <v>27.503136684105009</v>
      </c>
      <c r="CW129" s="20">
        <f t="shared" si="67"/>
        <v>226.02925326648355</v>
      </c>
      <c r="CX129" s="59">
        <f t="shared" si="68"/>
        <v>519.36258659981684</v>
      </c>
      <c r="CY129" s="59">
        <f ca="1">AVERAGE(OFFSET($CX$3,0,0,'Données projet'!$E$13+1,1))-AVERAGE(OFFSET($H$3,0,0,'Données projet'!$E$13+1,1))</f>
        <v>294.94331863127815</v>
      </c>
      <c r="CZ129" s="59">
        <f t="shared" si="96"/>
        <v>218.36990036643977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111.18493773361791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111.18493773361791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266.99999999999983</v>
      </c>
      <c r="DP129" s="17">
        <f>DO129*VLOOKUP('Données projet'!$B$14,Paramètres!$A$1:$I$89,3,0)*VLOOKUP('Données projet'!$B$14,Paramètres!$A$1:$I$89,5,0)</f>
        <v>195.76439999999985</v>
      </c>
      <c r="DQ129" s="13">
        <f t="shared" si="97"/>
        <v>48.812154563023455</v>
      </c>
      <c r="DR129" s="20">
        <f t="shared" si="70"/>
        <v>425.9708325305989</v>
      </c>
      <c r="DS129" s="59">
        <f t="shared" si="71"/>
        <v>719.30416586393221</v>
      </c>
      <c r="DT129" s="59">
        <f ca="1">AVERAGE(OFFSET($DS$3,0,0,'Données projet'!$E$14+1,1))-AVERAGE(OFFSET($H$3,0,0,'Données projet'!$E$14+1,1))</f>
        <v>278.45534008146865</v>
      </c>
      <c r="DU129" s="59">
        <f t="shared" si="98"/>
        <v>272.97841038165217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8.6565023836189123</v>
      </c>
      <c r="EB129" s="21">
        <f>EXP(-LN(2)/25)*EB128+(1-EXP(-LN(2)/25))/(LN(2)/25)*Calculateur!DW129*Calculateur!DY129*VLOOKUP('Données projet'!$B$14,Paramètres!$A$1:$I$89,3,0)*0.475*44/12</f>
        <v>1.7394573218833078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10.39595970550222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2.3349358974358978</v>
      </c>
      <c r="EJ129" s="12">
        <f>IF('Données projet'!$A$192&gt;35,EJ128+EI129-ER128,IF(A129&lt;'Données projet'!$A$192,$EG$205^A129,IF(A129='Données projet'!$A$192,'Données projet'!$B$192,EJ128+EI129-ER128)))</f>
        <v>152.4663461538467</v>
      </c>
      <c r="EK129" s="17">
        <f>EJ129*VLOOKUP('Données projet'!$B$15,Paramètres!$A$1:$I$89,3,0)*VLOOKUP('Données projet'!$B$15,Paramètres!$A$1:$I$89,5,0)</f>
        <v>164.11477500000058</v>
      </c>
      <c r="EL129" s="13">
        <f t="shared" si="99"/>
        <v>41.769238378379278</v>
      </c>
      <c r="EM129" s="20">
        <f t="shared" si="73"/>
        <v>358.58132330067821</v>
      </c>
      <c r="EN129" s="59">
        <f t="shared" si="74"/>
        <v>651.91465663401152</v>
      </c>
      <c r="EO129" s="59">
        <f ca="1">AVERAGE(OFFSET($EN$3,0,0,'Données projet'!$E$15+1,1))-AVERAGE(OFFSET($H$3,0,0,'Données projet'!$E$15+1,1))</f>
        <v>449.09332781196957</v>
      </c>
      <c r="EP129" s="59">
        <f t="shared" si="100"/>
        <v>324.85904971519432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144.7502019550875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144.7502019550875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2.3349358974358978</v>
      </c>
      <c r="FE129" s="12">
        <f>IF('Données projet'!$A$218&gt;35,FE128+FD129-FM128,IF(A129&lt;'Données projet'!$A$218,$FB$205^A129,IF(A129='Données projet'!$A$218,'Données projet'!$B$218,FE128+FD129-FM128)))</f>
        <v>152.4663461538467</v>
      </c>
      <c r="FF129" s="17">
        <f>FE129*VLOOKUP('Données projet'!$B$16,Paramètres!$A$1:$I$89,3,0)*VLOOKUP('Données projet'!$B$16,Paramètres!$A$1:$I$89,5,0)</f>
        <v>154.60087500000057</v>
      </c>
      <c r="FG129" s="13">
        <f t="shared" si="101"/>
        <v>39.622305459420097</v>
      </c>
      <c r="FH129" s="20">
        <f t="shared" si="76"/>
        <v>338.27203930015764</v>
      </c>
      <c r="FI129" s="59">
        <f t="shared" si="77"/>
        <v>631.60537263349102</v>
      </c>
      <c r="FJ129" s="59">
        <f ca="1">AVERAGE(OFFSET($FI$3,0,0,'Données projet'!$E$16+1,1))-AVERAGE(OFFSET($H$3,0,0,'Données projet'!$E$16+1,1))</f>
        <v>419.51168383014721</v>
      </c>
      <c r="FK129" s="59">
        <f t="shared" si="102"/>
        <v>213.44145308833384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136.35888589972015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136.35888589972015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266.99999999999983</v>
      </c>
      <c r="GA129" s="17">
        <f>FZ129*VLOOKUP('Données projet'!$B$17,Paramètres!$A$1:$I$89,3,0)*VLOOKUP('Données projet'!$B$17,Paramètres!$A$1:$I$89,5,0)</f>
        <v>233.2511999999999</v>
      </c>
      <c r="GB129" s="13">
        <f t="shared" si="103"/>
        <v>56.985091661350864</v>
      </c>
      <c r="GC129" s="20">
        <f t="shared" si="79"/>
        <v>505.49487464351915</v>
      </c>
      <c r="GD129" s="59">
        <f t="shared" si="80"/>
        <v>798.82820797685247</v>
      </c>
      <c r="GE129" s="59">
        <f ca="1">AVERAGE(OFFSET($GD$3,0,0,'Données projet'!$E$17+1,1))-AVERAGE(OFFSET($H$3,0,0,'Données projet'!$E$17+1,1))</f>
        <v>324.86930206492627</v>
      </c>
      <c r="GF129" s="59">
        <f t="shared" si="104"/>
        <v>317.03005098025352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12.712765499545229</v>
      </c>
      <c r="GM129" s="21">
        <f>EXP(-LN(2)/25)*GM128+(1-EXP(-LN(2)/25))/(LN(2)/25)*Calculateur!GH129*Calculateur!GJ129*VLOOKUP('Données projet'!$B$17,Paramètres!$A$1:$I$89,3,0)*0.475*44/12</f>
        <v>2.554532078846937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15.267297578392167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2.3349358974358978</v>
      </c>
      <c r="GU129" s="12">
        <f>IF('Données projet'!$A$270&gt;35,GU128+GT129-HC128,IF(A129&lt;'Données projet'!$A$270,$GR$205^A129,IF(A129='Données projet'!$A$270,'Données projet'!$B$270,GU128+GT129-HC128)))</f>
        <v>152.4663461538467</v>
      </c>
      <c r="GV129" s="17">
        <f>GU129*VLOOKUP('Données projet'!$B$18,Paramètres!$A$1:$I$89,3,0)*VLOOKUP('Données projet'!$B$18,Paramètres!$A$1:$I$89,5,0)</f>
        <v>145.08697500000051</v>
      </c>
      <c r="GW129" s="13">
        <f t="shared" si="105"/>
        <v>37.459928322193456</v>
      </c>
      <c r="GX129" s="20">
        <f t="shared" si="82"/>
        <v>317.93585661948782</v>
      </c>
      <c r="GY129" s="59">
        <f t="shared" si="83"/>
        <v>611.26918995282108</v>
      </c>
      <c r="GZ129" s="59">
        <f ca="1">AVERAGE(OFFSET($GY$3,0,0,'Données projet'!$E$18+1,1))-AVERAGE(OFFSET($H$3,0,0,'Données projet'!$E$18+1,1))</f>
        <v>401.81944956556271</v>
      </c>
      <c r="HA129" s="59">
        <f t="shared" si="106"/>
        <v>292.20785523952651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127.96756984435275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127.96756984435275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154.80128205128261</v>
      </c>
      <c r="O130" s="13">
        <f>N130*VLOOKUP('Données projet'!$B$9,Paramètres!$A$1:$I$89,3,0)*VLOOKUP('Données projet'!$B$9,Paramètres!$A$1:$I$89,5,0)</f>
        <v>140.06420000000051</v>
      </c>
      <c r="P130" s="13">
        <f t="shared" si="87"/>
        <v>36.311712421027522</v>
      </c>
      <c r="Q130" s="20">
        <f t="shared" si="107"/>
        <v>307.1880474666238</v>
      </c>
      <c r="R130" s="59">
        <f t="shared" si="55"/>
        <v>600.52138079995711</v>
      </c>
      <c r="S130" s="59">
        <f ca="1">AVERAGE(OFFSET($R$3,0,0,'Données projet'!$E$9+1,1))-AVERAGE(OFFSET($H$3,0,0,'Données projet'!$E$9+1,1))</f>
        <v>384.05928630855732</v>
      </c>
      <c r="T130" s="59">
        <f t="shared" si="88"/>
        <v>279.93992813630513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-6.3550942286383367E-14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335.04906256888819</v>
      </c>
      <c r="AO130" s="59">
        <f t="shared" si="90"/>
        <v>440.84111898279554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54.463755934302604</v>
      </c>
      <c r="AV130" s="21">
        <f>EXP(-LN(2)/25)*AV129+(1-EXP(-LN(2)/25))/(LN(2)/25)*Calculateur!AQ130*Calculateur!AS130*VLOOKUP('Données projet'!$B$10,Paramètres!$A$1:$I$89,3,0)*0.475*44/12</f>
        <v>7.8255343283948795</v>
      </c>
      <c r="AW130" s="21">
        <f>EXP(-LN(2)/2)*AW129+(1-EXP(-LN(2)/2))/(LN(2)/2)*AQ130*AT130*VLOOKUP('Données projet'!$B$10,Paramètres!$A$1:$I$89,3,0)*0.475*44/12</f>
        <v>4.9711239995831381E-10</v>
      </c>
      <c r="AX130" s="21">
        <f t="shared" si="60"/>
        <v>62.289290263194594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-1.4210854715202004E-13</v>
      </c>
      <c r="BE130" s="13">
        <f>BD130*VLOOKUP('Données projet'!$B$11,Paramètres!$A$1:$I$89,3,0)*VLOOKUP('Données projet'!$B$11,Paramètres!$A$1:$I$89,5,0)</f>
        <v>-8.128608897095547E-14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320.76883487964511</v>
      </c>
      <c r="BJ130" s="59">
        <f t="shared" si="92"/>
        <v>290.51177680335746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65.276782032397392</v>
      </c>
      <c r="BQ130" s="21">
        <f>EXP(-LN(2)/25)*BQ129+(1-EXP(-LN(2)/25))/(LN(2)/25)*Calculateur!BL130*Calculateur!BN130*VLOOKUP('Données projet'!$B$11,Paramètres!$A$1:$I$89,3,0)*0.475*44/12</f>
        <v>11.955478136420655</v>
      </c>
      <c r="BR130" s="21">
        <f>EXP(-LN(2)/2)*BR129+(1-EXP(-LN(2)/2))/(LN(2)/2)*BL130*BO130*VLOOKUP('Données projet'!$B$11,Paramètres!$A$1:$I$89,3,0)*0.475*44/12</f>
        <v>8.583751870943902E-5</v>
      </c>
      <c r="BS130" s="22">
        <f t="shared" si="63"/>
        <v>77.232346006336755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304.99999999999983</v>
      </c>
      <c r="BZ130" s="13">
        <f>BY130*VLOOKUP('Données projet'!$B$12,Paramètres!$A$1:$I$89,3,0)*VLOOKUP('Données projet'!$B$12,Paramètres!$A$1:$I$89,5,0)</f>
        <v>275.96399999999983</v>
      </c>
      <c r="CA130" s="13">
        <f t="shared" si="93"/>
        <v>66.113366665488854</v>
      </c>
      <c r="CB130" s="20">
        <f t="shared" si="64"/>
        <v>595.78474694239264</v>
      </c>
      <c r="CC130" s="59">
        <f t="shared" si="65"/>
        <v>889.11808027572602</v>
      </c>
      <c r="CD130" s="59">
        <f ca="1">AVERAGE(OFFSET($CC$3,0,0,'Données projet'!$E$12+1,1))-AVERAGE(OFFSET($H$3,0,0,'Données projet'!$E$12+1,1))</f>
        <v>366.69125512029831</v>
      </c>
      <c r="CE130" s="59">
        <f t="shared" si="94"/>
        <v>513.80016421153414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0.23671724791233992</v>
      </c>
      <c r="CL130" s="21">
        <f>EXP(-LN(2)/25)*CL129+(1-EXP(-LN(2)/25))/(LN(2)/25)*Calculateur!CG130*Calculateur!CI130*VLOOKUP('Données projet'!$B$12,Paramètres!$A$1:$I$89,3,0)*0.475*44/12</f>
        <v>0.50146051387893842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0.73817776179127836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154.80128205128204</v>
      </c>
      <c r="CR130" s="12">
        <f>VLOOKUP(A130,'Données projet'!$A$139:$I$159,9,0)</f>
        <v>2.3349358974358978</v>
      </c>
      <c r="CS130" s="12">
        <f t="array" ref="CS130">INDEX(CR:CR,MIN(IF(ISNUMBER(CR130:CR326),ROW(CR130:CR326),"")))</f>
        <v>2.3349358974358978</v>
      </c>
      <c r="CT130" s="12">
        <f>IF('Données projet'!$A$140&gt;35,CT129+CS130-DB129,IF(A130&lt;'Données projet'!$A$140,$CQ$205^A130,IF(A130='Données projet'!$A$140,'Données projet'!$B$140,CT129+CS130-DB129)))</f>
        <v>154.80128205128261</v>
      </c>
      <c r="CU130" s="17">
        <f>CT130*VLOOKUP('Données projet'!$B$13,Paramètres!$A$1:$I$89,3,0)*VLOOKUP('Données projet'!$B$13,Paramètres!$A$1:$I$89,5,0)</f>
        <v>103.84070000000038</v>
      </c>
      <c r="CV130" s="13">
        <f t="shared" si="95"/>
        <v>27.874974739208824</v>
      </c>
      <c r="CW130" s="20">
        <f t="shared" si="67"/>
        <v>229.40480017078934</v>
      </c>
      <c r="CX130" s="59">
        <f t="shared" si="68"/>
        <v>522.73813350412263</v>
      </c>
      <c r="CY130" s="59">
        <f ca="1">AVERAGE(OFFSET($CX$3,0,0,'Données projet'!$E$13+1,1))-AVERAGE(OFFSET($H$3,0,0,'Données projet'!$E$13+1,1))</f>
        <v>294.94331863127815</v>
      </c>
      <c r="CZ130" s="59">
        <f t="shared" si="96"/>
        <v>218.36990036643977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49.916666666666671</v>
      </c>
      <c r="DC130" s="16">
        <f>IF(ISNA(VLOOKUP(A130,'Données projet'!$A$139:$I$159,5,0)),0%,VLOOKUP(A130,'Données projet'!$A$139:$I$159,5,0)*VLOOKUP('Données projet'!$B$13,Paramètres!$A$1:$I$89,7,0))</f>
        <v>0.47700000000000004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126.6611486315247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126.6611486315247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266.99999999999983</v>
      </c>
      <c r="DP130" s="17">
        <f>DO130*VLOOKUP('Données projet'!$B$14,Paramètres!$A$1:$I$89,3,0)*VLOOKUP('Données projet'!$B$14,Paramètres!$A$1:$I$89,5,0)</f>
        <v>195.76439999999985</v>
      </c>
      <c r="DQ130" s="13">
        <f t="shared" si="97"/>
        <v>48.812154563023455</v>
      </c>
      <c r="DR130" s="20">
        <f t="shared" si="70"/>
        <v>425.9708325305989</v>
      </c>
      <c r="DS130" s="59">
        <f t="shared" si="71"/>
        <v>719.30416586393221</v>
      </c>
      <c r="DT130" s="59">
        <f ca="1">AVERAGE(OFFSET($DS$3,0,0,'Données projet'!$E$14+1,1))-AVERAGE(OFFSET($H$3,0,0,'Données projet'!$E$14+1,1))</f>
        <v>278.45534008146865</v>
      </c>
      <c r="DU130" s="59">
        <f t="shared" si="98"/>
        <v>272.97841038165217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8.4867536518212479</v>
      </c>
      <c r="EB130" s="21">
        <f>EXP(-LN(2)/25)*EB129+(1-EXP(-LN(2)/25))/(LN(2)/25)*Calculateur!DW130*Calculateur!DY130*VLOOKUP('Données projet'!$B$14,Paramètres!$A$1:$I$89,3,0)*0.475*44/12</f>
        <v>1.6918917699423237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10.178645421763571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>
        <f>VLOOKUP(A130,'Données projet'!$A$191:$I$211,2,0)</f>
        <v>154.80128205128204</v>
      </c>
      <c r="EH130" s="12">
        <f>VLOOKUP(A130,'Données projet'!$A$191:$I$211,9,0)</f>
        <v>2.3349358974358978</v>
      </c>
      <c r="EI130" s="12">
        <f t="array" ref="EI130">INDEX(EH:EH,MIN(IF(ISNUMBER(EH130:EH326),ROW(EH130:EH326),"")))</f>
        <v>2.3349358974358978</v>
      </c>
      <c r="EJ130" s="12">
        <f>IF('Données projet'!$A$192&gt;35,EJ129+EI130-ER129,IF(A130&lt;'Données projet'!$A$192,$EG$205^A130,IF(A130='Données projet'!$A$192,'Données projet'!$B$192,EJ129+EI130-ER129)))</f>
        <v>154.80128205128261</v>
      </c>
      <c r="EK130" s="17">
        <f>EJ130*VLOOKUP('Données projet'!$B$15,Paramètres!$A$1:$I$89,3,0)*VLOOKUP('Données projet'!$B$15,Paramètres!$A$1:$I$89,5,0)</f>
        <v>166.62810000000059</v>
      </c>
      <c r="EL130" s="13">
        <f t="shared" si="99"/>
        <v>42.333951870522938</v>
      </c>
      <c r="EM130" s="20">
        <f t="shared" si="73"/>
        <v>363.94224034116178</v>
      </c>
      <c r="EN130" s="59">
        <f t="shared" si="74"/>
        <v>657.27557367449504</v>
      </c>
      <c r="EO130" s="59">
        <f ca="1">AVERAGE(OFFSET($EN$3,0,0,'Données projet'!$E$15+1,1))-AVERAGE(OFFSET($H$3,0,0,'Données projet'!$E$15+1,1))</f>
        <v>449.09332781196957</v>
      </c>
      <c r="EP130" s="59">
        <f t="shared" si="100"/>
        <v>324.85904971519432</v>
      </c>
      <c r="EQ130" s="15">
        <f>IF(ISNA(VLOOKUP(A130,'Données projet'!$A$191:$I$211,3,0)),0,VLOOKUP(A130,'Données projet'!$A$191:$I$211,3,0))</f>
        <v>13</v>
      </c>
      <c r="ER130" s="15">
        <f>IF(ISNA(VLOOKUP(A130,'Données projet'!$A$191:$I$211,4,0)),0,VLOOKUP(A130,'Données projet'!$A$191:$I$211,4,0))</f>
        <v>49.916666666666671</v>
      </c>
      <c r="ES130" s="16">
        <f>IF(ISNA(VLOOKUP(A130,'Données projet'!$A$191:$I$211,5,0)),0%,VLOOKUP(A130,'Données projet'!$A$191:$I$211,5,0)*VLOOKUP('Données projet'!$B$15,Paramètres!$A$1:$I$89,7,0))</f>
        <v>0.38700000000000001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164.89847652028689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164.89847652028689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>
        <f>VLOOKUP(A130,'Données projet'!$A$217:$I$237,2,0)</f>
        <v>154.80128205128204</v>
      </c>
      <c r="FC130" s="12">
        <f>VLOOKUP(A130,'Données projet'!$A$217:$I$237,9,0)</f>
        <v>2.3349358974358978</v>
      </c>
      <c r="FD130" s="12">
        <f t="array" ref="FD130">INDEX(FC:FC,MIN(IF(ISNUMBER(FC130:FC326),ROW(FC130:FC326),"")))</f>
        <v>2.3349358974358978</v>
      </c>
      <c r="FE130" s="12">
        <f>IF('Données projet'!$A$218&gt;35,FE129+FD130-FM129,IF(A130&lt;'Données projet'!$A$218,$FB$205^A130,IF(A130='Données projet'!$A$218,'Données projet'!$B$218,FE129+FD130-FM129)))</f>
        <v>154.80128205128261</v>
      </c>
      <c r="FF130" s="17">
        <f>FE130*VLOOKUP('Données projet'!$B$16,Paramètres!$A$1:$I$89,3,0)*VLOOKUP('Données projet'!$B$16,Paramètres!$A$1:$I$89,5,0)</f>
        <v>156.96850000000057</v>
      </c>
      <c r="FG130" s="13">
        <f t="shared" si="101"/>
        <v>40.157992758290085</v>
      </c>
      <c r="FH130" s="20">
        <f t="shared" si="76"/>
        <v>343.32864155402285</v>
      </c>
      <c r="FI130" s="59">
        <f t="shared" si="77"/>
        <v>636.66197488735611</v>
      </c>
      <c r="FJ130" s="59">
        <f ca="1">AVERAGE(OFFSET($FI$3,0,0,'Données projet'!$E$16+1,1))-AVERAGE(OFFSET($H$3,0,0,'Données projet'!$E$16+1,1))</f>
        <v>419.51168383014721</v>
      </c>
      <c r="FK130" s="59">
        <f t="shared" si="102"/>
        <v>213.44145308833384</v>
      </c>
      <c r="FL130" s="15">
        <f>IF(ISNA(VLOOKUP(A130,'Données projet'!$A$217:$I$237,3,0)),0,VLOOKUP(A130,'Données projet'!$A$217:$I$237,3,0))</f>
        <v>13</v>
      </c>
      <c r="FM130" s="15">
        <f>IF(ISNA(VLOOKUP(A130,'Données projet'!$A$217:$I$237,4,0)),0,VLOOKUP(A130,'Données projet'!$A$217:$I$237,4,0))</f>
        <v>49.916666666666671</v>
      </c>
      <c r="FN130" s="16">
        <f>IF(ISNA(VLOOKUP(A130,'Données projet'!$A$217:$I$237,5,0)),0%,VLOOKUP(A130,'Données projet'!$A$217:$I$237,5,0)*VLOOKUP('Données projet'!$B$16,Paramètres!$A$1:$I$89,7,0))</f>
        <v>0.38700000000000001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155.33914454809639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155.33914454809639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266.99999999999983</v>
      </c>
      <c r="GA130" s="17">
        <f>FZ130*VLOOKUP('Données projet'!$B$17,Paramètres!$A$1:$I$89,3,0)*VLOOKUP('Données projet'!$B$17,Paramètres!$A$1:$I$89,5,0)</f>
        <v>233.2511999999999</v>
      </c>
      <c r="GB130" s="13">
        <f t="shared" si="103"/>
        <v>56.985091661350864</v>
      </c>
      <c r="GC130" s="20">
        <f t="shared" si="79"/>
        <v>505.49487464351915</v>
      </c>
      <c r="GD130" s="59">
        <f t="shared" si="80"/>
        <v>798.82820797685247</v>
      </c>
      <c r="GE130" s="59">
        <f ca="1">AVERAGE(OFFSET($GD$3,0,0,'Données projet'!$E$17+1,1))-AVERAGE(OFFSET($H$3,0,0,'Données projet'!$E$17+1,1))</f>
        <v>324.86930206492627</v>
      </c>
      <c r="GF130" s="59">
        <f t="shared" si="104"/>
        <v>317.03005098025352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12.463475922120455</v>
      </c>
      <c r="GM130" s="21">
        <f>EXP(-LN(2)/25)*GM129+(1-EXP(-LN(2)/25))/(LN(2)/25)*Calculateur!GH130*Calculateur!GJ130*VLOOKUP('Données projet'!$B$17,Paramètres!$A$1:$I$89,3,0)*0.475*44/12</f>
        <v>2.4846782648138639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14.948154186934319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>
        <f>VLOOKUP(A130,'Données projet'!$A$269:$I$289,2,0)</f>
        <v>154.80128205128204</v>
      </c>
      <c r="GS130" s="12">
        <f>VLOOKUP(A130,'Données projet'!$A$269:$I$289,9,0)</f>
        <v>2.3349358974358978</v>
      </c>
      <c r="GT130" s="12">
        <f t="array" ref="GT130">INDEX(GS:GS,MIN(IF(ISNUMBER(GS130:GS326),ROW(GS130:GS326),"")))</f>
        <v>2.3349358974358978</v>
      </c>
      <c r="GU130" s="12">
        <f>IF('Données projet'!$A$270&gt;35,GU129+GT130-HC129,IF(A130&lt;'Données projet'!$A$270,$GR$205^A130,IF(A130='Données projet'!$A$270,'Données projet'!$B$270,GU129+GT130-HC129)))</f>
        <v>154.80128205128261</v>
      </c>
      <c r="GV130" s="17">
        <f>GU130*VLOOKUP('Données projet'!$B$18,Paramètres!$A$1:$I$89,3,0)*VLOOKUP('Données projet'!$B$18,Paramètres!$A$1:$I$89,5,0)</f>
        <v>147.30890000000053</v>
      </c>
      <c r="GW130" s="13">
        <f t="shared" si="105"/>
        <v>37.966380624403151</v>
      </c>
      <c r="GX130" s="20">
        <f t="shared" si="82"/>
        <v>322.68778042083636</v>
      </c>
      <c r="GY130" s="59">
        <f t="shared" si="83"/>
        <v>616.02111375416962</v>
      </c>
      <c r="GZ130" s="59">
        <f ca="1">AVERAGE(OFFSET($GY$3,0,0,'Données projet'!$E$18+1,1))-AVERAGE(OFFSET($H$3,0,0,'Données projet'!$E$18+1,1))</f>
        <v>401.81944956556271</v>
      </c>
      <c r="HA130" s="59">
        <f t="shared" si="106"/>
        <v>292.20785523952651</v>
      </c>
      <c r="HB130" s="15">
        <f>IF(ISNA(VLOOKUP(A130,'Données projet'!$A$269:$I$289,3,0)),0,VLOOKUP(A130,'Données projet'!$A$269:$I$289,3,0))</f>
        <v>13</v>
      </c>
      <c r="HC130" s="15">
        <f>IF(ISNA(VLOOKUP(A130,'Données projet'!$A$269:$I$289,4,0)),0,VLOOKUP(A130,'Données projet'!$A$269:$I$289,4,0))</f>
        <v>49.916666666666671</v>
      </c>
      <c r="HD130" s="16">
        <f>IF(ISNA(VLOOKUP(A130,'Données projet'!$A$269:$I$289,5,0)),0%,VLOOKUP(A130,'Données projet'!$A$269:$I$289,5,0)*VLOOKUP('Données projet'!$B$18,Paramètres!$A$1:$I$89,7,0))</f>
        <v>0.38700000000000001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145.77981257590585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145.77981257590585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106.39102564102619</v>
      </c>
      <c r="O131" s="13">
        <f>N131*VLOOKUP('Données projet'!$B$9,Paramètres!$A$1:$I$89,3,0)*VLOOKUP('Données projet'!$B$9,Paramètres!$A$1:$I$89,5,0)</f>
        <v>96.262600000000489</v>
      </c>
      <c r="P131" s="13">
        <f t="shared" si="87"/>
        <v>26.069649320395936</v>
      </c>
      <c r="Q131" s="20">
        <f t="shared" ref="Q131:Q153" si="108">(O131+P131)*0.475*44/12</f>
        <v>213.06200089969045</v>
      </c>
      <c r="R131" s="59">
        <f t="shared" ref="R131:R194" si="109">Q131+(I131+J131)*44/12</f>
        <v>506.39533423302373</v>
      </c>
      <c r="S131" s="59">
        <f ca="1">AVERAGE(OFFSET($R$3,0,0,'Données projet'!$E$9+1,1))-AVERAGE(OFFSET($H$3,0,0,'Données projet'!$E$9+1,1))</f>
        <v>384.05928630855732</v>
      </c>
      <c r="T131" s="59">
        <f t="shared" si="88"/>
        <v>279.93992813630513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-6.3550942286383367E-14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335.04906256888819</v>
      </c>
      <c r="AO131" s="59">
        <f t="shared" si="90"/>
        <v>440.84111898279554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53.395754900041887</v>
      </c>
      <c r="AV131" s="21">
        <f>EXP(-LN(2)/25)*AV130+(1-EXP(-LN(2)/25))/(LN(2)/25)*Calculateur!AQ131*Calculateur!AS131*VLOOKUP('Données projet'!$B$10,Paramètres!$A$1:$I$89,3,0)*0.475*44/12</f>
        <v>7.611544680657957</v>
      </c>
      <c r="AW131" s="21">
        <f>EXP(-LN(2)/2)*AW130+(1-EXP(-LN(2)/2))/(LN(2)/2)*AQ131*AT131*VLOOKUP('Données projet'!$B$10,Paramètres!$A$1:$I$89,3,0)*0.475*44/12</f>
        <v>3.515115490224429E-10</v>
      </c>
      <c r="AX131" s="21">
        <f t="shared" si="60"/>
        <v>61.007299581051356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-1.4210854715202004E-13</v>
      </c>
      <c r="BE131" s="13">
        <f>BD131*VLOOKUP('Données projet'!$B$11,Paramètres!$A$1:$I$89,3,0)*VLOOKUP('Données projet'!$B$11,Paramètres!$A$1:$I$89,5,0)</f>
        <v>-8.128608897095547E-14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320.76883487964511</v>
      </c>
      <c r="BJ131" s="59">
        <f t="shared" si="92"/>
        <v>290.51177680335746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63.996744151647725</v>
      </c>
      <c r="BQ131" s="21">
        <f>EXP(-LN(2)/25)*BQ130+(1-EXP(-LN(2)/25))/(LN(2)/25)*Calculateur!BL131*Calculateur!BN131*VLOOKUP('Données projet'!$B$11,Paramètres!$A$1:$I$89,3,0)*0.475*44/12</f>
        <v>11.628554958068962</v>
      </c>
      <c r="BR131" s="21">
        <f>EXP(-LN(2)/2)*BR130+(1-EXP(-LN(2)/2))/(LN(2)/2)*BL131*BO131*VLOOKUP('Données projet'!$B$11,Paramètres!$A$1:$I$89,3,0)*0.475*44/12</f>
        <v>6.0696291559671483E-5</v>
      </c>
      <c r="BS131" s="22">
        <f t="shared" si="63"/>
        <v>75.625359806008248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304.99999999999983</v>
      </c>
      <c r="BZ131" s="13">
        <f>BY131*VLOOKUP('Données projet'!$B$12,Paramètres!$A$1:$I$89,3,0)*VLOOKUP('Données projet'!$B$12,Paramètres!$A$1:$I$89,5,0)</f>
        <v>275.96399999999983</v>
      </c>
      <c r="CA131" s="13">
        <f t="shared" si="93"/>
        <v>66.113366665488854</v>
      </c>
      <c r="CB131" s="20">
        <f t="shared" si="64"/>
        <v>595.78474694239264</v>
      </c>
      <c r="CC131" s="59">
        <f t="shared" si="65"/>
        <v>889.11808027572602</v>
      </c>
      <c r="CD131" s="59">
        <f ca="1">AVERAGE(OFFSET($CC$3,0,0,'Données projet'!$E$12+1,1))-AVERAGE(OFFSET($H$3,0,0,'Données projet'!$E$12+1,1))</f>
        <v>366.69125512029831</v>
      </c>
      <c r="CE131" s="59">
        <f t="shared" si="94"/>
        <v>513.80016421153414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0.2320753670640435</v>
      </c>
      <c r="CL131" s="21">
        <f>EXP(-LN(2)/25)*CL130+(1-EXP(-LN(2)/25))/(LN(2)/25)*Calculateur!CG131*Calculateur!CI131*VLOOKUP('Données projet'!$B$12,Paramètres!$A$1:$I$89,3,0)*0.475*44/12</f>
        <v>0.48774804975625652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0.71982341682030004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1.5064102564102591</v>
      </c>
      <c r="CT131" s="12">
        <f>IF('Données projet'!$A$140&gt;35,CT130+CS131-DB130,IF(A131&lt;'Données projet'!$A$140,$CQ$205^A131,IF(A131='Données projet'!$A$140,'Données projet'!$B$140,CT130+CS131-DB130)))</f>
        <v>106.39102564102619</v>
      </c>
      <c r="CU131" s="17">
        <f>CT131*VLOOKUP('Données projet'!$B$13,Paramètres!$A$1:$I$89,3,0)*VLOOKUP('Données projet'!$B$13,Paramètres!$A$1:$I$89,5,0)</f>
        <v>71.367100000000363</v>
      </c>
      <c r="CV131" s="13">
        <f t="shared" si="95"/>
        <v>20.012573569657771</v>
      </c>
      <c r="CW131" s="20">
        <f t="shared" si="67"/>
        <v>159.15293146715459</v>
      </c>
      <c r="CX131" s="59">
        <f t="shared" si="68"/>
        <v>452.4862648004879</v>
      </c>
      <c r="CY131" s="59">
        <f ca="1">AVERAGE(OFFSET($CX$3,0,0,'Données projet'!$E$13+1,1))-AVERAGE(OFFSET($H$3,0,0,'Données projet'!$E$13+1,1))</f>
        <v>294.94331863127815</v>
      </c>
      <c r="CZ131" s="59">
        <f t="shared" si="96"/>
        <v>218.36990036643977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124.1774007625328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124.1774007625328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266.99999999999983</v>
      </c>
      <c r="DP131" s="17">
        <f>DO131*VLOOKUP('Données projet'!$B$14,Paramètres!$A$1:$I$89,3,0)*VLOOKUP('Données projet'!$B$14,Paramètres!$A$1:$I$89,5,0)</f>
        <v>195.76439999999985</v>
      </c>
      <c r="DQ131" s="13">
        <f t="shared" si="97"/>
        <v>48.812154563023455</v>
      </c>
      <c r="DR131" s="20">
        <f t="shared" si="70"/>
        <v>425.9708325305989</v>
      </c>
      <c r="DS131" s="59">
        <f t="shared" si="71"/>
        <v>719.30416586393221</v>
      </c>
      <c r="DT131" s="59">
        <f ca="1">AVERAGE(OFFSET($DS$3,0,0,'Données projet'!$E$14+1,1))-AVERAGE(OFFSET($H$3,0,0,'Données projet'!$E$14+1,1))</f>
        <v>278.45534008146865</v>
      </c>
      <c r="DU131" s="59">
        <f t="shared" si="98"/>
        <v>272.97841038165217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8.3203335891176327</v>
      </c>
      <c r="EB131" s="21">
        <f>EXP(-LN(2)/25)*EB130+(1-EXP(-LN(2)/25))/(LN(2)/25)*Calculateur!DW131*Calculateur!DY131*VLOOKUP('Données projet'!$B$14,Paramètres!$A$1:$I$89,3,0)*0.475*44/12</f>
        <v>1.6456269005205295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9.9659604896381619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1.5064102564102591</v>
      </c>
      <c r="EJ131" s="12">
        <f>IF('Données projet'!$A$192&gt;35,EJ130+EI131-ER130,IF(A131&lt;'Données projet'!$A$192,$EG$205^A131,IF(A131='Données projet'!$A$192,'Données projet'!$B$192,EJ130+EI131-ER130)))</f>
        <v>106.39102564102619</v>
      </c>
      <c r="EK131" s="17">
        <f>EJ131*VLOOKUP('Données projet'!$B$15,Paramètres!$A$1:$I$89,3,0)*VLOOKUP('Données projet'!$B$15,Paramètres!$A$1:$I$89,5,0)</f>
        <v>114.51930000000058</v>
      </c>
      <c r="EL131" s="13">
        <f t="shared" si="99"/>
        <v>30.39325897976537</v>
      </c>
      <c r="EM131" s="20">
        <f t="shared" si="73"/>
        <v>252.38937355642568</v>
      </c>
      <c r="EN131" s="59">
        <f t="shared" si="74"/>
        <v>545.72270688975902</v>
      </c>
      <c r="EO131" s="59">
        <f ca="1">AVERAGE(OFFSET($EN$3,0,0,'Données projet'!$E$15+1,1))-AVERAGE(OFFSET($H$3,0,0,'Données projet'!$E$15+1,1))</f>
        <v>449.09332781196957</v>
      </c>
      <c r="EP131" s="59">
        <f t="shared" si="100"/>
        <v>324.85904971519432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161.66491797386348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161.66491797386348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1.5064102564102591</v>
      </c>
      <c r="FE131" s="12">
        <f>IF('Données projet'!$A$218&gt;35,FE130+FD131-FM130,IF(A131&lt;'Données projet'!$A$218,$FB$205^A131,IF(A131='Données projet'!$A$218,'Données projet'!$B$218,FE130+FD131-FM130)))</f>
        <v>106.39102564102619</v>
      </c>
      <c r="FF131" s="17">
        <f>FE131*VLOOKUP('Données projet'!$B$16,Paramètres!$A$1:$I$89,3,0)*VLOOKUP('Données projet'!$B$16,Paramètres!$A$1:$I$89,5,0)</f>
        <v>107.88050000000057</v>
      </c>
      <c r="FG131" s="13">
        <f t="shared" si="101"/>
        <v>28.83104978583652</v>
      </c>
      <c r="FH131" s="20">
        <f t="shared" si="76"/>
        <v>238.10594921033294</v>
      </c>
      <c r="FI131" s="59">
        <f t="shared" si="77"/>
        <v>531.4392825436662</v>
      </c>
      <c r="FJ131" s="59">
        <f ca="1">AVERAGE(OFFSET($FI$3,0,0,'Données projet'!$E$16+1,1))-AVERAGE(OFFSET($H$3,0,0,'Données projet'!$E$16+1,1))</f>
        <v>419.51168383014721</v>
      </c>
      <c r="FK131" s="59">
        <f t="shared" si="102"/>
        <v>213.44145308833384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152.29303867103084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152.29303867103084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266.99999999999983</v>
      </c>
      <c r="GA131" s="17">
        <f>FZ131*VLOOKUP('Données projet'!$B$17,Paramètres!$A$1:$I$89,3,0)*VLOOKUP('Données projet'!$B$17,Paramètres!$A$1:$I$89,5,0)</f>
        <v>233.2511999999999</v>
      </c>
      <c r="GB131" s="13">
        <f t="shared" si="103"/>
        <v>56.985091661350864</v>
      </c>
      <c r="GC131" s="20">
        <f t="shared" si="79"/>
        <v>505.49487464351915</v>
      </c>
      <c r="GD131" s="59">
        <f t="shared" si="80"/>
        <v>798.82820797685247</v>
      </c>
      <c r="GE131" s="59">
        <f ca="1">AVERAGE(OFFSET($GD$3,0,0,'Données projet'!$E$17+1,1))-AVERAGE(OFFSET($H$3,0,0,'Données projet'!$E$17+1,1))</f>
        <v>324.86930206492627</v>
      </c>
      <c r="GF131" s="59">
        <f t="shared" si="104"/>
        <v>317.03005098025352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12.219074761257353</v>
      </c>
      <c r="GM131" s="21">
        <f>EXP(-LN(2)/25)*GM130+(1-EXP(-LN(2)/25))/(LN(2)/25)*Calculateur!GH131*Calculateur!GJ131*VLOOKUP('Données projet'!$B$17,Paramètres!$A$1:$I$89,3,0)*0.475*44/12</f>
        <v>2.4167346069989777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14.63580936825633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1.5064102564102591</v>
      </c>
      <c r="GU131" s="12">
        <f>IF('Données projet'!$A$270&gt;35,GU130+GT131-HC130,IF(A131&lt;'Données projet'!$A$270,$GR$205^A131,IF(A131='Données projet'!$A$270,'Données projet'!$B$270,GU130+GT131-HC130)))</f>
        <v>106.39102564102619</v>
      </c>
      <c r="GV131" s="17">
        <f>GU131*VLOOKUP('Données projet'!$B$18,Paramètres!$A$1:$I$89,3,0)*VLOOKUP('Données projet'!$B$18,Paramètres!$A$1:$I$89,5,0)</f>
        <v>101.24170000000052</v>
      </c>
      <c r="GW131" s="13">
        <f t="shared" si="105"/>
        <v>27.257602653564337</v>
      </c>
      <c r="GX131" s="20">
        <f t="shared" si="82"/>
        <v>223.80295212162545</v>
      </c>
      <c r="GY131" s="59">
        <f t="shared" si="83"/>
        <v>517.13628545495874</v>
      </c>
      <c r="GZ131" s="59">
        <f ca="1">AVERAGE(OFFSET($GY$3,0,0,'Données projet'!$E$18+1,1))-AVERAGE(OFFSET($H$3,0,0,'Données projet'!$E$18+1,1))</f>
        <v>401.81944956556271</v>
      </c>
      <c r="HA131" s="59">
        <f t="shared" si="106"/>
        <v>292.20785523952651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142.9211593681982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142.9211593681982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107.89743589743645</v>
      </c>
      <c r="O132" s="13">
        <f>N132*VLOOKUP('Données projet'!$B$9,Paramètres!$A$1:$I$89,3,0)*VLOOKUP('Données projet'!$B$9,Paramètres!$A$1:$I$89,5,0)</f>
        <v>97.625600000000489</v>
      </c>
      <c r="P132" s="13">
        <f t="shared" si="87"/>
        <v>26.395540798282454</v>
      </c>
      <c r="Q132" s="20">
        <f t="shared" si="108"/>
        <v>216.00348689034277</v>
      </c>
      <c r="R132" s="59">
        <f t="shared" si="109"/>
        <v>509.33682022367611</v>
      </c>
      <c r="S132" s="59">
        <f ca="1">AVERAGE(OFFSET($R$3,0,0,'Données projet'!$E$9+1,1))-AVERAGE(OFFSET($H$3,0,0,'Données projet'!$E$9+1,1))</f>
        <v>384.05928630855732</v>
      </c>
      <c r="T132" s="59">
        <f t="shared" si="88"/>
        <v>279.93992813630513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-6.3550942286383367E-14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335.04906256888819</v>
      </c>
      <c r="AO132" s="59">
        <f t="shared" si="90"/>
        <v>440.84111898279554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52.348696714646714</v>
      </c>
      <c r="AV132" s="21">
        <f>EXP(-LN(2)/25)*AV131+(1-EXP(-LN(2)/25))/(LN(2)/25)*Calculateur!AQ132*Calculateur!AS132*VLOOKUP('Données projet'!$B$10,Paramètres!$A$1:$I$89,3,0)*0.475*44/12</f>
        <v>7.4034065910916267</v>
      </c>
      <c r="AW132" s="21">
        <f>EXP(-LN(2)/2)*AW131+(1-EXP(-LN(2)/2))/(LN(2)/2)*AQ132*AT132*VLOOKUP('Données projet'!$B$10,Paramètres!$A$1:$I$89,3,0)*0.475*44/12</f>
        <v>2.4855619997915691E-10</v>
      </c>
      <c r="AX132" s="21">
        <f t="shared" ref="AX132:AX153" si="114">SUM(AU132:AW132)</f>
        <v>59.752103305986893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-1.4210854715202004E-13</v>
      </c>
      <c r="BE132" s="13">
        <f>BD132*VLOOKUP('Données projet'!$B$11,Paramètres!$A$1:$I$89,3,0)*VLOOKUP('Données projet'!$B$11,Paramètres!$A$1:$I$89,5,0)</f>
        <v>-8.128608897095547E-14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320.76883487964511</v>
      </c>
      <c r="BJ132" s="59">
        <f t="shared" si="92"/>
        <v>290.51177680335746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62.741807032993542</v>
      </c>
      <c r="BQ132" s="21">
        <f>EXP(-LN(2)/25)*BQ131+(1-EXP(-LN(2)/25))/(LN(2)/25)*Calculateur!BL132*Calculateur!BN132*VLOOKUP('Données projet'!$B$11,Paramètres!$A$1:$I$89,3,0)*0.475*44/12</f>
        <v>11.310571511221438</v>
      </c>
      <c r="BR132" s="21">
        <f>EXP(-LN(2)/2)*BR131+(1-EXP(-LN(2)/2))/(LN(2)/2)*BL132*BO132*VLOOKUP('Données projet'!$B$11,Paramètres!$A$1:$I$89,3,0)*0.475*44/12</f>
        <v>4.2918759354719517E-5</v>
      </c>
      <c r="BS132" s="22">
        <f t="shared" ref="BS132:BS153" si="117">SUM(BP132:BR132)</f>
        <v>74.052421462974323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304.99999999999983</v>
      </c>
      <c r="BZ132" s="13">
        <f>BY132*VLOOKUP('Données projet'!$B$12,Paramètres!$A$1:$I$89,3,0)*VLOOKUP('Données projet'!$B$12,Paramètres!$A$1:$I$89,5,0)</f>
        <v>275.96399999999983</v>
      </c>
      <c r="CA132" s="13">
        <f t="shared" si="93"/>
        <v>66.113366665488854</v>
      </c>
      <c r="CB132" s="20">
        <f t="shared" ref="CB132:CB153" si="118">(BZ132+CA132)*0.475*44/12</f>
        <v>595.78474694239264</v>
      </c>
      <c r="CC132" s="59">
        <f t="shared" ref="CC132:CC195" si="119">CB132+(BT132+BU132)*44/12</f>
        <v>889.11808027572602</v>
      </c>
      <c r="CD132" s="59">
        <f ca="1">AVERAGE(OFFSET($CC$3,0,0,'Données projet'!$E$12+1,1))-AVERAGE(OFFSET($H$3,0,0,'Données projet'!$E$12+1,1))</f>
        <v>366.69125512029831</v>
      </c>
      <c r="CE132" s="59">
        <f t="shared" si="94"/>
        <v>513.80016421153414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0.2275245106679144</v>
      </c>
      <c r="CL132" s="21">
        <f>EXP(-LN(2)/25)*CL131+(1-EXP(-LN(2)/25))/(LN(2)/25)*Calculateur!CG132*Calculateur!CI132*VLOOKUP('Données projet'!$B$12,Paramètres!$A$1:$I$89,3,0)*0.475*44/12</f>
        <v>0.47441055368611651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0.70193506435403097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1.5064102564102591</v>
      </c>
      <c r="CT132" s="12">
        <f>IF('Données projet'!$A$140&gt;35,CT131+CS132-DB131,IF(A132&lt;'Données projet'!$A$140,$CQ$205^A132,IF(A132='Données projet'!$A$140,'Données projet'!$B$140,CT131+CS132-DB131)))</f>
        <v>107.89743589743645</v>
      </c>
      <c r="CU132" s="17">
        <f>CT132*VLOOKUP('Données projet'!$B$13,Paramètres!$A$1:$I$89,3,0)*VLOOKUP('Données projet'!$B$13,Paramètres!$A$1:$I$89,5,0)</f>
        <v>72.377600000000371</v>
      </c>
      <c r="CV132" s="13">
        <f t="shared" si="95"/>
        <v>20.262746753683896</v>
      </c>
      <c r="CW132" s="20">
        <f t="shared" ref="CW132:CW153" si="121">(CU132+CV132)*0.475*44/12</f>
        <v>161.34860392933342</v>
      </c>
      <c r="CX132" s="59">
        <f t="shared" ref="CX132:CX195" si="122">CW132+(CO132+CP132)*44/12</f>
        <v>454.68193726266674</v>
      </c>
      <c r="CY132" s="59">
        <f ca="1">AVERAGE(OFFSET($CX$3,0,0,'Données projet'!$E$13+1,1))-AVERAGE(OFFSET($H$3,0,0,'Données projet'!$E$13+1,1))</f>
        <v>294.94331863127815</v>
      </c>
      <c r="CZ132" s="59">
        <f t="shared" si="96"/>
        <v>218.36990036643977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121.74235767431522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121.74235767431522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266.99999999999983</v>
      </c>
      <c r="DP132" s="17">
        <f>DO132*VLOOKUP('Données projet'!$B$14,Paramètres!$A$1:$I$89,3,0)*VLOOKUP('Données projet'!$B$14,Paramètres!$A$1:$I$89,5,0)</f>
        <v>195.76439999999985</v>
      </c>
      <c r="DQ132" s="13">
        <f t="shared" si="97"/>
        <v>48.812154563023455</v>
      </c>
      <c r="DR132" s="20">
        <f t="shared" ref="DR132:DR153" si="124">(DP132+DQ132)*0.475*44/12</f>
        <v>425.9708325305989</v>
      </c>
      <c r="DS132" s="59">
        <f t="shared" ref="DS132:DS195" si="125">DR132+(DJ132+DK132)*44/12</f>
        <v>719.30416586393221</v>
      </c>
      <c r="DT132" s="59">
        <f ca="1">AVERAGE(OFFSET($DS$3,0,0,'Données projet'!$E$14+1,1))-AVERAGE(OFFSET($H$3,0,0,'Données projet'!$E$14+1,1))</f>
        <v>278.45534008146865</v>
      </c>
      <c r="DU132" s="59">
        <f t="shared" si="98"/>
        <v>272.97841038165217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8.1571769223374204</v>
      </c>
      <c r="EB132" s="21">
        <f>EXP(-LN(2)/25)*EB131+(1-EXP(-LN(2)/25))/(LN(2)/25)*Calculateur!DW132*Calculateur!DY132*VLOOKUP('Données projet'!$B$14,Paramètres!$A$1:$I$89,3,0)*0.475*44/12</f>
        <v>1.600627146386038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9.7578040687234591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1.5064102564102591</v>
      </c>
      <c r="EJ132" s="12">
        <f>IF('Données projet'!$A$192&gt;35,EJ131+EI132-ER131,IF(A132&lt;'Données projet'!$A$192,$EG$205^A132,IF(A132='Données projet'!$A$192,'Données projet'!$B$192,EJ131+EI132-ER131)))</f>
        <v>107.89743589743645</v>
      </c>
      <c r="EK132" s="17">
        <f>EJ132*VLOOKUP('Données projet'!$B$15,Paramètres!$A$1:$I$89,3,0)*VLOOKUP('Données projet'!$B$15,Paramètres!$A$1:$I$89,5,0)</f>
        <v>116.1408000000006</v>
      </c>
      <c r="EL132" s="13">
        <f t="shared" si="99"/>
        <v>30.773199038220756</v>
      </c>
      <c r="EM132" s="20">
        <f t="shared" ref="EM132:EM153" si="127">(EK132+EL132)*0.475*44/12</f>
        <v>255.87521499156887</v>
      </c>
      <c r="EN132" s="59">
        <f t="shared" ref="EN132:EN195" si="128">EM132+(EE132+EF132)*44/12</f>
        <v>549.20854832490215</v>
      </c>
      <c r="EO132" s="59">
        <f ca="1">AVERAGE(OFFSET($EN$3,0,0,'Données projet'!$E$15+1,1))-AVERAGE(OFFSET($H$3,0,0,'Données projet'!$E$15+1,1))</f>
        <v>449.09332781196957</v>
      </c>
      <c r="EP132" s="59">
        <f t="shared" si="100"/>
        <v>324.85904971519432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158.49476753825945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158.49476753825945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1.5064102564102591</v>
      </c>
      <c r="FE132" s="12">
        <f>IF('Données projet'!$A$218&gt;35,FE131+FD132-FM131,IF(A132&lt;'Données projet'!$A$218,$FB$205^A132,IF(A132='Données projet'!$A$218,'Données projet'!$B$218,FE131+FD132-FM131)))</f>
        <v>107.89743589743645</v>
      </c>
      <c r="FF132" s="17">
        <f>FE132*VLOOKUP('Données projet'!$B$16,Paramètres!$A$1:$I$89,3,0)*VLOOKUP('Données projet'!$B$16,Paramètres!$A$1:$I$89,5,0)</f>
        <v>109.40800000000057</v>
      </c>
      <c r="FG132" s="13">
        <f t="shared" si="101"/>
        <v>29.191460979261141</v>
      </c>
      <c r="FH132" s="20">
        <f t="shared" ref="FH132:FH153" si="130">(FF132+FG132)*0.475*44/12</f>
        <v>241.39406120554747</v>
      </c>
      <c r="FI132" s="59">
        <f t="shared" ref="FI132:FI195" si="131">FH132+(EZ132+FA132)*44/12</f>
        <v>534.72739453888084</v>
      </c>
      <c r="FJ132" s="59">
        <f ca="1">AVERAGE(OFFSET($FI$3,0,0,'Données projet'!$E$16+1,1))-AVERAGE(OFFSET($H$3,0,0,'Données projet'!$E$16+1,1))</f>
        <v>419.51168383014721</v>
      </c>
      <c r="FK132" s="59">
        <f t="shared" si="102"/>
        <v>213.44145308833384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149.30666507227343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149.30666507227343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266.99999999999983</v>
      </c>
      <c r="GA132" s="17">
        <f>FZ132*VLOOKUP('Données projet'!$B$17,Paramètres!$A$1:$I$89,3,0)*VLOOKUP('Données projet'!$B$17,Paramètres!$A$1:$I$89,5,0)</f>
        <v>233.2511999999999</v>
      </c>
      <c r="GB132" s="13">
        <f t="shared" si="103"/>
        <v>56.985091661350864</v>
      </c>
      <c r="GC132" s="20">
        <f t="shared" ref="GC132:GC153" si="133">(GA132+GB132)*0.475*44/12</f>
        <v>505.49487464351915</v>
      </c>
      <c r="GD132" s="59">
        <f t="shared" ref="GD132:GD195" si="134">GC132+(FU132+FV132)*44/12</f>
        <v>798.82820797685247</v>
      </c>
      <c r="GE132" s="59">
        <f ca="1">AVERAGE(OFFSET($GD$3,0,0,'Données projet'!$E$17+1,1))-AVERAGE(OFFSET($H$3,0,0,'Données projet'!$E$17+1,1))</f>
        <v>324.86930206492627</v>
      </c>
      <c r="GF132" s="59">
        <f t="shared" si="104"/>
        <v>317.03005098025352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11.979466158088789</v>
      </c>
      <c r="GM132" s="21">
        <f>EXP(-LN(2)/25)*GM131+(1-EXP(-LN(2)/25))/(LN(2)/25)*Calculateur!GH132*Calculateur!GJ132*VLOOKUP('Données projet'!$B$17,Paramètres!$A$1:$I$89,3,0)*0.475*44/12</f>
        <v>2.3506488720800411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14.33011503016883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1.5064102564102591</v>
      </c>
      <c r="GU132" s="12">
        <f>IF('Données projet'!$A$270&gt;35,GU131+GT132-HC131,IF(A132&lt;'Données projet'!$A$270,$GR$205^A132,IF(A132='Données projet'!$A$270,'Données projet'!$B$270,GU131+GT132-HC131)))</f>
        <v>107.89743589743645</v>
      </c>
      <c r="GV132" s="17">
        <f>GU132*VLOOKUP('Données projet'!$B$18,Paramètres!$A$1:$I$89,3,0)*VLOOKUP('Données projet'!$B$18,Paramètres!$A$1:$I$89,5,0)</f>
        <v>102.67520000000054</v>
      </c>
      <c r="GW132" s="13">
        <f t="shared" si="105"/>
        <v>27.598344498736139</v>
      </c>
      <c r="GX132" s="20">
        <f t="shared" ref="GX132:GX153" si="136">(GV132+GW132)*0.475*44/12</f>
        <v>226.89309000196636</v>
      </c>
      <c r="GY132" s="59">
        <f t="shared" ref="GY132:GY195" si="137">GX132+(GP132+GQ132)*44/12</f>
        <v>520.22642333529961</v>
      </c>
      <c r="GZ132" s="59">
        <f ca="1">AVERAGE(OFFSET($GY$3,0,0,'Données projet'!$E$18+1,1))-AVERAGE(OFFSET($H$3,0,0,'Données projet'!$E$18+1,1))</f>
        <v>401.81944956556271</v>
      </c>
      <c r="HA132" s="59">
        <f t="shared" si="106"/>
        <v>292.20785523952651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140.11856260628741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140.11856260628741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109.40384615384671</v>
      </c>
      <c r="O133" s="13">
        <f>N133*VLOOKUP('Données projet'!$B$9,Paramètres!$A$1:$I$89,3,0)*VLOOKUP('Données projet'!$B$9,Paramètres!$A$1:$I$89,5,0)</f>
        <v>98.988600000000503</v>
      </c>
      <c r="P133" s="13">
        <f t="shared" ref="P133:P196" si="141">EXP(-1.0587+0.8836*LN(O133)+0.284)</f>
        <v>26.720903075724102</v>
      </c>
      <c r="Q133" s="20">
        <f t="shared" si="108"/>
        <v>218.94405119022034</v>
      </c>
      <c r="R133" s="59">
        <f t="shared" si="109"/>
        <v>512.27738452355368</v>
      </c>
      <c r="S133" s="59">
        <f ca="1">AVERAGE(OFFSET($R$3,0,0,'Données projet'!$E$9+1,1))-AVERAGE(OFFSET($H$3,0,0,'Données projet'!$E$9+1,1))</f>
        <v>384.05928630855732</v>
      </c>
      <c r="T133" s="59">
        <f t="shared" ref="T133:T196" si="142">$T$3</f>
        <v>279.93992813630513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-6.3550942286383367E-14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335.04906256888819</v>
      </c>
      <c r="AO133" s="59">
        <f t="shared" ref="AO133:AO196" si="144">$AO$3</f>
        <v>440.84111898279554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51.322170701624707</v>
      </c>
      <c r="AV133" s="21">
        <f>EXP(-LN(2)/25)*AV132+(1-EXP(-LN(2)/25))/(LN(2)/25)*Calculateur!AQ133*Calculateur!AS133*VLOOKUP('Données projet'!$B$10,Paramètres!$A$1:$I$89,3,0)*0.475*44/12</f>
        <v>7.2009600485299945</v>
      </c>
      <c r="AW133" s="21">
        <f>EXP(-LN(2)/2)*AW132+(1-EXP(-LN(2)/2))/(LN(2)/2)*AQ133*AT133*VLOOKUP('Données projet'!$B$10,Paramètres!$A$1:$I$89,3,0)*0.475*44/12</f>
        <v>1.7575577451122145E-10</v>
      </c>
      <c r="AX133" s="21">
        <f t="shared" si="114"/>
        <v>58.523130750330452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-1.4210854715202004E-13</v>
      </c>
      <c r="BE133" s="13">
        <f>BD133*VLOOKUP('Données projet'!$B$11,Paramètres!$A$1:$I$89,3,0)*VLOOKUP('Données projet'!$B$11,Paramètres!$A$1:$I$89,5,0)</f>
        <v>-8.128608897095547E-14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320.76883487964511</v>
      </c>
      <c r="BJ133" s="59">
        <f t="shared" ref="BJ133:BJ196" si="146">$BJ$3</f>
        <v>290.51177680335746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61.511478465800103</v>
      </c>
      <c r="BQ133" s="21">
        <f>EXP(-LN(2)/25)*BQ132+(1-EXP(-LN(2)/25))/(LN(2)/25)*Calculateur!BL133*Calculateur!BN133*VLOOKUP('Données projet'!$B$11,Paramètres!$A$1:$I$89,3,0)*0.475*44/12</f>
        <v>11.001283338449984</v>
      </c>
      <c r="BR133" s="21">
        <f>EXP(-LN(2)/2)*BR132+(1-EXP(-LN(2)/2))/(LN(2)/2)*BL133*BO133*VLOOKUP('Données projet'!$B$11,Paramètres!$A$1:$I$89,3,0)*0.475*44/12</f>
        <v>3.0348145779835745E-5</v>
      </c>
      <c r="BS133" s="22">
        <f t="shared" si="117"/>
        <v>72.512792152395875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304.99999999999983</v>
      </c>
      <c r="BZ133" s="13">
        <f>BY133*VLOOKUP('Données projet'!$B$12,Paramètres!$A$1:$I$89,3,0)*VLOOKUP('Données projet'!$B$12,Paramètres!$A$1:$I$89,5,0)</f>
        <v>275.96399999999983</v>
      </c>
      <c r="CA133" s="13">
        <f t="shared" ref="CA133:CA153" si="147">EXP(-1.0587+0.8836*LN(BZ133)+0.284)</f>
        <v>66.113366665488854</v>
      </c>
      <c r="CB133" s="20">
        <f t="shared" si="118"/>
        <v>595.78474694239264</v>
      </c>
      <c r="CC133" s="59">
        <f t="shared" si="119"/>
        <v>889.11808027572602</v>
      </c>
      <c r="CD133" s="59">
        <f ca="1">AVERAGE(OFFSET($CC$3,0,0,'Données projet'!$E$12+1,1))-AVERAGE(OFFSET($H$3,0,0,'Données projet'!$E$12+1,1))</f>
        <v>366.69125512029831</v>
      </c>
      <c r="CE133" s="59">
        <f t="shared" ref="CE133:CE196" si="148">$CE$3</f>
        <v>513.80016421153414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0.22306289378996511</v>
      </c>
      <c r="CL133" s="21">
        <f>EXP(-LN(2)/25)*CL132+(1-EXP(-LN(2)/25))/(LN(2)/25)*Calculateur!CG133*Calculateur!CI133*VLOOKUP('Données projet'!$B$12,Paramètres!$A$1:$I$89,3,0)*0.475*44/12</f>
        <v>0.46143777214740289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0.68450066593736802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1.5064102564102591</v>
      </c>
      <c r="CT133" s="12">
        <f>IF('Données projet'!$A$140&gt;35,CT132+CS133-DB132,IF(A133&lt;'Données projet'!$A$140,$CQ$205^A133,IF(A133='Données projet'!$A$140,'Données projet'!$B$140,CT132+CS133-DB132)))</f>
        <v>109.40384615384671</v>
      </c>
      <c r="CU133" s="17">
        <f>CT133*VLOOKUP('Données projet'!$B$13,Paramètres!$A$1:$I$89,3,0)*VLOOKUP('Données projet'!$B$13,Paramètres!$A$1:$I$89,5,0)</f>
        <v>73.388100000000378</v>
      </c>
      <c r="CV133" s="13">
        <f t="shared" ref="CV133:CV153" si="149">EXP(-1.0587+0.8836*LN(CU133)+0.284)</f>
        <v>20.512513692781095</v>
      </c>
      <c r="CW133" s="20">
        <f t="shared" si="121"/>
        <v>163.54356884826106</v>
      </c>
      <c r="CX133" s="59">
        <f t="shared" si="122"/>
        <v>456.87690218159435</v>
      </c>
      <c r="CY133" s="59">
        <f ca="1">AVERAGE(OFFSET($CX$3,0,0,'Données projet'!$E$13+1,1))-AVERAGE(OFFSET($H$3,0,0,'Données projet'!$E$13+1,1))</f>
        <v>294.94331863127815</v>
      </c>
      <c r="CZ133" s="59">
        <f t="shared" ref="CZ133:CZ196" si="150">$CZ$3</f>
        <v>218.36990036643977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119.35506429582796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119.35506429582796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266.99999999999983</v>
      </c>
      <c r="DP133" s="17">
        <f>DO133*VLOOKUP('Données projet'!$B$14,Paramètres!$A$1:$I$89,3,0)*VLOOKUP('Données projet'!$B$14,Paramètres!$A$1:$I$89,5,0)</f>
        <v>195.76439999999985</v>
      </c>
      <c r="DQ133" s="13">
        <f t="shared" ref="DQ133:DQ153" si="151">EXP(-1.0587+0.8836*LN(DP133)+0.284)</f>
        <v>48.812154563023455</v>
      </c>
      <c r="DR133" s="20">
        <f t="shared" si="124"/>
        <v>425.9708325305989</v>
      </c>
      <c r="DS133" s="59">
        <f t="shared" si="125"/>
        <v>719.30416586393221</v>
      </c>
      <c r="DT133" s="59">
        <f ca="1">AVERAGE(OFFSET($DS$3,0,0,'Données projet'!$E$14+1,1))-AVERAGE(OFFSET($H$3,0,0,'Données projet'!$E$14+1,1))</f>
        <v>278.45534008146865</v>
      </c>
      <c r="DU133" s="59">
        <f t="shared" ref="DU133:DU196" si="152">$DU$3</f>
        <v>272.97841038165217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7.9972196582770279</v>
      </c>
      <c r="EB133" s="21">
        <f>EXP(-LN(2)/25)*EB132+(1-EXP(-LN(2)/25))/(LN(2)/25)*Calculateur!DW133*Calculateur!DY133*VLOOKUP('Données projet'!$B$14,Paramètres!$A$1:$I$89,3,0)*0.475*44/12</f>
        <v>1.5568579128947884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9.5540775711718169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1.5064102564102591</v>
      </c>
      <c r="EJ133" s="12">
        <f>IF('Données projet'!$A$192&gt;35,EJ132+EI133-ER132,IF(A133&lt;'Données projet'!$A$192,$EG$205^A133,IF(A133='Données projet'!$A$192,'Données projet'!$B$192,EJ132+EI133-ER132)))</f>
        <v>109.40384615384671</v>
      </c>
      <c r="EK133" s="17">
        <f>EJ133*VLOOKUP('Données projet'!$B$15,Paramètres!$A$1:$I$89,3,0)*VLOOKUP('Données projet'!$B$15,Paramètres!$A$1:$I$89,5,0)</f>
        <v>117.76230000000059</v>
      </c>
      <c r="EL133" s="13">
        <f t="shared" ref="EL133:EL153" si="153">EXP(-1.0587+0.8836*LN(EK133)+0.284)</f>
        <v>31.152522129183616</v>
      </c>
      <c r="EM133" s="20">
        <f t="shared" si="127"/>
        <v>259.35998187499581</v>
      </c>
      <c r="EN133" s="59">
        <f t="shared" si="128"/>
        <v>552.69331520832907</v>
      </c>
      <c r="EO133" s="59">
        <f ca="1">AVERAGE(OFFSET($EN$3,0,0,'Données projet'!$E$15+1,1))-AVERAGE(OFFSET($H$3,0,0,'Données projet'!$E$15+1,1))</f>
        <v>449.09332781196957</v>
      </c>
      <c r="EP133" s="59">
        <f t="shared" ref="EP133:EP196" si="154">$EP$3</f>
        <v>324.85904971519432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155.3867818190968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155.3867818190968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1.5064102564102591</v>
      </c>
      <c r="FE133" s="12">
        <f>IF('Données projet'!$A$218&gt;35,FE132+FD133-FM132,IF(A133&lt;'Données projet'!$A$218,$FB$205^A133,IF(A133='Données projet'!$A$218,'Données projet'!$B$218,FE132+FD133-FM132)))</f>
        <v>109.40384615384671</v>
      </c>
      <c r="FF133" s="17">
        <f>FE133*VLOOKUP('Données projet'!$B$16,Paramètres!$A$1:$I$89,3,0)*VLOOKUP('Données projet'!$B$16,Paramètres!$A$1:$I$89,5,0)</f>
        <v>110.93550000000057</v>
      </c>
      <c r="FG133" s="13">
        <f t="shared" ref="FG133:FG153" si="155">EXP(-1.0587+0.8836*LN(FF133)+0.284)</f>
        <v>29.551286917234709</v>
      </c>
      <c r="FH133" s="20">
        <f t="shared" si="130"/>
        <v>244.6811538808515</v>
      </c>
      <c r="FI133" s="59">
        <f t="shared" si="131"/>
        <v>538.01448721418478</v>
      </c>
      <c r="FJ133" s="59">
        <f ca="1">AVERAGE(OFFSET($FI$3,0,0,'Données projet'!$E$16+1,1))-AVERAGE(OFFSET($H$3,0,0,'Données projet'!$E$16+1,1))</f>
        <v>419.51168383014721</v>
      </c>
      <c r="FK133" s="59">
        <f t="shared" ref="FK133:FK196" si="156">$FK$3</f>
        <v>213.44145308833384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146.37885243827961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146.37885243827961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266.99999999999983</v>
      </c>
      <c r="GA133" s="17">
        <f>FZ133*VLOOKUP('Données projet'!$B$17,Paramètres!$A$1:$I$89,3,0)*VLOOKUP('Données projet'!$B$17,Paramètres!$A$1:$I$89,5,0)</f>
        <v>233.2511999999999</v>
      </c>
      <c r="GB133" s="13">
        <f t="shared" ref="GB133:GB153" si="157">EXP(-1.0587+0.8836*LN(GA133)+0.284)</f>
        <v>56.985091661350864</v>
      </c>
      <c r="GC133" s="20">
        <f t="shared" si="133"/>
        <v>505.49487464351915</v>
      </c>
      <c r="GD133" s="59">
        <f t="shared" si="134"/>
        <v>798.82820797685247</v>
      </c>
      <c r="GE133" s="59">
        <f ca="1">AVERAGE(OFFSET($GD$3,0,0,'Données projet'!$E$17+1,1))-AVERAGE(OFFSET($H$3,0,0,'Données projet'!$E$17+1,1))</f>
        <v>324.86930206492627</v>
      </c>
      <c r="GF133" s="59">
        <f t="shared" ref="GF133:GF196" si="158">$GF$3</f>
        <v>317.03005098025352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11.744556133481542</v>
      </c>
      <c r="GM133" s="21">
        <f>EXP(-LN(2)/25)*GM132+(1-EXP(-LN(2)/25))/(LN(2)/25)*Calculateur!GH133*Calculateur!GJ133*VLOOKUP('Données projet'!$B$17,Paramètres!$A$1:$I$89,3,0)*0.475*44/12</f>
        <v>2.2863702550577609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14.030926388539303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1.5064102564102591</v>
      </c>
      <c r="GU133" s="12">
        <f>IF('Données projet'!$A$270&gt;35,GU132+GT133-HC132,IF(A133&lt;'Données projet'!$A$270,$GR$205^A133,IF(A133='Données projet'!$A$270,'Données projet'!$B$270,GU132+GT133-HC132)))</f>
        <v>109.40384615384671</v>
      </c>
      <c r="GV133" s="17">
        <f>GU133*VLOOKUP('Données projet'!$B$18,Paramètres!$A$1:$I$89,3,0)*VLOOKUP('Données projet'!$B$18,Paramètres!$A$1:$I$89,5,0)</f>
        <v>104.10870000000054</v>
      </c>
      <c r="GW133" s="13">
        <f t="shared" ref="GW133:GW153" si="159">EXP(-1.0587+0.8836*LN(GV133)+0.284)</f>
        <v>27.938533028622686</v>
      </c>
      <c r="GX133" s="20">
        <f t="shared" si="136"/>
        <v>229.98226419151877</v>
      </c>
      <c r="GY133" s="59">
        <f t="shared" si="137"/>
        <v>523.31559752485214</v>
      </c>
      <c r="GZ133" s="59">
        <f ca="1">AVERAGE(OFFSET($GY$3,0,0,'Données projet'!$E$18+1,1))-AVERAGE(OFFSET($H$3,0,0,'Données projet'!$E$18+1,1))</f>
        <v>401.81944956556271</v>
      </c>
      <c r="HA133" s="59">
        <f t="shared" ref="HA133:HA196" si="160">$HA$3</f>
        <v>292.20785523952651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137.37092305746245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137.37092305746245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110.91025641025698</v>
      </c>
      <c r="O134" s="13">
        <f>N134*VLOOKUP('Données projet'!$B$9,Paramètres!$A$1:$I$89,3,0)*VLOOKUP('Données projet'!$B$9,Paramètres!$A$1:$I$89,5,0)</f>
        <v>100.3516000000005</v>
      </c>
      <c r="P134" s="13">
        <f t="shared" si="141"/>
        <v>27.045744281593826</v>
      </c>
      <c r="Q134" s="20">
        <f t="shared" si="108"/>
        <v>221.88370795711012</v>
      </c>
      <c r="R134" s="59">
        <f t="shared" si="109"/>
        <v>515.21704129044338</v>
      </c>
      <c r="S134" s="59">
        <f ca="1">AVERAGE(OFFSET($R$3,0,0,'Données projet'!$E$9+1,1))-AVERAGE(OFFSET($H$3,0,0,'Données projet'!$E$9+1,1))</f>
        <v>384.05928630855732</v>
      </c>
      <c r="T134" s="59">
        <f t="shared" si="142"/>
        <v>279.93992813630513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-6.3550942286383367E-14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335.04906256888819</v>
      </c>
      <c r="AO134" s="59">
        <f t="shared" si="144"/>
        <v>440.84111898279554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50.315774237599015</v>
      </c>
      <c r="AV134" s="21">
        <f>EXP(-LN(2)/25)*AV133+(1-EXP(-LN(2)/25))/(LN(2)/25)*Calculateur!AQ134*Calculateur!AS134*VLOOKUP('Données projet'!$B$10,Paramètres!$A$1:$I$89,3,0)*0.475*44/12</f>
        <v>7.0040494173209105</v>
      </c>
      <c r="AW134" s="21">
        <f>EXP(-LN(2)/2)*AW133+(1-EXP(-LN(2)/2))/(LN(2)/2)*AQ134*AT134*VLOOKUP('Données projet'!$B$10,Paramètres!$A$1:$I$89,3,0)*0.475*44/12</f>
        <v>1.2427809998957845E-10</v>
      </c>
      <c r="AX134" s="21">
        <f t="shared" si="114"/>
        <v>57.31982365504421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-1.4210854715202004E-13</v>
      </c>
      <c r="BE134" s="13">
        <f>BD134*VLOOKUP('Données projet'!$B$11,Paramètres!$A$1:$I$89,3,0)*VLOOKUP('Données projet'!$B$11,Paramètres!$A$1:$I$89,5,0)</f>
        <v>-8.128608897095547E-14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320.76883487964511</v>
      </c>
      <c r="BJ134" s="59">
        <f t="shared" si="146"/>
        <v>290.51177680335746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60.305275891383005</v>
      </c>
      <c r="BQ134" s="21">
        <f>EXP(-LN(2)/25)*BQ133+(1-EXP(-LN(2)/25))/(LN(2)/25)*Calculateur!BL134*Calculateur!BN134*VLOOKUP('Données projet'!$B$11,Paramètres!$A$1:$I$89,3,0)*0.475*44/12</f>
        <v>10.700452667027722</v>
      </c>
      <c r="BR134" s="21">
        <f>EXP(-LN(2)/2)*BR133+(1-EXP(-LN(2)/2))/(LN(2)/2)*BL134*BO134*VLOOKUP('Données projet'!$B$11,Paramètres!$A$1:$I$89,3,0)*0.475*44/12</f>
        <v>2.1459379677359762E-5</v>
      </c>
      <c r="BS134" s="22">
        <f t="shared" si="117"/>
        <v>71.005750017790405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304.99999999999983</v>
      </c>
      <c r="BZ134" s="13">
        <f>BY134*VLOOKUP('Données projet'!$B$12,Paramètres!$A$1:$I$89,3,0)*VLOOKUP('Données projet'!$B$12,Paramètres!$A$1:$I$89,5,0)</f>
        <v>275.96399999999983</v>
      </c>
      <c r="CA134" s="13">
        <f t="shared" si="147"/>
        <v>66.113366665488854</v>
      </c>
      <c r="CB134" s="20">
        <f t="shared" si="118"/>
        <v>595.78474694239264</v>
      </c>
      <c r="CC134" s="59">
        <f t="shared" si="119"/>
        <v>889.11808027572602</v>
      </c>
      <c r="CD134" s="59">
        <f ca="1">AVERAGE(OFFSET($CC$3,0,0,'Données projet'!$E$12+1,1))-AVERAGE(OFFSET($H$3,0,0,'Données projet'!$E$12+1,1))</f>
        <v>366.69125512029831</v>
      </c>
      <c r="CE134" s="59">
        <f t="shared" si="148"/>
        <v>513.80016421153414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0.2186887664976748</v>
      </c>
      <c r="CL134" s="21">
        <f>EXP(-LN(2)/25)*CL133+(1-EXP(-LN(2)/25))/(LN(2)/25)*Calculateur!CG134*Calculateur!CI134*VLOOKUP('Données projet'!$B$12,Paramètres!$A$1:$I$89,3,0)*0.475*44/12</f>
        <v>0.44881973200207437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0.66750849849974914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>
        <f>VLOOKUP(A134,'Données projet'!$A$139:$I$159,2,0)</f>
        <v>110.91025641025641</v>
      </c>
      <c r="CR134" s="12">
        <f>VLOOKUP(A134,'Données projet'!$A$139:$I$159,9,0)</f>
        <v>1.5064102564102591</v>
      </c>
      <c r="CS134" s="12">
        <f t="array" ref="CS134">INDEX(CR:CR,MIN(IF(ISNUMBER(CR134:CR330),ROW(CR134:CR330),"")))</f>
        <v>1.5064102564102591</v>
      </c>
      <c r="CT134" s="12">
        <f>IF('Données projet'!$A$140&gt;35,CT133+CS134-DB133,IF(A134&lt;'Données projet'!$A$140,$CQ$205^A134,IF(A134='Données projet'!$A$140,'Données projet'!$B$140,CT133+CS134-DB133)))</f>
        <v>110.91025641025698</v>
      </c>
      <c r="CU134" s="17">
        <f>CT134*VLOOKUP('Données projet'!$B$13,Paramètres!$A$1:$I$89,3,0)*VLOOKUP('Données projet'!$B$13,Paramètres!$A$1:$I$89,5,0)</f>
        <v>74.398600000000386</v>
      </c>
      <c r="CV134" s="13">
        <f t="shared" si="149"/>
        <v>20.761880627143281</v>
      </c>
      <c r="CW134" s="20">
        <f t="shared" si="121"/>
        <v>165.73783709227521</v>
      </c>
      <c r="CX134" s="59">
        <f t="shared" si="122"/>
        <v>459.07117042560856</v>
      </c>
      <c r="CY134" s="59">
        <f ca="1">AVERAGE(OFFSET($CX$3,0,0,'Données projet'!$E$13+1,1))-AVERAGE(OFFSET($H$3,0,0,'Données projet'!$E$13+1,1))</f>
        <v>294.94331863127815</v>
      </c>
      <c r="CZ134" s="59">
        <f t="shared" si="150"/>
        <v>218.36990036643977</v>
      </c>
      <c r="DA134" s="15">
        <f>IF(ISNA(VLOOKUP(A134,'Données projet'!$A$139:$I$159,3,0)),0,VLOOKUP(A134,'Données projet'!$A$139:$I$159,3,0))</f>
        <v>14</v>
      </c>
      <c r="DB134" s="15">
        <f>IF(ISNA(VLOOKUP(A134,'Données projet'!$A$139:$I$159,4,0)),0,VLOOKUP(A134,'Données projet'!$A$139:$I$159,4,0))</f>
        <v>110.91025641025641</v>
      </c>
      <c r="DC134" s="16">
        <f>IF(ISNA(VLOOKUP(A134,'Données projet'!$A$139:$I$159,5,0)),0%,VLOOKUP(A134,'Données projet'!$A$139:$I$159,5,0)*VLOOKUP('Données projet'!$B$13,Paramètres!$A$1:$I$89,7,0))</f>
        <v>0.47700000000000004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156.24566325643718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156.24566325643718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266.99999999999983</v>
      </c>
      <c r="DP134" s="17">
        <f>DO134*VLOOKUP('Données projet'!$B$14,Paramètres!$A$1:$I$89,3,0)*VLOOKUP('Données projet'!$B$14,Paramètres!$A$1:$I$89,5,0)</f>
        <v>195.76439999999985</v>
      </c>
      <c r="DQ134" s="13">
        <f t="shared" si="151"/>
        <v>48.812154563023455</v>
      </c>
      <c r="DR134" s="20">
        <f t="shared" si="124"/>
        <v>425.9708325305989</v>
      </c>
      <c r="DS134" s="59">
        <f t="shared" si="125"/>
        <v>719.30416586393221</v>
      </c>
      <c r="DT134" s="59">
        <f ca="1">AVERAGE(OFFSET($DS$3,0,0,'Données projet'!$E$14+1,1))-AVERAGE(OFFSET($H$3,0,0,'Données projet'!$E$14+1,1))</f>
        <v>278.45534008146865</v>
      </c>
      <c r="DU134" s="59">
        <f t="shared" si="152"/>
        <v>272.97841038165217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7.8403990586005623</v>
      </c>
      <c r="EB134" s="21">
        <f>EXP(-LN(2)/25)*EB133+(1-EXP(-LN(2)/25))/(LN(2)/25)*Calculateur!DW134*Calculateur!DY134*VLOOKUP('Données projet'!$B$14,Paramètres!$A$1:$I$89,3,0)*0.475*44/12</f>
        <v>1.514285551395081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9.354684609995644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>
        <f>VLOOKUP(A134,'Données projet'!$A$191:$I$211,2,0)</f>
        <v>110.91025641025641</v>
      </c>
      <c r="EH134" s="12">
        <f>VLOOKUP(A134,'Données projet'!$A$191:$I$211,9,0)</f>
        <v>1.5064102564102591</v>
      </c>
      <c r="EI134" s="12">
        <f t="array" ref="EI134">INDEX(EH:EH,MIN(IF(ISNUMBER(EH134:EH330),ROW(EH134:EH330),"")))</f>
        <v>1.5064102564102591</v>
      </c>
      <c r="EJ134" s="12">
        <f>IF('Données projet'!$A$192&gt;35,EJ133+EI134-ER133,IF(A134&lt;'Données projet'!$A$192,$EG$205^A134,IF(A134='Données projet'!$A$192,'Données projet'!$B$192,EJ133+EI134-ER133)))</f>
        <v>110.91025641025698</v>
      </c>
      <c r="EK134" s="17">
        <f>EJ134*VLOOKUP('Données projet'!$B$15,Paramètres!$A$1:$I$89,3,0)*VLOOKUP('Données projet'!$B$15,Paramètres!$A$1:$I$89,5,0)</f>
        <v>119.3838000000006</v>
      </c>
      <c r="EL134" s="13">
        <f t="shared" si="153"/>
        <v>31.531237729687465</v>
      </c>
      <c r="EM134" s="20">
        <f t="shared" si="127"/>
        <v>262.84369071254008</v>
      </c>
      <c r="EN134" s="59">
        <f t="shared" si="128"/>
        <v>556.1770240458734</v>
      </c>
      <c r="EO134" s="59">
        <f ca="1">AVERAGE(OFFSET($EN$3,0,0,'Données projet'!$E$15+1,1))-AVERAGE(OFFSET($H$3,0,0,'Données projet'!$E$15+1,1))</f>
        <v>449.09332781196957</v>
      </c>
      <c r="EP134" s="59">
        <f t="shared" si="154"/>
        <v>324.85904971519432</v>
      </c>
      <c r="EQ134" s="15">
        <f>IF(ISNA(VLOOKUP(A134,'Données projet'!$A$191:$I$211,3,0)),0,VLOOKUP(A134,'Données projet'!$A$191:$I$211,3,0))</f>
        <v>14</v>
      </c>
      <c r="ER134" s="15">
        <f>IF(ISNA(VLOOKUP(A134,'Données projet'!$A$191:$I$211,4,0)),0,VLOOKUP(A134,'Données projet'!$A$191:$I$211,4,0))</f>
        <v>110.91025641025641</v>
      </c>
      <c r="ES134" s="16">
        <f>IF(ISNA(VLOOKUP(A134,'Données projet'!$A$191:$I$211,5,0)),0%,VLOOKUP(A134,'Données projet'!$A$191:$I$211,5,0)*VLOOKUP('Données projet'!$B$15,Paramètres!$A$1:$I$89,7,0))</f>
        <v>0.38700000000000001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203.41416537158804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203.41416537158804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>
        <f>VLOOKUP(A134,'Données projet'!$A$217:$I$237,2,0)</f>
        <v>110.91025641025641</v>
      </c>
      <c r="FC134" s="12">
        <f>VLOOKUP(A134,'Données projet'!$A$217:$I$237,9,0)</f>
        <v>1.5064102564102591</v>
      </c>
      <c r="FD134" s="12">
        <f t="array" ref="FD134">INDEX(FC:FC,MIN(IF(ISNUMBER(FC134:FC330),ROW(FC134:FC330),"")))</f>
        <v>1.5064102564102591</v>
      </c>
      <c r="FE134" s="12">
        <f>IF('Données projet'!$A$218&gt;35,FE133+FD134-FM133,IF(A134&lt;'Données projet'!$A$218,$FB$205^A134,IF(A134='Données projet'!$A$218,'Données projet'!$B$218,FE133+FD134-FM133)))</f>
        <v>110.91025641025698</v>
      </c>
      <c r="FF134" s="17">
        <f>FE134*VLOOKUP('Données projet'!$B$16,Paramètres!$A$1:$I$89,3,0)*VLOOKUP('Données projet'!$B$16,Paramètres!$A$1:$I$89,5,0)</f>
        <v>112.46300000000058</v>
      </c>
      <c r="FG134" s="13">
        <f t="shared" si="155"/>
        <v>29.910536589672557</v>
      </c>
      <c r="FH134" s="20">
        <f t="shared" si="130"/>
        <v>247.96724289368069</v>
      </c>
      <c r="FI134" s="59">
        <f t="shared" si="131"/>
        <v>541.30057622701406</v>
      </c>
      <c r="FJ134" s="59">
        <f ca="1">AVERAGE(OFFSET($FI$3,0,0,'Données projet'!$E$16+1,1))-AVERAGE(OFFSET($H$3,0,0,'Données projet'!$E$16+1,1))</f>
        <v>419.51168383014721</v>
      </c>
      <c r="FK134" s="59">
        <f t="shared" si="156"/>
        <v>213.44145308833384</v>
      </c>
      <c r="FL134" s="15">
        <f>IF(ISNA(VLOOKUP(A134,'Données projet'!$A$217:$I$237,3,0)),0,VLOOKUP(A134,'Données projet'!$A$217:$I$237,3,0))</f>
        <v>14</v>
      </c>
      <c r="FM134" s="15">
        <f>IF(ISNA(VLOOKUP(A134,'Données projet'!$A$217:$I$237,4,0)),0,VLOOKUP(A134,'Données projet'!$A$217:$I$237,4,0))</f>
        <v>110.91025641025641</v>
      </c>
      <c r="FN134" s="16">
        <f>IF(ISNA(VLOOKUP(A134,'Données projet'!$A$217:$I$237,5,0)),0%,VLOOKUP(A134,'Données projet'!$A$217:$I$237,5,0)*VLOOKUP('Données projet'!$B$16,Paramètres!$A$1:$I$89,7,0))</f>
        <v>0.38700000000000001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191.62203984280035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191.62203984280035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266.99999999999983</v>
      </c>
      <c r="GA134" s="17">
        <f>FZ134*VLOOKUP('Données projet'!$B$17,Paramètres!$A$1:$I$89,3,0)*VLOOKUP('Données projet'!$B$17,Paramètres!$A$1:$I$89,5,0)</f>
        <v>233.2511999999999</v>
      </c>
      <c r="GB134" s="13">
        <f t="shared" si="157"/>
        <v>56.985091661350864</v>
      </c>
      <c r="GC134" s="20">
        <f t="shared" si="133"/>
        <v>505.49487464351915</v>
      </c>
      <c r="GD134" s="59">
        <f t="shared" si="134"/>
        <v>798.82820797685247</v>
      </c>
      <c r="GE134" s="59">
        <f ca="1">AVERAGE(OFFSET($GD$3,0,0,'Données projet'!$E$17+1,1))-AVERAGE(OFFSET($H$3,0,0,'Données projet'!$E$17+1,1))</f>
        <v>324.86930206492627</v>
      </c>
      <c r="GF134" s="59">
        <f t="shared" si="158"/>
        <v>317.03005098025352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11.514252551175876</v>
      </c>
      <c r="GM134" s="21">
        <f>EXP(-LN(2)/25)*GM133+(1-EXP(-LN(2)/25))/(LN(2)/25)*Calculateur!GH134*Calculateur!GJ134*VLOOKUP('Données projet'!$B$17,Paramètres!$A$1:$I$89,3,0)*0.475*44/12</f>
        <v>2.2238493401982202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13.738101891374097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>
        <f>VLOOKUP(A134,'Données projet'!$A$269:$I$289,2,0)</f>
        <v>110.91025641025641</v>
      </c>
      <c r="GS134" s="12">
        <f>VLOOKUP(A134,'Données projet'!$A$269:$I$289,9,0)</f>
        <v>1.5064102564102591</v>
      </c>
      <c r="GT134" s="12">
        <f t="array" ref="GT134">INDEX(GS:GS,MIN(IF(ISNUMBER(GS134:GS330),ROW(GS134:GS330),"")))</f>
        <v>1.5064102564102591</v>
      </c>
      <c r="GU134" s="12">
        <f>IF('Données projet'!$A$270&gt;35,GU133+GT134-HC133,IF(A134&lt;'Données projet'!$A$270,$GR$205^A134,IF(A134='Données projet'!$A$270,'Données projet'!$B$270,GU133+GT134-HC133)))</f>
        <v>110.91025641025698</v>
      </c>
      <c r="GV134" s="17">
        <f>GU134*VLOOKUP('Données projet'!$B$18,Paramètres!$A$1:$I$89,3,0)*VLOOKUP('Données projet'!$B$18,Paramètres!$A$1:$I$89,5,0)</f>
        <v>105.54220000000053</v>
      </c>
      <c r="GW134" s="13">
        <f t="shared" si="159"/>
        <v>28.278176742516997</v>
      </c>
      <c r="GX134" s="20">
        <f t="shared" si="136"/>
        <v>233.07048949321802</v>
      </c>
      <c r="GY134" s="59">
        <f t="shared" si="137"/>
        <v>526.40382282655128</v>
      </c>
      <c r="GZ134" s="59">
        <f ca="1">AVERAGE(OFFSET($GY$3,0,0,'Données projet'!$E$18+1,1))-AVERAGE(OFFSET($H$3,0,0,'Données projet'!$E$18+1,1))</f>
        <v>401.81944956556271</v>
      </c>
      <c r="HA134" s="59">
        <f t="shared" si="160"/>
        <v>292.20785523952651</v>
      </c>
      <c r="HB134" s="15">
        <f>IF(ISNA(VLOOKUP(A134,'Données projet'!$A$269:$I$289,3,0)),0,VLOOKUP(A134,'Données projet'!$A$269:$I$289,3,0))</f>
        <v>14</v>
      </c>
      <c r="HC134" s="15">
        <f>IF(ISNA(VLOOKUP(A134,'Données projet'!$A$269:$I$289,4,0)),0,VLOOKUP(A134,'Données projet'!$A$269:$I$289,4,0))</f>
        <v>110.91025641025641</v>
      </c>
      <c r="HD134" s="16">
        <f>IF(ISNA(VLOOKUP(A134,'Données projet'!$A$269:$I$289,5,0)),0%,VLOOKUP(A134,'Données projet'!$A$269:$I$289,5,0)*VLOOKUP('Données projet'!$B$18,Paramètres!$A$1:$I$89,7,0))</f>
        <v>0.38700000000000001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179.82991431401265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179.82991431401265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5.1431925385259092E-13</v>
      </c>
      <c r="P135" s="13">
        <f t="shared" si="141"/>
        <v>6.3855359115685756E-12</v>
      </c>
      <c r="Q135" s="20">
        <f t="shared" si="108"/>
        <v>1.2017247746441865E-11</v>
      </c>
      <c r="R135" s="59">
        <f t="shared" si="109"/>
        <v>293.33333333334531</v>
      </c>
      <c r="S135" s="59">
        <f ca="1">AVERAGE(OFFSET($R$3,0,0,'Données projet'!$E$9+1,1))-AVERAGE(OFFSET($H$3,0,0,'Données projet'!$E$9+1,1))</f>
        <v>384.05928630855732</v>
      </c>
      <c r="T135" s="59">
        <f t="shared" si="142"/>
        <v>279.93992813630513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-6.3550942286383367E-14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335.04906256888819</v>
      </c>
      <c r="AO135" s="59">
        <f t="shared" si="144"/>
        <v>440.84111898279554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49.329112594391638</v>
      </c>
      <c r="AV135" s="21">
        <f>EXP(-LN(2)/25)*AV134+(1-EXP(-LN(2)/25))/(LN(2)/25)*Calculateur!AQ135*Calculateur!AS135*VLOOKUP('Données projet'!$B$10,Paramètres!$A$1:$I$89,3,0)*0.475*44/12</f>
        <v>6.8125233176773197</v>
      </c>
      <c r="AW135" s="21">
        <f>EXP(-LN(2)/2)*AW134+(1-EXP(-LN(2)/2))/(LN(2)/2)*AQ135*AT135*VLOOKUP('Données projet'!$B$10,Paramètres!$A$1:$I$89,3,0)*0.475*44/12</f>
        <v>8.7877887255610725E-11</v>
      </c>
      <c r="AX135" s="21">
        <f t="shared" si="114"/>
        <v>56.141635912156836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-1.4210854715202004E-13</v>
      </c>
      <c r="BE135" s="13">
        <f>BD135*VLOOKUP('Données projet'!$B$11,Paramètres!$A$1:$I$89,3,0)*VLOOKUP('Données projet'!$B$11,Paramètres!$A$1:$I$89,5,0)</f>
        <v>-8.128608897095547E-14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320.76883487964511</v>
      </c>
      <c r="BJ135" s="59">
        <f t="shared" si="146"/>
        <v>290.51177680335746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59.122726213739298</v>
      </c>
      <c r="BQ135" s="21">
        <f>EXP(-LN(2)/25)*BQ134+(1-EXP(-LN(2)/25))/(LN(2)/25)*Calculateur!BL135*Calculateur!BN135*VLOOKUP('Données projet'!$B$11,Paramètres!$A$1:$I$89,3,0)*0.475*44/12</f>
        <v>10.407848226135499</v>
      </c>
      <c r="BR135" s="21">
        <f>EXP(-LN(2)/2)*BR134+(1-EXP(-LN(2)/2))/(LN(2)/2)*BL135*BO135*VLOOKUP('Données projet'!$B$11,Paramètres!$A$1:$I$89,3,0)*0.475*44/12</f>
        <v>1.5174072889917876E-5</v>
      </c>
      <c r="BS135" s="22">
        <f t="shared" si="117"/>
        <v>69.530589613947683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304.99999999999983</v>
      </c>
      <c r="BZ135" s="13">
        <f>BY135*VLOOKUP('Données projet'!$B$12,Paramètres!$A$1:$I$89,3,0)*VLOOKUP('Données projet'!$B$12,Paramètres!$A$1:$I$89,5,0)</f>
        <v>275.96399999999983</v>
      </c>
      <c r="CA135" s="13">
        <f t="shared" si="147"/>
        <v>66.113366665488854</v>
      </c>
      <c r="CB135" s="20">
        <f t="shared" si="118"/>
        <v>595.78474694239264</v>
      </c>
      <c r="CC135" s="59">
        <f t="shared" si="119"/>
        <v>889.11808027572602</v>
      </c>
      <c r="CD135" s="59">
        <f ca="1">AVERAGE(OFFSET($CC$3,0,0,'Données projet'!$E$12+1,1))-AVERAGE(OFFSET($H$3,0,0,'Données projet'!$E$12+1,1))</f>
        <v>366.69125512029831</v>
      </c>
      <c r="CE135" s="59">
        <f t="shared" si="148"/>
        <v>513.80016421153414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0.21440041317363209</v>
      </c>
      <c r="CL135" s="21">
        <f>EXP(-LN(2)/25)*CL134+(1-EXP(-LN(2)/25))/(LN(2)/25)*Calculateur!CG135*Calculateur!CI135*VLOOKUP('Données projet'!$B$12,Paramètres!$A$1:$I$89,3,0)*0.475*44/12</f>
        <v>0.43654673282807371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0.65094714600170578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5.6843418860808015E-13</v>
      </c>
      <c r="CU135" s="17">
        <f>CT135*VLOOKUP('Données projet'!$B$13,Paramètres!$A$1:$I$89,3,0)*VLOOKUP('Données projet'!$B$13,Paramètres!$A$1:$I$89,5,0)</f>
        <v>3.8130565371830017E-13</v>
      </c>
      <c r="CV135" s="13">
        <f t="shared" si="149"/>
        <v>4.9019074112354236E-12</v>
      </c>
      <c r="CW135" s="20">
        <f t="shared" si="121"/>
        <v>9.2015960881277352E-12</v>
      </c>
      <c r="CX135" s="59">
        <f t="shared" si="122"/>
        <v>293.33333333334252</v>
      </c>
      <c r="CY135" s="59">
        <f ca="1">AVERAGE(OFFSET($CX$3,0,0,'Données projet'!$E$13+1,1))-AVERAGE(OFFSET($H$3,0,0,'Données projet'!$E$13+1,1))</f>
        <v>294.94331863127815</v>
      </c>
      <c r="CZ135" s="59">
        <f t="shared" si="150"/>
        <v>218.36990036643977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153.18178110042291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153.18178110042291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266.99999999999983</v>
      </c>
      <c r="DP135" s="17">
        <f>DO135*VLOOKUP('Données projet'!$B$14,Paramètres!$A$1:$I$89,3,0)*VLOOKUP('Données projet'!$B$14,Paramètres!$A$1:$I$89,5,0)</f>
        <v>195.76439999999985</v>
      </c>
      <c r="DQ135" s="13">
        <f t="shared" si="151"/>
        <v>48.812154563023455</v>
      </c>
      <c r="DR135" s="20">
        <f t="shared" si="124"/>
        <v>425.9708325305989</v>
      </c>
      <c r="DS135" s="59">
        <f t="shared" si="125"/>
        <v>719.30416586393221</v>
      </c>
      <c r="DT135" s="59">
        <f ca="1">AVERAGE(OFFSET($DS$3,0,0,'Données projet'!$E$14+1,1))-AVERAGE(OFFSET($H$3,0,0,'Données projet'!$E$14+1,1))</f>
        <v>278.45534008146865</v>
      </c>
      <c r="DU135" s="59">
        <f t="shared" si="152"/>
        <v>272.97841038165217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7.6866536152326308</v>
      </c>
      <c r="EB135" s="21">
        <f>EXP(-LN(2)/25)*EB134+(1-EXP(-LN(2)/25))/(LN(2)/25)*Calculateur!DW135*Calculateur!DY135*VLOOKUP('Données projet'!$B$14,Paramètres!$A$1:$I$89,3,0)*0.475*44/12</f>
        <v>1.4728773333593663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9.1595309485919962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5.6843418860808015E-13</v>
      </c>
      <c r="EK135" s="17">
        <f>EJ135*VLOOKUP('Données projet'!$B$15,Paramètres!$A$1:$I$89,3,0)*VLOOKUP('Données projet'!$B$15,Paramètres!$A$1:$I$89,5,0)</f>
        <v>6.1186256061773743E-13</v>
      </c>
      <c r="EL135" s="13">
        <f t="shared" si="153"/>
        <v>7.4445668332430206E-12</v>
      </c>
      <c r="EM135" s="20">
        <f t="shared" si="127"/>
        <v>1.4031614527640822E-11</v>
      </c>
      <c r="EN135" s="59">
        <f t="shared" si="128"/>
        <v>293.33333333334735</v>
      </c>
      <c r="EO135" s="59">
        <f ca="1">AVERAGE(OFFSET($EN$3,0,0,'Données projet'!$E$15+1,1))-AVERAGE(OFFSET($H$3,0,0,'Données projet'!$E$15+1,1))</f>
        <v>449.09332781196957</v>
      </c>
      <c r="EP135" s="59">
        <f t="shared" si="154"/>
        <v>324.85904971519432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199.42533765904113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199.42533765904113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5.6843418860808015E-13</v>
      </c>
      <c r="FF135" s="17">
        <f>FE135*VLOOKUP('Données projet'!$B$16,Paramètres!$A$1:$I$89,3,0)*VLOOKUP('Données projet'!$B$16,Paramètres!$A$1:$I$89,5,0)</f>
        <v>5.763922672485933E-13</v>
      </c>
      <c r="FG135" s="13">
        <f t="shared" si="155"/>
        <v>7.0619171555808457E-12</v>
      </c>
      <c r="FH135" s="20">
        <f t="shared" si="130"/>
        <v>1.3303388911427938E-11</v>
      </c>
      <c r="FI135" s="59">
        <f t="shared" si="131"/>
        <v>293.33333333334662</v>
      </c>
      <c r="FJ135" s="59">
        <f ca="1">AVERAGE(OFFSET($FI$3,0,0,'Données projet'!$E$16+1,1))-AVERAGE(OFFSET($H$3,0,0,'Données projet'!$E$16+1,1))</f>
        <v>419.51168383014721</v>
      </c>
      <c r="FK135" s="59">
        <f t="shared" si="156"/>
        <v>213.44145308833384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187.8644485193866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187.8644485193866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266.99999999999983</v>
      </c>
      <c r="GA135" s="17">
        <f>FZ135*VLOOKUP('Données projet'!$B$17,Paramètres!$A$1:$I$89,3,0)*VLOOKUP('Données projet'!$B$17,Paramètres!$A$1:$I$89,5,0)</f>
        <v>233.2511999999999</v>
      </c>
      <c r="GB135" s="13">
        <f t="shared" si="157"/>
        <v>56.985091661350864</v>
      </c>
      <c r="GC135" s="20">
        <f t="shared" si="133"/>
        <v>505.49487464351915</v>
      </c>
      <c r="GD135" s="59">
        <f t="shared" si="134"/>
        <v>798.82820797685247</v>
      </c>
      <c r="GE135" s="59">
        <f ca="1">AVERAGE(OFFSET($GD$3,0,0,'Données projet'!$E$17+1,1))-AVERAGE(OFFSET($H$3,0,0,'Données projet'!$E$17+1,1))</f>
        <v>324.86930206492627</v>
      </c>
      <c r="GF135" s="59">
        <f t="shared" si="158"/>
        <v>317.03005098025352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11.288465081647908</v>
      </c>
      <c r="GM135" s="21">
        <f>EXP(-LN(2)/25)*GM134+(1-EXP(-LN(2)/25))/(LN(2)/25)*Calculateur!GH135*Calculateur!GJ135*VLOOKUP('Données projet'!$B$17,Paramètres!$A$1:$I$89,3,0)*0.475*44/12</f>
        <v>2.1630380630433459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13.451503144691255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5.6843418860808015E-13</v>
      </c>
      <c r="GV135" s="17">
        <f>GU135*VLOOKUP('Données projet'!$B$18,Paramètres!$A$1:$I$89,3,0)*VLOOKUP('Données projet'!$B$18,Paramètres!$A$1:$I$89,5,0)</f>
        <v>5.4092197387944907E-13</v>
      </c>
      <c r="GW135" s="13">
        <f t="shared" si="159"/>
        <v>6.6765148417791561E-12</v>
      </c>
      <c r="GX135" s="20">
        <f t="shared" si="136"/>
        <v>1.2570369120605403E-11</v>
      </c>
      <c r="GY135" s="59">
        <f t="shared" si="137"/>
        <v>293.33333333334588</v>
      </c>
      <c r="GZ135" s="59">
        <f ca="1">AVERAGE(OFFSET($GY$3,0,0,'Données projet'!$E$18+1,1))-AVERAGE(OFFSET($H$3,0,0,'Données projet'!$E$18+1,1))</f>
        <v>401.81944956556271</v>
      </c>
      <c r="HA135" s="59">
        <f t="shared" si="160"/>
        <v>292.20785523952651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176.30355937973206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176.30355937973206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5.1431925385259092E-13</v>
      </c>
      <c r="P136" s="13">
        <f t="shared" si="141"/>
        <v>6.3855359115685756E-12</v>
      </c>
      <c r="Q136" s="20">
        <f t="shared" si="108"/>
        <v>1.2017247746441865E-11</v>
      </c>
      <c r="R136" s="59">
        <f t="shared" si="109"/>
        <v>293.33333333334531</v>
      </c>
      <c r="S136" s="59">
        <f ca="1">AVERAGE(OFFSET($R$3,0,0,'Données projet'!$E$9+1,1))-AVERAGE(OFFSET($H$3,0,0,'Données projet'!$E$9+1,1))</f>
        <v>384.05928630855732</v>
      </c>
      <c r="T136" s="59">
        <f t="shared" si="142"/>
        <v>279.93992813630513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-6.3550942286383367E-14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335.04906256888819</v>
      </c>
      <c r="AO136" s="59">
        <f t="shared" si="144"/>
        <v>440.84111898279554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48.36179878420338</v>
      </c>
      <c r="AV136" s="21">
        <f>EXP(-LN(2)/25)*AV135+(1-EXP(-LN(2)/25))/(LN(2)/25)*Calculateur!AQ136*Calculateur!AS136*VLOOKUP('Données projet'!$B$10,Paramètres!$A$1:$I$89,3,0)*0.475*44/12</f>
        <v>6.626234509300402</v>
      </c>
      <c r="AW136" s="21">
        <f>EXP(-LN(2)/2)*AW135+(1-EXP(-LN(2)/2))/(LN(2)/2)*AQ136*AT136*VLOOKUP('Données projet'!$B$10,Paramètres!$A$1:$I$89,3,0)*0.475*44/12</f>
        <v>6.2139049994789226E-11</v>
      </c>
      <c r="AX136" s="21">
        <f t="shared" si="114"/>
        <v>54.98803329356592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-1.4210854715202004E-13</v>
      </c>
      <c r="BE136" s="13">
        <f>BD136*VLOOKUP('Données projet'!$B$11,Paramètres!$A$1:$I$89,3,0)*VLOOKUP('Données projet'!$B$11,Paramètres!$A$1:$I$89,5,0)</f>
        <v>-8.128608897095547E-14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320.76883487964511</v>
      </c>
      <c r="BJ136" s="59">
        <f t="shared" si="146"/>
        <v>290.51177680335746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57.963365613990106</v>
      </c>
      <c r="BQ136" s="21">
        <f>EXP(-LN(2)/25)*BQ135+(1-EXP(-LN(2)/25))/(LN(2)/25)*Calculateur!BL136*Calculateur!BN136*VLOOKUP('Données projet'!$B$11,Paramètres!$A$1:$I$89,3,0)*0.475*44/12</f>
        <v>10.123245069066874</v>
      </c>
      <c r="BR136" s="21">
        <f>EXP(-LN(2)/2)*BR135+(1-EXP(-LN(2)/2))/(LN(2)/2)*BL136*BO136*VLOOKUP('Données projet'!$B$11,Paramètres!$A$1:$I$89,3,0)*0.475*44/12</f>
        <v>1.0729689838679883E-5</v>
      </c>
      <c r="BS136" s="22">
        <f t="shared" si="117"/>
        <v>68.086621412746808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304.99999999999983</v>
      </c>
      <c r="BZ136" s="13">
        <f>BY136*VLOOKUP('Données projet'!$B$12,Paramètres!$A$1:$I$89,3,0)*VLOOKUP('Données projet'!$B$12,Paramètres!$A$1:$I$89,5,0)</f>
        <v>275.96399999999983</v>
      </c>
      <c r="CA136" s="13">
        <f t="shared" si="147"/>
        <v>66.113366665488854</v>
      </c>
      <c r="CB136" s="20">
        <f t="shared" si="118"/>
        <v>595.78474694239264</v>
      </c>
      <c r="CC136" s="59">
        <f t="shared" si="119"/>
        <v>889.11808027572602</v>
      </c>
      <c r="CD136" s="59">
        <f ca="1">AVERAGE(OFFSET($CC$3,0,0,'Données projet'!$E$12+1,1))-AVERAGE(OFFSET($H$3,0,0,'Données projet'!$E$12+1,1))</f>
        <v>366.69125512029831</v>
      </c>
      <c r="CE136" s="59">
        <f t="shared" si="148"/>
        <v>513.80016421153414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0.2101961518426366</v>
      </c>
      <c r="CL136" s="21">
        <f>EXP(-LN(2)/25)*CL135+(1-EXP(-LN(2)/25))/(LN(2)/25)*Calculateur!CG136*Calculateur!CI136*VLOOKUP('Données projet'!$B$12,Paramètres!$A$1:$I$89,3,0)*0.475*44/12</f>
        <v>0.42460933946189511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0.63480549130453168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5.6843418860808015E-13</v>
      </c>
      <c r="CU136" s="17">
        <f>CT136*VLOOKUP('Données projet'!$B$13,Paramètres!$A$1:$I$89,3,0)*VLOOKUP('Données projet'!$B$13,Paramètres!$A$1:$I$89,5,0)</f>
        <v>3.8130565371830017E-13</v>
      </c>
      <c r="CV136" s="13">
        <f t="shared" si="149"/>
        <v>4.9019074112354236E-12</v>
      </c>
      <c r="CW136" s="20">
        <f t="shared" si="121"/>
        <v>9.2015960881277352E-12</v>
      </c>
      <c r="CX136" s="59">
        <f t="shared" si="122"/>
        <v>293.33333333334252</v>
      </c>
      <c r="CY136" s="59">
        <f ca="1">AVERAGE(OFFSET($CX$3,0,0,'Données projet'!$E$13+1,1))-AVERAGE(OFFSET($H$3,0,0,'Données projet'!$E$13+1,1))</f>
        <v>294.94331863127815</v>
      </c>
      <c r="CZ136" s="59">
        <f t="shared" si="150"/>
        <v>218.36990036643977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150.17797980470448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150.17797980470448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266.99999999999983</v>
      </c>
      <c r="DP136" s="17">
        <f>DO136*VLOOKUP('Données projet'!$B$14,Paramètres!$A$1:$I$89,3,0)*VLOOKUP('Données projet'!$B$14,Paramètres!$A$1:$I$89,5,0)</f>
        <v>195.76439999999985</v>
      </c>
      <c r="DQ136" s="13">
        <f t="shared" si="151"/>
        <v>48.812154563023455</v>
      </c>
      <c r="DR136" s="20">
        <f t="shared" si="124"/>
        <v>425.9708325305989</v>
      </c>
      <c r="DS136" s="59">
        <f t="shared" si="125"/>
        <v>719.30416586393221</v>
      </c>
      <c r="DT136" s="59">
        <f ca="1">AVERAGE(OFFSET($DS$3,0,0,'Données projet'!$E$14+1,1))-AVERAGE(OFFSET($H$3,0,0,'Données projet'!$E$14+1,1))</f>
        <v>278.45534008146865</v>
      </c>
      <c r="DU136" s="59">
        <f t="shared" si="152"/>
        <v>272.97841038165217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7.5359230262336832</v>
      </c>
      <c r="EB136" s="21">
        <f>EXP(-LN(2)/25)*EB135+(1-EXP(-LN(2)/25))/(LN(2)/25)*Calculateur!DW136*Calculateur!DY136*VLOOKUP('Données projet'!$B$14,Paramètres!$A$1:$I$89,3,0)*0.475*44/12</f>
        <v>1.4326014252234018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8.9685244514570854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5.6843418860808015E-13</v>
      </c>
      <c r="EK136" s="17">
        <f>EJ136*VLOOKUP('Données projet'!$B$15,Paramètres!$A$1:$I$89,3,0)*VLOOKUP('Données projet'!$B$15,Paramètres!$A$1:$I$89,5,0)</f>
        <v>6.1186256061773743E-13</v>
      </c>
      <c r="EL136" s="13">
        <f t="shared" si="153"/>
        <v>7.4445668332430206E-12</v>
      </c>
      <c r="EM136" s="20">
        <f t="shared" si="127"/>
        <v>1.4031614527640822E-11</v>
      </c>
      <c r="EN136" s="59">
        <f t="shared" si="128"/>
        <v>293.33333333334735</v>
      </c>
      <c r="EO136" s="59">
        <f ca="1">AVERAGE(OFFSET($EN$3,0,0,'Données projet'!$E$15+1,1))-AVERAGE(OFFSET($H$3,0,0,'Données projet'!$E$15+1,1))</f>
        <v>449.09332781196957</v>
      </c>
      <c r="EP136" s="59">
        <f t="shared" si="154"/>
        <v>324.85904971519432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195.5147284249926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195.5147284249926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5.6843418860808015E-13</v>
      </c>
      <c r="FF136" s="17">
        <f>FE136*VLOOKUP('Données projet'!$B$16,Paramètres!$A$1:$I$89,3,0)*VLOOKUP('Données projet'!$B$16,Paramètres!$A$1:$I$89,5,0)</f>
        <v>5.763922672485933E-13</v>
      </c>
      <c r="FG136" s="13">
        <f t="shared" si="155"/>
        <v>7.0619171555808457E-12</v>
      </c>
      <c r="FH136" s="20">
        <f t="shared" si="130"/>
        <v>1.3303388911427938E-11</v>
      </c>
      <c r="FI136" s="59">
        <f t="shared" si="131"/>
        <v>293.33333333334662</v>
      </c>
      <c r="FJ136" s="59">
        <f ca="1">AVERAGE(OFFSET($FI$3,0,0,'Données projet'!$E$16+1,1))-AVERAGE(OFFSET($H$3,0,0,'Données projet'!$E$16+1,1))</f>
        <v>419.51168383014721</v>
      </c>
      <c r="FK136" s="59">
        <f t="shared" si="156"/>
        <v>213.44145308833384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184.18054126992061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184.18054126992061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266.99999999999983</v>
      </c>
      <c r="GA136" s="17">
        <f>FZ136*VLOOKUP('Données projet'!$B$17,Paramètres!$A$1:$I$89,3,0)*VLOOKUP('Données projet'!$B$17,Paramètres!$A$1:$I$89,5,0)</f>
        <v>233.2511999999999</v>
      </c>
      <c r="GB136" s="13">
        <f t="shared" si="157"/>
        <v>56.985091661350864</v>
      </c>
      <c r="GC136" s="20">
        <f t="shared" si="133"/>
        <v>505.49487464351915</v>
      </c>
      <c r="GD136" s="59">
        <f t="shared" si="134"/>
        <v>798.82820797685247</v>
      </c>
      <c r="GE136" s="59">
        <f ca="1">AVERAGE(OFFSET($GD$3,0,0,'Données projet'!$E$17+1,1))-AVERAGE(OFFSET($H$3,0,0,'Données projet'!$E$17+1,1))</f>
        <v>324.86930206492627</v>
      </c>
      <c r="GF136" s="59">
        <f t="shared" si="158"/>
        <v>317.03005098025352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11.067105166680628</v>
      </c>
      <c r="GM136" s="21">
        <f>EXP(-LN(2)/25)*GM135+(1-EXP(-LN(2)/25))/(LN(2)/25)*Calculateur!GH136*Calculateur!GJ136*VLOOKUP('Données projet'!$B$17,Paramètres!$A$1:$I$89,3,0)*0.475*44/12</f>
        <v>2.1038896734601975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13.170994840140825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5.6843418860808015E-13</v>
      </c>
      <c r="GV136" s="17">
        <f>GU136*VLOOKUP('Données projet'!$B$18,Paramètres!$A$1:$I$89,3,0)*VLOOKUP('Données projet'!$B$18,Paramètres!$A$1:$I$89,5,0)</f>
        <v>5.4092197387944907E-13</v>
      </c>
      <c r="GW136" s="13">
        <f t="shared" si="159"/>
        <v>6.6765148417791561E-12</v>
      </c>
      <c r="GX136" s="20">
        <f t="shared" si="136"/>
        <v>1.2570369120605403E-11</v>
      </c>
      <c r="GY136" s="59">
        <f t="shared" si="137"/>
        <v>293.33333333334588</v>
      </c>
      <c r="GZ136" s="59">
        <f ca="1">AVERAGE(OFFSET($GY$3,0,0,'Données projet'!$E$18+1,1))-AVERAGE(OFFSET($H$3,0,0,'Données projet'!$E$18+1,1))</f>
        <v>401.81944956556271</v>
      </c>
      <c r="HA136" s="59">
        <f t="shared" si="160"/>
        <v>292.20785523952651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172.84635411484859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172.84635411484859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5.1431925385259092E-13</v>
      </c>
      <c r="P137" s="13">
        <f t="shared" si="141"/>
        <v>6.3855359115685756E-12</v>
      </c>
      <c r="Q137" s="20">
        <f t="shared" si="108"/>
        <v>1.2017247746441865E-11</v>
      </c>
      <c r="R137" s="59">
        <f t="shared" si="109"/>
        <v>293.33333333334531</v>
      </c>
      <c r="S137" s="59">
        <f ca="1">AVERAGE(OFFSET($R$3,0,0,'Données projet'!$E$9+1,1))-AVERAGE(OFFSET($H$3,0,0,'Données projet'!$E$9+1,1))</f>
        <v>384.05928630855732</v>
      </c>
      <c r="T137" s="59">
        <f t="shared" si="142"/>
        <v>279.93992813630513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-6.3550942286383367E-14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335.04906256888819</v>
      </c>
      <c r="AO137" s="59">
        <f t="shared" si="144"/>
        <v>440.84111898279554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47.413453407829749</v>
      </c>
      <c r="AV137" s="21">
        <f>EXP(-LN(2)/25)*AV136+(1-EXP(-LN(2)/25))/(LN(2)/25)*Calculateur!AQ137*Calculateur!AS137*VLOOKUP('Données projet'!$B$10,Paramètres!$A$1:$I$89,3,0)*0.475*44/12</f>
        <v>6.4450397781850546</v>
      </c>
      <c r="AW137" s="21">
        <f>EXP(-LN(2)/2)*AW136+(1-EXP(-LN(2)/2))/(LN(2)/2)*AQ137*AT137*VLOOKUP('Données projet'!$B$10,Paramètres!$A$1:$I$89,3,0)*0.475*44/12</f>
        <v>4.3938943627805363E-11</v>
      </c>
      <c r="AX137" s="21">
        <f t="shared" si="114"/>
        <v>53.858493186058745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-1.4210854715202004E-13</v>
      </c>
      <c r="BE137" s="13">
        <f>BD137*VLOOKUP('Données projet'!$B$11,Paramètres!$A$1:$I$89,3,0)*VLOOKUP('Données projet'!$B$11,Paramètres!$A$1:$I$89,5,0)</f>
        <v>-8.128608897095547E-14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320.76883487964511</v>
      </c>
      <c r="BJ137" s="59">
        <f t="shared" si="146"/>
        <v>290.51177680335746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56.826739368461851</v>
      </c>
      <c r="BQ137" s="21">
        <f>EXP(-LN(2)/25)*BQ136+(1-EXP(-LN(2)/25))/(LN(2)/25)*Calculateur!BL137*Calculateur!BN137*VLOOKUP('Données projet'!$B$11,Paramètres!$A$1:$I$89,3,0)*0.475*44/12</f>
        <v>9.8464244002949197</v>
      </c>
      <c r="BR137" s="21">
        <f>EXP(-LN(2)/2)*BR136+(1-EXP(-LN(2)/2))/(LN(2)/2)*BL137*BO137*VLOOKUP('Données projet'!$B$11,Paramètres!$A$1:$I$89,3,0)*0.475*44/12</f>
        <v>7.5870364449589387E-6</v>
      </c>
      <c r="BS137" s="22">
        <f t="shared" si="117"/>
        <v>66.673171355793215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304.99999999999983</v>
      </c>
      <c r="BZ137" s="13">
        <f>BY137*VLOOKUP('Données projet'!$B$12,Paramètres!$A$1:$I$89,3,0)*VLOOKUP('Données projet'!$B$12,Paramètres!$A$1:$I$89,5,0)</f>
        <v>275.96399999999983</v>
      </c>
      <c r="CA137" s="13">
        <f t="shared" si="147"/>
        <v>66.113366665488854</v>
      </c>
      <c r="CB137" s="20">
        <f t="shared" si="118"/>
        <v>595.78474694239264</v>
      </c>
      <c r="CC137" s="59">
        <f t="shared" si="119"/>
        <v>889.11808027572602</v>
      </c>
      <c r="CD137" s="59">
        <f ca="1">AVERAGE(OFFSET($CC$3,0,0,'Données projet'!$E$12+1,1))-AVERAGE(OFFSET($H$3,0,0,'Données projet'!$E$12+1,1))</f>
        <v>366.69125512029831</v>
      </c>
      <c r="CE137" s="59">
        <f t="shared" si="148"/>
        <v>513.80016421153414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0.20607433351199572</v>
      </c>
      <c r="CL137" s="21">
        <f>EXP(-LN(2)/25)*CL136+(1-EXP(-LN(2)/25))/(LN(2)/25)*Calculateur!CG137*Calculateur!CI137*VLOOKUP('Données projet'!$B$12,Paramètres!$A$1:$I$89,3,0)*0.475*44/12</f>
        <v>0.41299837474507489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0.61907270825707061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5.6843418860808015E-13</v>
      </c>
      <c r="CU137" s="17">
        <f>CT137*VLOOKUP('Données projet'!$B$13,Paramètres!$A$1:$I$89,3,0)*VLOOKUP('Données projet'!$B$13,Paramètres!$A$1:$I$89,5,0)</f>
        <v>3.8130565371830017E-13</v>
      </c>
      <c r="CV137" s="13">
        <f t="shared" si="149"/>
        <v>4.9019074112354236E-12</v>
      </c>
      <c r="CW137" s="20">
        <f t="shared" si="121"/>
        <v>9.2015960881277352E-12</v>
      </c>
      <c r="CX137" s="59">
        <f t="shared" si="122"/>
        <v>293.33333333334252</v>
      </c>
      <c r="CY137" s="59">
        <f ca="1">AVERAGE(OFFSET($CX$3,0,0,'Données projet'!$E$13+1,1))-AVERAGE(OFFSET($H$3,0,0,'Données projet'!$E$13+1,1))</f>
        <v>294.94331863127815</v>
      </c>
      <c r="CZ137" s="59">
        <f t="shared" si="150"/>
        <v>218.36990036643977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147.23308122025719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147.23308122025719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266.99999999999983</v>
      </c>
      <c r="DP137" s="17">
        <f>DO137*VLOOKUP('Données projet'!$B$14,Paramètres!$A$1:$I$89,3,0)*VLOOKUP('Données projet'!$B$14,Paramètres!$A$1:$I$89,5,0)</f>
        <v>195.76439999999985</v>
      </c>
      <c r="DQ137" s="13">
        <f t="shared" si="151"/>
        <v>48.812154563023455</v>
      </c>
      <c r="DR137" s="20">
        <f t="shared" si="124"/>
        <v>425.9708325305989</v>
      </c>
      <c r="DS137" s="59">
        <f t="shared" si="125"/>
        <v>719.30416586393221</v>
      </c>
      <c r="DT137" s="59">
        <f ca="1">AVERAGE(OFFSET($DS$3,0,0,'Données projet'!$E$14+1,1))-AVERAGE(OFFSET($H$3,0,0,'Données projet'!$E$14+1,1))</f>
        <v>278.45534008146865</v>
      </c>
      <c r="DU137" s="59">
        <f t="shared" si="152"/>
        <v>272.97841038165217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7.3881481721484237</v>
      </c>
      <c r="EB137" s="21">
        <f>EXP(-LN(2)/25)*EB136+(1-EXP(-LN(2)/25))/(LN(2)/25)*Calculateur!DW137*Calculateur!DY137*VLOOKUP('Données projet'!$B$14,Paramètres!$A$1:$I$89,3,0)*0.475*44/12</f>
        <v>1.3934268639134333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8.7815750360618576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5.6843418860808015E-13</v>
      </c>
      <c r="EK137" s="17">
        <f>EJ137*VLOOKUP('Données projet'!$B$15,Paramètres!$A$1:$I$89,3,0)*VLOOKUP('Données projet'!$B$15,Paramètres!$A$1:$I$89,5,0)</f>
        <v>6.1186256061773743E-13</v>
      </c>
      <c r="EL137" s="13">
        <f t="shared" si="153"/>
        <v>7.4445668332430206E-12</v>
      </c>
      <c r="EM137" s="20">
        <f t="shared" si="127"/>
        <v>1.4031614527640822E-11</v>
      </c>
      <c r="EN137" s="59">
        <f t="shared" si="128"/>
        <v>293.33333333334735</v>
      </c>
      <c r="EO137" s="59">
        <f ca="1">AVERAGE(OFFSET($EN$3,0,0,'Données projet'!$E$15+1,1))-AVERAGE(OFFSET($H$3,0,0,'Données projet'!$E$15+1,1))</f>
        <v>449.09332781196957</v>
      </c>
      <c r="EP137" s="59">
        <f t="shared" si="154"/>
        <v>324.85904971519432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191.68080385278765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191.68080385278765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5.6843418860808015E-13</v>
      </c>
      <c r="FF137" s="17">
        <f>FE137*VLOOKUP('Données projet'!$B$16,Paramètres!$A$1:$I$89,3,0)*VLOOKUP('Données projet'!$B$16,Paramètres!$A$1:$I$89,5,0)</f>
        <v>5.763922672485933E-13</v>
      </c>
      <c r="FG137" s="13">
        <f t="shared" si="155"/>
        <v>7.0619171555808457E-12</v>
      </c>
      <c r="FH137" s="20">
        <f t="shared" si="130"/>
        <v>1.3303388911427938E-11</v>
      </c>
      <c r="FI137" s="59">
        <f t="shared" si="131"/>
        <v>293.33333333334662</v>
      </c>
      <c r="FJ137" s="59">
        <f ca="1">AVERAGE(OFFSET($FI$3,0,0,'Données projet'!$E$16+1,1))-AVERAGE(OFFSET($H$3,0,0,'Données projet'!$E$16+1,1))</f>
        <v>419.51168383014721</v>
      </c>
      <c r="FK137" s="59">
        <f t="shared" si="156"/>
        <v>213.44145308833384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180.56887319465508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180.56887319465508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266.99999999999983</v>
      </c>
      <c r="GA137" s="17">
        <f>FZ137*VLOOKUP('Données projet'!$B$17,Paramètres!$A$1:$I$89,3,0)*VLOOKUP('Données projet'!$B$17,Paramètres!$A$1:$I$89,5,0)</f>
        <v>233.2511999999999</v>
      </c>
      <c r="GB137" s="13">
        <f t="shared" si="157"/>
        <v>56.985091661350864</v>
      </c>
      <c r="GC137" s="20">
        <f t="shared" si="133"/>
        <v>505.49487464351915</v>
      </c>
      <c r="GD137" s="59">
        <f t="shared" si="134"/>
        <v>798.82820797685247</v>
      </c>
      <c r="GE137" s="59">
        <f ca="1">AVERAGE(OFFSET($GD$3,0,0,'Données projet'!$E$17+1,1))-AVERAGE(OFFSET($H$3,0,0,'Données projet'!$E$17+1,1))</f>
        <v>324.86930206492627</v>
      </c>
      <c r="GF137" s="59">
        <f t="shared" si="158"/>
        <v>317.03005098025352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10.85008598462964</v>
      </c>
      <c r="GM137" s="21">
        <f>EXP(-LN(2)/25)*GM136+(1-EXP(-LN(2)/25))/(LN(2)/25)*Calculateur!GH137*Calculateur!GJ137*VLOOKUP('Données projet'!$B$17,Paramètres!$A$1:$I$89,3,0)*0.475*44/12</f>
        <v>2.0463586997006789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12.896444684330319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5.6843418860808015E-13</v>
      </c>
      <c r="GV137" s="17">
        <f>GU137*VLOOKUP('Données projet'!$B$18,Paramètres!$A$1:$I$89,3,0)*VLOOKUP('Données projet'!$B$18,Paramètres!$A$1:$I$89,5,0)</f>
        <v>5.4092197387944907E-13</v>
      </c>
      <c r="GW137" s="13">
        <f t="shared" si="159"/>
        <v>6.6765148417791561E-12</v>
      </c>
      <c r="GX137" s="20">
        <f t="shared" si="136"/>
        <v>1.2570369120605403E-11</v>
      </c>
      <c r="GY137" s="59">
        <f t="shared" si="137"/>
        <v>293.33333333334588</v>
      </c>
      <c r="GZ137" s="59">
        <f ca="1">AVERAGE(OFFSET($GY$3,0,0,'Données projet'!$E$18+1,1))-AVERAGE(OFFSET($H$3,0,0,'Données projet'!$E$18+1,1))</f>
        <v>401.81944956556271</v>
      </c>
      <c r="HA137" s="59">
        <f t="shared" si="160"/>
        <v>292.20785523952651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169.45694253652249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169.45694253652249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5.1431925385259092E-13</v>
      </c>
      <c r="P138" s="13">
        <f t="shared" si="141"/>
        <v>6.3855359115685756E-12</v>
      </c>
      <c r="Q138" s="20">
        <f t="shared" si="108"/>
        <v>1.2017247746441865E-11</v>
      </c>
      <c r="R138" s="59">
        <f t="shared" si="109"/>
        <v>293.33333333334531</v>
      </c>
      <c r="S138" s="59">
        <f ca="1">AVERAGE(OFFSET($R$3,0,0,'Données projet'!$E$9+1,1))-AVERAGE(OFFSET($H$3,0,0,'Données projet'!$E$9+1,1))</f>
        <v>384.05928630855732</v>
      </c>
      <c r="T138" s="59">
        <f t="shared" si="142"/>
        <v>279.93992813630513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-6.3550942286383367E-14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335.04906256888819</v>
      </c>
      <c r="AO138" s="59">
        <f t="shared" si="144"/>
        <v>440.84111898279554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46.48370450585324</v>
      </c>
      <c r="AV138" s="21">
        <f>EXP(-LN(2)/25)*AV137+(1-EXP(-LN(2)/25))/(LN(2)/25)*Calculateur!AQ138*Calculateur!AS138*VLOOKUP('Données projet'!$B$10,Paramètres!$A$1:$I$89,3,0)*0.475*44/12</f>
        <v>6.2687998265206728</v>
      </c>
      <c r="AW138" s="21">
        <f>EXP(-LN(2)/2)*AW137+(1-EXP(-LN(2)/2))/(LN(2)/2)*AQ138*AT138*VLOOKUP('Données projet'!$B$10,Paramètres!$A$1:$I$89,3,0)*0.475*44/12</f>
        <v>3.1069524997394613E-11</v>
      </c>
      <c r="AX138" s="21">
        <f t="shared" si="114"/>
        <v>52.752504332404982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-1.4210854715202004E-13</v>
      </c>
      <c r="BE138" s="13">
        <f>BD138*VLOOKUP('Données projet'!$B$11,Paramètres!$A$1:$I$89,3,0)*VLOOKUP('Données projet'!$B$11,Paramètres!$A$1:$I$89,5,0)</f>
        <v>-8.128608897095547E-14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320.76883487964511</v>
      </c>
      <c r="BJ138" s="59">
        <f t="shared" si="146"/>
        <v>290.51177680335746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55.712401670334849</v>
      </c>
      <c r="BQ138" s="21">
        <f>EXP(-LN(2)/25)*BQ137+(1-EXP(-LN(2)/25))/(LN(2)/25)*Calculateur!BL138*Calculateur!BN138*VLOOKUP('Données projet'!$B$11,Paramètres!$A$1:$I$89,3,0)*0.475*44/12</f>
        <v>9.5771734072678996</v>
      </c>
      <c r="BR138" s="21">
        <f>EXP(-LN(2)/2)*BR137+(1-EXP(-LN(2)/2))/(LN(2)/2)*BL138*BO138*VLOOKUP('Données projet'!$B$11,Paramètres!$A$1:$I$89,3,0)*0.475*44/12</f>
        <v>5.3648449193399421E-6</v>
      </c>
      <c r="BS138" s="22">
        <f t="shared" si="117"/>
        <v>65.289580442447672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304.99999999999983</v>
      </c>
      <c r="BZ138" s="13">
        <f>BY138*VLOOKUP('Données projet'!$B$12,Paramètres!$A$1:$I$89,3,0)*VLOOKUP('Données projet'!$B$12,Paramètres!$A$1:$I$89,5,0)</f>
        <v>275.96399999999983</v>
      </c>
      <c r="CA138" s="13">
        <f t="shared" si="147"/>
        <v>66.113366665488854</v>
      </c>
      <c r="CB138" s="20">
        <f t="shared" si="118"/>
        <v>595.78474694239264</v>
      </c>
      <c r="CC138" s="59">
        <f t="shared" si="119"/>
        <v>889.11808027572602</v>
      </c>
      <c r="CD138" s="59">
        <f ca="1">AVERAGE(OFFSET($CC$3,0,0,'Données projet'!$E$12+1,1))-AVERAGE(OFFSET($H$3,0,0,'Données projet'!$E$12+1,1))</f>
        <v>366.69125512029831</v>
      </c>
      <c r="CE138" s="59">
        <f t="shared" si="148"/>
        <v>513.80016421153414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0.20203334152475777</v>
      </c>
      <c r="CL138" s="21">
        <f>EXP(-LN(2)/25)*CL137+(1-EXP(-LN(2)/25))/(LN(2)/25)*Calculateur!CG138*Calculateur!CI138*VLOOKUP('Données projet'!$B$12,Paramètres!$A$1:$I$89,3,0)*0.475*44/12</f>
        <v>0.40170491246903023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0.603738253993788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5.6843418860808015E-13</v>
      </c>
      <c r="CU138" s="17">
        <f>CT138*VLOOKUP('Données projet'!$B$13,Paramètres!$A$1:$I$89,3,0)*VLOOKUP('Données projet'!$B$13,Paramètres!$A$1:$I$89,5,0)</f>
        <v>3.8130565371830017E-13</v>
      </c>
      <c r="CV138" s="13">
        <f t="shared" si="149"/>
        <v>4.9019074112354236E-12</v>
      </c>
      <c r="CW138" s="20">
        <f t="shared" si="121"/>
        <v>9.2015960881277352E-12</v>
      </c>
      <c r="CX138" s="59">
        <f t="shared" si="122"/>
        <v>293.33333333334252</v>
      </c>
      <c r="CY138" s="59">
        <f ca="1">AVERAGE(OFFSET($CX$3,0,0,'Données projet'!$E$13+1,1))-AVERAGE(OFFSET($H$3,0,0,'Données projet'!$E$13+1,1))</f>
        <v>294.94331863127815</v>
      </c>
      <c r="CZ138" s="59">
        <f t="shared" si="150"/>
        <v>218.36990036643977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144.34593030084014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144.34593030084014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266.99999999999983</v>
      </c>
      <c r="DP138" s="17">
        <f>DO138*VLOOKUP('Données projet'!$B$14,Paramètres!$A$1:$I$89,3,0)*VLOOKUP('Données projet'!$B$14,Paramètres!$A$1:$I$89,5,0)</f>
        <v>195.76439999999985</v>
      </c>
      <c r="DQ138" s="13">
        <f t="shared" si="151"/>
        <v>48.812154563023455</v>
      </c>
      <c r="DR138" s="20">
        <f t="shared" si="124"/>
        <v>425.9708325305989</v>
      </c>
      <c r="DS138" s="59">
        <f t="shared" si="125"/>
        <v>719.30416586393221</v>
      </c>
      <c r="DT138" s="59">
        <f ca="1">AVERAGE(OFFSET($DS$3,0,0,'Données projet'!$E$14+1,1))-AVERAGE(OFFSET($H$3,0,0,'Données projet'!$E$14+1,1))</f>
        <v>278.45534008146865</v>
      </c>
      <c r="DU138" s="59">
        <f t="shared" si="152"/>
        <v>272.97841038165217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7.2432710928180155</v>
      </c>
      <c r="EB138" s="21">
        <f>EXP(-LN(2)/25)*EB137+(1-EXP(-LN(2)/25))/(LN(2)/25)*Calculateur!DW138*Calculateur!DY138*VLOOKUP('Données projet'!$B$14,Paramètres!$A$1:$I$89,3,0)*0.475*44/12</f>
        <v>1.3553235330425863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8.5985946258606027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5.6843418860808015E-13</v>
      </c>
      <c r="EK138" s="17">
        <f>EJ138*VLOOKUP('Données projet'!$B$15,Paramètres!$A$1:$I$89,3,0)*VLOOKUP('Données projet'!$B$15,Paramètres!$A$1:$I$89,5,0)</f>
        <v>6.1186256061773743E-13</v>
      </c>
      <c r="EL138" s="13">
        <f t="shared" si="153"/>
        <v>7.4445668332430206E-12</v>
      </c>
      <c r="EM138" s="20">
        <f t="shared" si="127"/>
        <v>1.4031614527640822E-11</v>
      </c>
      <c r="EN138" s="59">
        <f t="shared" si="128"/>
        <v>293.33333333334735</v>
      </c>
      <c r="EO138" s="59">
        <f ca="1">AVERAGE(OFFSET($EN$3,0,0,'Données projet'!$E$15+1,1))-AVERAGE(OFFSET($H$3,0,0,'Données projet'!$E$15+1,1))</f>
        <v>449.09332781196957</v>
      </c>
      <c r="EP138" s="59">
        <f t="shared" si="154"/>
        <v>324.85904971519432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187.92206020298056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187.92206020298056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5.6843418860808015E-13</v>
      </c>
      <c r="FF138" s="17">
        <f>FE138*VLOOKUP('Données projet'!$B$16,Paramètres!$A$1:$I$89,3,0)*VLOOKUP('Données projet'!$B$16,Paramètres!$A$1:$I$89,5,0)</f>
        <v>5.763922672485933E-13</v>
      </c>
      <c r="FG138" s="13">
        <f t="shared" si="155"/>
        <v>7.0619171555808457E-12</v>
      </c>
      <c r="FH138" s="20">
        <f t="shared" si="130"/>
        <v>1.3303388911427938E-11</v>
      </c>
      <c r="FI138" s="59">
        <f t="shared" si="131"/>
        <v>293.33333333334662</v>
      </c>
      <c r="FJ138" s="59">
        <f ca="1">AVERAGE(OFFSET($FI$3,0,0,'Données projet'!$E$16+1,1))-AVERAGE(OFFSET($H$3,0,0,'Données projet'!$E$16+1,1))</f>
        <v>419.51168383014721</v>
      </c>
      <c r="FK138" s="59">
        <f t="shared" si="156"/>
        <v>213.44145308833384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177.0280277274455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177.0280277274455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266.99999999999983</v>
      </c>
      <c r="GA138" s="17">
        <f>FZ138*VLOOKUP('Données projet'!$B$17,Paramètres!$A$1:$I$89,3,0)*VLOOKUP('Données projet'!$B$17,Paramètres!$A$1:$I$89,5,0)</f>
        <v>233.2511999999999</v>
      </c>
      <c r="GB138" s="13">
        <f t="shared" si="157"/>
        <v>56.985091661350864</v>
      </c>
      <c r="GC138" s="20">
        <f t="shared" si="133"/>
        <v>505.49487464351915</v>
      </c>
      <c r="GD138" s="59">
        <f t="shared" si="134"/>
        <v>798.82820797685247</v>
      </c>
      <c r="GE138" s="59">
        <f ca="1">AVERAGE(OFFSET($GD$3,0,0,'Données projet'!$E$17+1,1))-AVERAGE(OFFSET($H$3,0,0,'Données projet'!$E$17+1,1))</f>
        <v>324.86930206492627</v>
      </c>
      <c r="GF138" s="59">
        <f t="shared" si="158"/>
        <v>317.03005098025352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10.63732241637004</v>
      </c>
      <c r="GM138" s="21">
        <f>EXP(-LN(2)/25)*GM137+(1-EXP(-LN(2)/25))/(LN(2)/25)*Calculateur!GH138*Calculateur!GJ138*VLOOKUP('Données projet'!$B$17,Paramètres!$A$1:$I$89,3,0)*0.475*44/12</f>
        <v>1.9904009134440368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12.627723329814076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5.6843418860808015E-13</v>
      </c>
      <c r="GV138" s="17">
        <f>GU138*VLOOKUP('Données projet'!$B$18,Paramètres!$A$1:$I$89,3,0)*VLOOKUP('Données projet'!$B$18,Paramètres!$A$1:$I$89,5,0)</f>
        <v>5.4092197387944907E-13</v>
      </c>
      <c r="GW138" s="13">
        <f t="shared" si="159"/>
        <v>6.6765148417791561E-12</v>
      </c>
      <c r="GX138" s="20">
        <f t="shared" si="136"/>
        <v>1.2570369120605403E-11</v>
      </c>
      <c r="GY138" s="59">
        <f t="shared" si="137"/>
        <v>293.33333333334588</v>
      </c>
      <c r="GZ138" s="59">
        <f ca="1">AVERAGE(OFFSET($GY$3,0,0,'Données projet'!$E$18+1,1))-AVERAGE(OFFSET($H$3,0,0,'Données projet'!$E$18+1,1))</f>
        <v>401.81944956556271</v>
      </c>
      <c r="HA138" s="59">
        <f t="shared" si="160"/>
        <v>292.20785523952651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166.13399525191042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166.13399525191042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5.1431925385259092E-13</v>
      </c>
      <c r="P139" s="13">
        <f t="shared" si="141"/>
        <v>6.3855359115685756E-12</v>
      </c>
      <c r="Q139" s="20">
        <f t="shared" si="108"/>
        <v>1.2017247746441865E-11</v>
      </c>
      <c r="R139" s="59">
        <f t="shared" si="109"/>
        <v>293.33333333334531</v>
      </c>
      <c r="S139" s="59">
        <f ca="1">AVERAGE(OFFSET($R$3,0,0,'Données projet'!$E$9+1,1))-AVERAGE(OFFSET($H$3,0,0,'Données projet'!$E$9+1,1))</f>
        <v>384.05928630855732</v>
      </c>
      <c r="T139" s="59">
        <f t="shared" si="142"/>
        <v>279.93992813630513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-6.3550942286383367E-14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335.04906256888819</v>
      </c>
      <c r="AO139" s="59">
        <f t="shared" si="144"/>
        <v>440.84111898279554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45.572187412753649</v>
      </c>
      <c r="AV139" s="21">
        <f>EXP(-LN(2)/25)*AV138+(1-EXP(-LN(2)/25))/(LN(2)/25)*Calculateur!AQ139*Calculateur!AS139*VLOOKUP('Données projet'!$B$10,Paramètres!$A$1:$I$89,3,0)*0.475*44/12</f>
        <v>6.09737916560261</v>
      </c>
      <c r="AW139" s="21">
        <f>EXP(-LN(2)/2)*AW138+(1-EXP(-LN(2)/2))/(LN(2)/2)*AQ139*AT139*VLOOKUP('Données projet'!$B$10,Paramètres!$A$1:$I$89,3,0)*0.475*44/12</f>
        <v>2.1969471813902681E-11</v>
      </c>
      <c r="AX139" s="21">
        <f t="shared" si="114"/>
        <v>51.66956657837823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-1.4210854715202004E-13</v>
      </c>
      <c r="BE139" s="13">
        <f>BD139*VLOOKUP('Données projet'!$B$11,Paramètres!$A$1:$I$89,3,0)*VLOOKUP('Données projet'!$B$11,Paramètres!$A$1:$I$89,5,0)</f>
        <v>-8.128608897095547E-14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320.76883487964511</v>
      </c>
      <c r="BJ139" s="59">
        <f t="shared" si="146"/>
        <v>290.51177680335746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54.619915454789236</v>
      </c>
      <c r="BQ139" s="21">
        <f>EXP(-LN(2)/25)*BQ138+(1-EXP(-LN(2)/25))/(LN(2)/25)*Calculateur!BL139*Calculateur!BN139*VLOOKUP('Données projet'!$B$11,Paramètres!$A$1:$I$89,3,0)*0.475*44/12</f>
        <v>9.315285096804498</v>
      </c>
      <c r="BR139" s="21">
        <f>EXP(-LN(2)/2)*BR138+(1-EXP(-LN(2)/2))/(LN(2)/2)*BL139*BO139*VLOOKUP('Données projet'!$B$11,Paramètres!$A$1:$I$89,3,0)*0.475*44/12</f>
        <v>3.7935182224794698E-6</v>
      </c>
      <c r="BS139" s="22">
        <f t="shared" si="117"/>
        <v>63.935204345111963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304.99999999999983</v>
      </c>
      <c r="BZ139" s="13">
        <f>BY139*VLOOKUP('Données projet'!$B$12,Paramètres!$A$1:$I$89,3,0)*VLOOKUP('Données projet'!$B$12,Paramètres!$A$1:$I$89,5,0)</f>
        <v>275.96399999999983</v>
      </c>
      <c r="CA139" s="13">
        <f t="shared" si="147"/>
        <v>66.113366665488854</v>
      </c>
      <c r="CB139" s="20">
        <f t="shared" si="118"/>
        <v>595.78474694239264</v>
      </c>
      <c r="CC139" s="59">
        <f t="shared" si="119"/>
        <v>889.11808027572602</v>
      </c>
      <c r="CD139" s="59">
        <f ca="1">AVERAGE(OFFSET($CC$3,0,0,'Données projet'!$E$12+1,1))-AVERAGE(OFFSET($H$3,0,0,'Données projet'!$E$12+1,1))</f>
        <v>366.69125512029831</v>
      </c>
      <c r="CE139" s="59">
        <f t="shared" si="148"/>
        <v>513.80016421153414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0.19807159092562782</v>
      </c>
      <c r="CL139" s="21">
        <f>EXP(-LN(2)/25)*CL138+(1-EXP(-LN(2)/25))/(LN(2)/25)*Calculateur!CG139*Calculateur!CI139*VLOOKUP('Données projet'!$B$12,Paramètres!$A$1:$I$89,3,0)*0.475*44/12</f>
        <v>0.39072027051282138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0.58879186143844919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5.6843418860808015E-13</v>
      </c>
      <c r="CU139" s="17">
        <f>CT139*VLOOKUP('Données projet'!$B$13,Paramètres!$A$1:$I$89,3,0)*VLOOKUP('Données projet'!$B$13,Paramètres!$A$1:$I$89,5,0)</f>
        <v>3.8130565371830017E-13</v>
      </c>
      <c r="CV139" s="13">
        <f t="shared" si="149"/>
        <v>4.9019074112354236E-12</v>
      </c>
      <c r="CW139" s="20">
        <f t="shared" si="121"/>
        <v>9.2015960881277352E-12</v>
      </c>
      <c r="CX139" s="59">
        <f t="shared" si="122"/>
        <v>293.33333333334252</v>
      </c>
      <c r="CY139" s="59">
        <f ca="1">AVERAGE(OFFSET($CX$3,0,0,'Données projet'!$E$13+1,1))-AVERAGE(OFFSET($H$3,0,0,'Données projet'!$E$13+1,1))</f>
        <v>294.94331863127815</v>
      </c>
      <c r="CZ139" s="59">
        <f t="shared" si="150"/>
        <v>218.36990036643977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141.51539464996469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141.51539464996469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266.99999999999983</v>
      </c>
      <c r="DP139" s="17">
        <f>DO139*VLOOKUP('Données projet'!$B$14,Paramètres!$A$1:$I$89,3,0)*VLOOKUP('Données projet'!$B$14,Paramètres!$A$1:$I$89,5,0)</f>
        <v>195.76439999999985</v>
      </c>
      <c r="DQ139" s="13">
        <f t="shared" si="151"/>
        <v>48.812154563023455</v>
      </c>
      <c r="DR139" s="20">
        <f t="shared" si="124"/>
        <v>425.9708325305989</v>
      </c>
      <c r="DS139" s="59">
        <f t="shared" si="125"/>
        <v>719.30416586393221</v>
      </c>
      <c r="DT139" s="59">
        <f ca="1">AVERAGE(OFFSET($DS$3,0,0,'Données projet'!$E$14+1,1))-AVERAGE(OFFSET($H$3,0,0,'Données projet'!$E$14+1,1))</f>
        <v>278.45534008146865</v>
      </c>
      <c r="DU139" s="59">
        <f t="shared" si="152"/>
        <v>272.97841038165217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7.1012349646469834</v>
      </c>
      <c r="EB139" s="21">
        <f>EXP(-LN(2)/25)*EB138+(1-EXP(-LN(2)/25))/(LN(2)/25)*Calculateur!DW139*Calculateur!DY139*VLOOKUP('Données projet'!$B$14,Paramètres!$A$1:$I$89,3,0)*0.475*44/12</f>
        <v>1.3182621397581697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8.4194971044051528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5.6843418860808015E-13</v>
      </c>
      <c r="EK139" s="17">
        <f>EJ139*VLOOKUP('Données projet'!$B$15,Paramètres!$A$1:$I$89,3,0)*VLOOKUP('Données projet'!$B$15,Paramètres!$A$1:$I$89,5,0)</f>
        <v>6.1186256061773743E-13</v>
      </c>
      <c r="EL139" s="13">
        <f t="shared" si="153"/>
        <v>7.4445668332430206E-12</v>
      </c>
      <c r="EM139" s="20">
        <f t="shared" si="127"/>
        <v>1.4031614527640822E-11</v>
      </c>
      <c r="EN139" s="59">
        <f t="shared" si="128"/>
        <v>293.33333333334735</v>
      </c>
      <c r="EO139" s="59">
        <f ca="1">AVERAGE(OFFSET($EN$3,0,0,'Données projet'!$E$15+1,1))-AVERAGE(OFFSET($H$3,0,0,'Données projet'!$E$15+1,1))</f>
        <v>449.09332781196957</v>
      </c>
      <c r="EP139" s="59">
        <f t="shared" si="154"/>
        <v>324.85904971519432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184.23702322353893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184.23702322353893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5.6843418860808015E-13</v>
      </c>
      <c r="FF139" s="17">
        <f>FE139*VLOOKUP('Données projet'!$B$16,Paramètres!$A$1:$I$89,3,0)*VLOOKUP('Données projet'!$B$16,Paramètres!$A$1:$I$89,5,0)</f>
        <v>5.763922672485933E-13</v>
      </c>
      <c r="FG139" s="13">
        <f t="shared" si="155"/>
        <v>7.0619171555808457E-12</v>
      </c>
      <c r="FH139" s="20">
        <f t="shared" si="130"/>
        <v>1.3303388911427938E-11</v>
      </c>
      <c r="FI139" s="59">
        <f t="shared" si="131"/>
        <v>293.33333333334662</v>
      </c>
      <c r="FJ139" s="59">
        <f ca="1">AVERAGE(OFFSET($FI$3,0,0,'Données projet'!$E$16+1,1))-AVERAGE(OFFSET($H$3,0,0,'Données projet'!$E$16+1,1))</f>
        <v>419.51168383014721</v>
      </c>
      <c r="FK139" s="59">
        <f t="shared" si="156"/>
        <v>213.44145308833384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173.55661608014543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173.55661608014543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266.99999999999983</v>
      </c>
      <c r="GA139" s="17">
        <f>FZ139*VLOOKUP('Données projet'!$B$17,Paramètres!$A$1:$I$89,3,0)*VLOOKUP('Données projet'!$B$17,Paramètres!$A$1:$I$89,5,0)</f>
        <v>233.2511999999999</v>
      </c>
      <c r="GB139" s="13">
        <f t="shared" si="157"/>
        <v>56.985091661350864</v>
      </c>
      <c r="GC139" s="20">
        <f t="shared" si="133"/>
        <v>505.49487464351915</v>
      </c>
      <c r="GD139" s="59">
        <f t="shared" si="134"/>
        <v>798.82820797685247</v>
      </c>
      <c r="GE139" s="59">
        <f ca="1">AVERAGE(OFFSET($GD$3,0,0,'Données projet'!$E$17+1,1))-AVERAGE(OFFSET($H$3,0,0,'Données projet'!$E$17+1,1))</f>
        <v>324.86930206492627</v>
      </c>
      <c r="GF139" s="59">
        <f t="shared" si="158"/>
        <v>317.03005098025352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10.428731011911049</v>
      </c>
      <c r="GM139" s="21">
        <f>EXP(-LN(2)/25)*GM138+(1-EXP(-LN(2)/25))/(LN(2)/25)*Calculateur!GH139*Calculateur!GJ139*VLOOKUP('Données projet'!$B$17,Paramètres!$A$1:$I$89,3,0)*0.475*44/12</f>
        <v>1.9359732957952747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12.364704307706324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5.6843418860808015E-13</v>
      </c>
      <c r="GV139" s="17">
        <f>GU139*VLOOKUP('Données projet'!$B$18,Paramètres!$A$1:$I$89,3,0)*VLOOKUP('Données projet'!$B$18,Paramètres!$A$1:$I$89,5,0)</f>
        <v>5.4092197387944907E-13</v>
      </c>
      <c r="GW139" s="13">
        <f t="shared" si="159"/>
        <v>6.6765148417791561E-12</v>
      </c>
      <c r="GX139" s="20">
        <f t="shared" si="136"/>
        <v>1.2570369120605403E-11</v>
      </c>
      <c r="GY139" s="59">
        <f t="shared" si="137"/>
        <v>293.33333333334588</v>
      </c>
      <c r="GZ139" s="59">
        <f ca="1">AVERAGE(OFFSET($GY$3,0,0,'Données projet'!$E$18+1,1))-AVERAGE(OFFSET($H$3,0,0,'Données projet'!$E$18+1,1))</f>
        <v>401.81944956556271</v>
      </c>
      <c r="HA139" s="59">
        <f t="shared" si="160"/>
        <v>292.20785523952651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162.87620893675188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162.87620893675188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5.1431925385259092E-13</v>
      </c>
      <c r="P140" s="13">
        <f t="shared" si="141"/>
        <v>6.3855359115685756E-12</v>
      </c>
      <c r="Q140" s="20">
        <f t="shared" si="108"/>
        <v>1.2017247746441865E-11</v>
      </c>
      <c r="R140" s="59">
        <f t="shared" si="109"/>
        <v>293.33333333334531</v>
      </c>
      <c r="S140" s="59">
        <f ca="1">AVERAGE(OFFSET($R$3,0,0,'Données projet'!$E$9+1,1))-AVERAGE(OFFSET($H$3,0,0,'Données projet'!$E$9+1,1))</f>
        <v>384.05928630855732</v>
      </c>
      <c r="T140" s="59">
        <f t="shared" si="142"/>
        <v>279.93992813630513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-6.3550942286383367E-14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335.04906256888819</v>
      </c>
      <c r="AO140" s="59">
        <f t="shared" si="144"/>
        <v>440.84111898279554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44.678544613879218</v>
      </c>
      <c r="AV140" s="21">
        <f>EXP(-LN(2)/25)*AV139+(1-EXP(-LN(2)/25))/(LN(2)/25)*Calculateur!AQ140*Calculateur!AS140*VLOOKUP('Données projet'!$B$10,Paramètres!$A$1:$I$89,3,0)*0.475*44/12</f>
        <v>5.9306460116719721</v>
      </c>
      <c r="AW140" s="21">
        <f>EXP(-LN(2)/2)*AW139+(1-EXP(-LN(2)/2))/(LN(2)/2)*AQ140*AT140*VLOOKUP('Données projet'!$B$10,Paramètres!$A$1:$I$89,3,0)*0.475*44/12</f>
        <v>1.5534762498697307E-11</v>
      </c>
      <c r="AX140" s="21">
        <f t="shared" si="114"/>
        <v>50.609190625566725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-1.4210854715202004E-13</v>
      </c>
      <c r="BE140" s="13">
        <f>BD140*VLOOKUP('Données projet'!$B$11,Paramètres!$A$1:$I$89,3,0)*VLOOKUP('Données projet'!$B$11,Paramètres!$A$1:$I$89,5,0)</f>
        <v>-8.128608897095547E-14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320.76883487964511</v>
      </c>
      <c r="BJ140" s="59">
        <f t="shared" si="146"/>
        <v>290.51177680335746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53.54885222757968</v>
      </c>
      <c r="BQ140" s="21">
        <f>EXP(-LN(2)/25)*BQ139+(1-EXP(-LN(2)/25))/(LN(2)/25)*Calculateur!BL140*Calculateur!BN140*VLOOKUP('Données projet'!$B$11,Paramètres!$A$1:$I$89,3,0)*0.475*44/12</f>
        <v>9.0605581359628253</v>
      </c>
      <c r="BR140" s="21">
        <f>EXP(-LN(2)/2)*BR139+(1-EXP(-LN(2)/2))/(LN(2)/2)*BL140*BO140*VLOOKUP('Données projet'!$B$11,Paramètres!$A$1:$I$89,3,0)*0.475*44/12</f>
        <v>2.6824224596699715E-6</v>
      </c>
      <c r="BS140" s="22">
        <f t="shared" si="117"/>
        <v>62.60941304596497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304.99999999999983</v>
      </c>
      <c r="BZ140" s="13">
        <f>BY140*VLOOKUP('Données projet'!$B$12,Paramètres!$A$1:$I$89,3,0)*VLOOKUP('Données projet'!$B$12,Paramètres!$A$1:$I$89,5,0)</f>
        <v>275.96399999999983</v>
      </c>
      <c r="CA140" s="13">
        <f t="shared" si="147"/>
        <v>66.113366665488854</v>
      </c>
      <c r="CB140" s="20">
        <f t="shared" si="118"/>
        <v>595.78474694239264</v>
      </c>
      <c r="CC140" s="59">
        <f t="shared" si="119"/>
        <v>889.11808027572602</v>
      </c>
      <c r="CD140" s="59">
        <f ca="1">AVERAGE(OFFSET($CC$3,0,0,'Données projet'!$E$12+1,1))-AVERAGE(OFFSET($H$3,0,0,'Données projet'!$E$12+1,1))</f>
        <v>366.69125512029831</v>
      </c>
      <c r="CE140" s="59">
        <f t="shared" si="148"/>
        <v>513.80016421153414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0.19418752783931756</v>
      </c>
      <c r="CL140" s="21">
        <f>EXP(-LN(2)/25)*CL139+(1-EXP(-LN(2)/25))/(LN(2)/25)*Calculateur!CG140*Calculateur!CI140*VLOOKUP('Données projet'!$B$12,Paramètres!$A$1:$I$89,3,0)*0.475*44/12</f>
        <v>0.38003600416856226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0.57422353200787979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5.6843418860808015E-13</v>
      </c>
      <c r="CU140" s="17">
        <f>CT140*VLOOKUP('Données projet'!$B$13,Paramètres!$A$1:$I$89,3,0)*VLOOKUP('Données projet'!$B$13,Paramètres!$A$1:$I$89,5,0)</f>
        <v>3.8130565371830017E-13</v>
      </c>
      <c r="CV140" s="13">
        <f t="shared" si="149"/>
        <v>4.9019074112354236E-12</v>
      </c>
      <c r="CW140" s="20">
        <f t="shared" si="121"/>
        <v>9.2015960881277352E-12</v>
      </c>
      <c r="CX140" s="59">
        <f t="shared" si="122"/>
        <v>293.33333333334252</v>
      </c>
      <c r="CY140" s="59">
        <f ca="1">AVERAGE(OFFSET($CX$3,0,0,'Données projet'!$E$13+1,1))-AVERAGE(OFFSET($H$3,0,0,'Données projet'!$E$13+1,1))</f>
        <v>294.94331863127815</v>
      </c>
      <c r="CZ140" s="59">
        <f t="shared" si="150"/>
        <v>218.36990036643977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138.74036407674663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138.74036407674663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266.99999999999983</v>
      </c>
      <c r="DP140" s="17">
        <f>DO140*VLOOKUP('Données projet'!$B$14,Paramètres!$A$1:$I$89,3,0)*VLOOKUP('Données projet'!$B$14,Paramètres!$A$1:$I$89,5,0)</f>
        <v>195.76439999999985</v>
      </c>
      <c r="DQ140" s="13">
        <f t="shared" si="151"/>
        <v>48.812154563023455</v>
      </c>
      <c r="DR140" s="20">
        <f t="shared" si="124"/>
        <v>425.9708325305989</v>
      </c>
      <c r="DS140" s="59">
        <f t="shared" si="125"/>
        <v>719.30416586393221</v>
      </c>
      <c r="DT140" s="59">
        <f ca="1">AVERAGE(OFFSET($DS$3,0,0,'Données projet'!$E$14+1,1))-AVERAGE(OFFSET($H$3,0,0,'Données projet'!$E$14+1,1))</f>
        <v>278.45534008146865</v>
      </c>
      <c r="DU140" s="59">
        <f t="shared" si="152"/>
        <v>272.97841038165217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6.9619840783159015</v>
      </c>
      <c r="EB140" s="21">
        <f>EXP(-LN(2)/25)*EB139+(1-EXP(-LN(2)/25))/(LN(2)/25)*Calculateur!DW140*Calculateur!DY140*VLOOKUP('Données projet'!$B$14,Paramètres!$A$1:$I$89,3,0)*0.475*44/12</f>
        <v>1.2822141922220895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8.244198270537991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5.6843418860808015E-13</v>
      </c>
      <c r="EK140" s="17">
        <f>EJ140*VLOOKUP('Données projet'!$B$15,Paramètres!$A$1:$I$89,3,0)*VLOOKUP('Données projet'!$B$15,Paramètres!$A$1:$I$89,5,0)</f>
        <v>6.1186256061773743E-13</v>
      </c>
      <c r="EL140" s="13">
        <f t="shared" si="153"/>
        <v>7.4445668332430206E-12</v>
      </c>
      <c r="EM140" s="20">
        <f t="shared" si="127"/>
        <v>1.4031614527640822E-11</v>
      </c>
      <c r="EN140" s="59">
        <f t="shared" si="128"/>
        <v>293.33333333334735</v>
      </c>
      <c r="EO140" s="59">
        <f ca="1">AVERAGE(OFFSET($EN$3,0,0,'Données projet'!$E$15+1,1))-AVERAGE(OFFSET($H$3,0,0,'Données projet'!$E$15+1,1))</f>
        <v>449.09332781196957</v>
      </c>
      <c r="EP140" s="59">
        <f t="shared" si="154"/>
        <v>324.85904971519432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180.62424757161352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180.62424757161352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5.6843418860808015E-13</v>
      </c>
      <c r="FF140" s="17">
        <f>FE140*VLOOKUP('Données projet'!$B$16,Paramètres!$A$1:$I$89,3,0)*VLOOKUP('Données projet'!$B$16,Paramètres!$A$1:$I$89,5,0)</f>
        <v>5.763922672485933E-13</v>
      </c>
      <c r="FG140" s="13">
        <f t="shared" si="155"/>
        <v>7.0619171555808457E-12</v>
      </c>
      <c r="FH140" s="20">
        <f t="shared" si="130"/>
        <v>1.3303388911427938E-11</v>
      </c>
      <c r="FI140" s="59">
        <f t="shared" si="131"/>
        <v>293.33333333334662</v>
      </c>
      <c r="FJ140" s="59">
        <f ca="1">AVERAGE(OFFSET($FI$3,0,0,'Données projet'!$E$16+1,1))-AVERAGE(OFFSET($H$3,0,0,'Données projet'!$E$16+1,1))</f>
        <v>419.51168383014721</v>
      </c>
      <c r="FK140" s="59">
        <f t="shared" si="156"/>
        <v>213.44145308833384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170.15327669789687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170.15327669789687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266.99999999999983</v>
      </c>
      <c r="GA140" s="17">
        <f>FZ140*VLOOKUP('Données projet'!$B$17,Paramètres!$A$1:$I$89,3,0)*VLOOKUP('Données projet'!$B$17,Paramètres!$A$1:$I$89,5,0)</f>
        <v>233.2511999999999</v>
      </c>
      <c r="GB140" s="13">
        <f t="shared" si="157"/>
        <v>56.985091661350864</v>
      </c>
      <c r="GC140" s="20">
        <f t="shared" si="133"/>
        <v>505.49487464351915</v>
      </c>
      <c r="GD140" s="59">
        <f t="shared" si="134"/>
        <v>798.82820797685247</v>
      </c>
      <c r="GE140" s="59">
        <f ca="1">AVERAGE(OFFSET($GD$3,0,0,'Données projet'!$E$17+1,1))-AVERAGE(OFFSET($H$3,0,0,'Données projet'!$E$17+1,1))</f>
        <v>324.86930206492627</v>
      </c>
      <c r="GF140" s="59">
        <f t="shared" si="158"/>
        <v>317.03005098025352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10.224229957665305</v>
      </c>
      <c r="GM140" s="21">
        <f>EXP(-LN(2)/25)*GM139+(1-EXP(-LN(2)/25))/(LN(2)/25)*Calculateur!GH140*Calculateur!GJ140*VLOOKUP('Données projet'!$B$17,Paramètres!$A$1:$I$89,3,0)*0.475*44/12</f>
        <v>1.883034004213342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12.107263961878648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5.6843418860808015E-13</v>
      </c>
      <c r="GV140" s="17">
        <f>GU140*VLOOKUP('Données projet'!$B$18,Paramètres!$A$1:$I$89,3,0)*VLOOKUP('Données projet'!$B$18,Paramètres!$A$1:$I$89,5,0)</f>
        <v>5.4092197387944907E-13</v>
      </c>
      <c r="GW140" s="13">
        <f t="shared" si="159"/>
        <v>6.6765148417791561E-12</v>
      </c>
      <c r="GX140" s="20">
        <f t="shared" si="136"/>
        <v>1.2570369120605403E-11</v>
      </c>
      <c r="GY140" s="59">
        <f t="shared" si="137"/>
        <v>293.33333333334588</v>
      </c>
      <c r="GZ140" s="59">
        <f ca="1">AVERAGE(OFFSET($GY$3,0,0,'Données projet'!$E$18+1,1))-AVERAGE(OFFSET($H$3,0,0,'Données projet'!$E$18+1,1))</f>
        <v>401.81944956556271</v>
      </c>
      <c r="HA140" s="59">
        <f t="shared" si="160"/>
        <v>292.20785523952651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159.68230582418016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159.68230582418016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5.1431925385259092E-13</v>
      </c>
      <c r="P141" s="13">
        <f t="shared" si="141"/>
        <v>6.3855359115685756E-12</v>
      </c>
      <c r="Q141" s="20">
        <f t="shared" si="108"/>
        <v>1.2017247746441865E-11</v>
      </c>
      <c r="R141" s="59">
        <f t="shared" si="109"/>
        <v>293.33333333334531</v>
      </c>
      <c r="S141" s="59">
        <f ca="1">AVERAGE(OFFSET($R$3,0,0,'Données projet'!$E$9+1,1))-AVERAGE(OFFSET($H$3,0,0,'Données projet'!$E$9+1,1))</f>
        <v>384.05928630855732</v>
      </c>
      <c r="T141" s="59">
        <f t="shared" si="142"/>
        <v>279.93992813630513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-6.3550942286383367E-14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335.04906256888819</v>
      </c>
      <c r="AO141" s="59">
        <f t="shared" si="144"/>
        <v>440.84111898279554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43.802425605222425</v>
      </c>
      <c r="AV141" s="21">
        <f>EXP(-LN(2)/25)*AV140+(1-EXP(-LN(2)/25))/(LN(2)/25)*Calculateur!AQ141*Calculateur!AS141*VLOOKUP('Données projet'!$B$10,Paramètres!$A$1:$I$89,3,0)*0.475*44/12</f>
        <v>5.7684721846036826</v>
      </c>
      <c r="AW141" s="21">
        <f>EXP(-LN(2)/2)*AW140+(1-EXP(-LN(2)/2))/(LN(2)/2)*AQ141*AT141*VLOOKUP('Données projet'!$B$10,Paramètres!$A$1:$I$89,3,0)*0.475*44/12</f>
        <v>1.0984735906951341E-11</v>
      </c>
      <c r="AX141" s="21">
        <f t="shared" si="114"/>
        <v>49.57089778983709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-1.4210854715202004E-13</v>
      </c>
      <c r="BE141" s="13">
        <f>BD141*VLOOKUP('Données projet'!$B$11,Paramètres!$A$1:$I$89,3,0)*VLOOKUP('Données projet'!$B$11,Paramètres!$A$1:$I$89,5,0)</f>
        <v>-8.128608897095547E-14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320.76883487964511</v>
      </c>
      <c r="BJ141" s="59">
        <f t="shared" si="146"/>
        <v>290.51177680335746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52.498791896971639</v>
      </c>
      <c r="BQ141" s="21">
        <f>EXP(-LN(2)/25)*BQ140+(1-EXP(-LN(2)/25))/(LN(2)/25)*Calculateur!BL141*Calculateur!BN141*VLOOKUP('Données projet'!$B$11,Paramètres!$A$1:$I$89,3,0)*0.475*44/12</f>
        <v>8.8127966972608771</v>
      </c>
      <c r="BR141" s="21">
        <f>EXP(-LN(2)/2)*BR140+(1-EXP(-LN(2)/2))/(LN(2)/2)*BL141*BO141*VLOOKUP('Données projet'!$B$11,Paramètres!$A$1:$I$89,3,0)*0.475*44/12</f>
        <v>1.8967591112397353E-6</v>
      </c>
      <c r="BS141" s="22">
        <f t="shared" si="117"/>
        <v>61.311590490991627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304.99999999999983</v>
      </c>
      <c r="BZ141" s="13">
        <f>BY141*VLOOKUP('Données projet'!$B$12,Paramètres!$A$1:$I$89,3,0)*VLOOKUP('Données projet'!$B$12,Paramètres!$A$1:$I$89,5,0)</f>
        <v>275.96399999999983</v>
      </c>
      <c r="CA141" s="13">
        <f t="shared" si="147"/>
        <v>66.113366665488854</v>
      </c>
      <c r="CB141" s="20">
        <f t="shared" si="118"/>
        <v>595.78474694239264</v>
      </c>
      <c r="CC141" s="59">
        <f t="shared" si="119"/>
        <v>889.11808027572602</v>
      </c>
      <c r="CD141" s="59">
        <f ca="1">AVERAGE(OFFSET($CC$3,0,0,'Données projet'!$E$12+1,1))-AVERAGE(OFFSET($H$3,0,0,'Données projet'!$E$12+1,1))</f>
        <v>366.69125512029831</v>
      </c>
      <c r="CE141" s="59">
        <f t="shared" si="148"/>
        <v>513.80016421153414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0.19037962886108528</v>
      </c>
      <c r="CL141" s="21">
        <f>EXP(-LN(2)/25)*CL140+(1-EXP(-LN(2)/25))/(LN(2)/25)*Calculateur!CG141*Calculateur!CI141*VLOOKUP('Données projet'!$B$12,Paramètres!$A$1:$I$89,3,0)*0.475*44/12</f>
        <v>0.36964389964934807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0.56002352851043335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5.6843418860808015E-13</v>
      </c>
      <c r="CU141" s="17">
        <f>CT141*VLOOKUP('Données projet'!$B$13,Paramètres!$A$1:$I$89,3,0)*VLOOKUP('Données projet'!$B$13,Paramètres!$A$1:$I$89,5,0)</f>
        <v>3.8130565371830017E-13</v>
      </c>
      <c r="CV141" s="13">
        <f t="shared" si="149"/>
        <v>4.9019074112354236E-12</v>
      </c>
      <c r="CW141" s="20">
        <f t="shared" si="121"/>
        <v>9.2015960881277352E-12</v>
      </c>
      <c r="CX141" s="59">
        <f t="shared" si="122"/>
        <v>293.33333333334252</v>
      </c>
      <c r="CY141" s="59">
        <f ca="1">AVERAGE(OFFSET($CX$3,0,0,'Données projet'!$E$13+1,1))-AVERAGE(OFFSET($H$3,0,0,'Données projet'!$E$13+1,1))</f>
        <v>294.94331863127815</v>
      </c>
      <c r="CZ141" s="59">
        <f t="shared" si="150"/>
        <v>218.36990036643977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136.01975016046785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136.01975016046785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266.99999999999983</v>
      </c>
      <c r="DP141" s="17">
        <f>DO141*VLOOKUP('Données projet'!$B$14,Paramètres!$A$1:$I$89,3,0)*VLOOKUP('Données projet'!$B$14,Paramètres!$A$1:$I$89,5,0)</f>
        <v>195.76439999999985</v>
      </c>
      <c r="DQ141" s="13">
        <f t="shared" si="151"/>
        <v>48.812154563023455</v>
      </c>
      <c r="DR141" s="20">
        <f t="shared" si="124"/>
        <v>425.9708325305989</v>
      </c>
      <c r="DS141" s="59">
        <f t="shared" si="125"/>
        <v>719.30416586393221</v>
      </c>
      <c r="DT141" s="59">
        <f ca="1">AVERAGE(OFFSET($DS$3,0,0,'Données projet'!$E$14+1,1))-AVERAGE(OFFSET($H$3,0,0,'Données projet'!$E$14+1,1))</f>
        <v>278.45534008146865</v>
      </c>
      <c r="DU141" s="59">
        <f t="shared" si="152"/>
        <v>272.97841038165217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6.8254638169311184</v>
      </c>
      <c r="EB141" s="21">
        <f>EXP(-LN(2)/25)*EB140+(1-EXP(-LN(2)/25))/(LN(2)/25)*Calculateur!DW141*Calculateur!DY141*VLOOKUP('Données projet'!$B$14,Paramètres!$A$1:$I$89,3,0)*0.475*44/12</f>
        <v>1.2471519777070628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8.0726157946381818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5.6843418860808015E-13</v>
      </c>
      <c r="EK141" s="17">
        <f>EJ141*VLOOKUP('Données projet'!$B$15,Paramètres!$A$1:$I$89,3,0)*VLOOKUP('Données projet'!$B$15,Paramètres!$A$1:$I$89,5,0)</f>
        <v>6.1186256061773743E-13</v>
      </c>
      <c r="EL141" s="13">
        <f t="shared" si="153"/>
        <v>7.4445668332430206E-12</v>
      </c>
      <c r="EM141" s="20">
        <f t="shared" si="127"/>
        <v>1.4031614527640822E-11</v>
      </c>
      <c r="EN141" s="59">
        <f t="shared" si="128"/>
        <v>293.33333333334735</v>
      </c>
      <c r="EO141" s="59">
        <f ca="1">AVERAGE(OFFSET($EN$3,0,0,'Données projet'!$E$15+1,1))-AVERAGE(OFFSET($H$3,0,0,'Données projet'!$E$15+1,1))</f>
        <v>449.09332781196957</v>
      </c>
      <c r="EP141" s="59">
        <f t="shared" si="154"/>
        <v>324.85904971519432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177.08231624664683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177.08231624664683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5.6843418860808015E-13</v>
      </c>
      <c r="FF141" s="17">
        <f>FE141*VLOOKUP('Données projet'!$B$16,Paramètres!$A$1:$I$89,3,0)*VLOOKUP('Données projet'!$B$16,Paramètres!$A$1:$I$89,5,0)</f>
        <v>5.763922672485933E-13</v>
      </c>
      <c r="FG141" s="13">
        <f t="shared" si="155"/>
        <v>7.0619171555808457E-12</v>
      </c>
      <c r="FH141" s="20">
        <f t="shared" si="130"/>
        <v>1.3303388911427938E-11</v>
      </c>
      <c r="FI141" s="59">
        <f t="shared" si="131"/>
        <v>293.33333333334662</v>
      </c>
      <c r="FJ141" s="59">
        <f ca="1">AVERAGE(OFFSET($FI$3,0,0,'Données projet'!$E$16+1,1))-AVERAGE(OFFSET($H$3,0,0,'Données projet'!$E$16+1,1))</f>
        <v>419.51168383014721</v>
      </c>
      <c r="FK141" s="59">
        <f t="shared" si="156"/>
        <v>213.44145308833384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166.81667472510216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166.81667472510216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266.99999999999983</v>
      </c>
      <c r="GA141" s="17">
        <f>FZ141*VLOOKUP('Données projet'!$B$17,Paramètres!$A$1:$I$89,3,0)*VLOOKUP('Données projet'!$B$17,Paramètres!$A$1:$I$89,5,0)</f>
        <v>233.2511999999999</v>
      </c>
      <c r="GB141" s="13">
        <f t="shared" si="157"/>
        <v>56.985091661350864</v>
      </c>
      <c r="GC141" s="20">
        <f t="shared" si="133"/>
        <v>505.49487464351915</v>
      </c>
      <c r="GD141" s="59">
        <f t="shared" si="134"/>
        <v>798.82820797685247</v>
      </c>
      <c r="GE141" s="59">
        <f ca="1">AVERAGE(OFFSET($GD$3,0,0,'Données projet'!$E$17+1,1))-AVERAGE(OFFSET($H$3,0,0,'Données projet'!$E$17+1,1))</f>
        <v>324.86930206492627</v>
      </c>
      <c r="GF141" s="59">
        <f t="shared" si="158"/>
        <v>317.03005098025352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10.023739044359992</v>
      </c>
      <c r="GM141" s="21">
        <f>EXP(-LN(2)/25)*GM140+(1-EXP(-LN(2)/25))/(LN(2)/25)*Calculateur!GH141*Calculateur!GJ141*VLOOKUP('Données projet'!$B$17,Paramètres!$A$1:$I$89,3,0)*0.475*44/12</f>
        <v>1.8315423403436737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11.855281384703666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5.6843418860808015E-13</v>
      </c>
      <c r="GV141" s="17">
        <f>GU141*VLOOKUP('Données projet'!$B$18,Paramètres!$A$1:$I$89,3,0)*VLOOKUP('Données projet'!$B$18,Paramètres!$A$1:$I$89,5,0)</f>
        <v>5.4092197387944907E-13</v>
      </c>
      <c r="GW141" s="13">
        <f t="shared" si="159"/>
        <v>6.6765148417791561E-12</v>
      </c>
      <c r="GX141" s="20">
        <f t="shared" si="136"/>
        <v>1.2570369120605403E-11</v>
      </c>
      <c r="GY141" s="59">
        <f t="shared" si="137"/>
        <v>293.33333333334588</v>
      </c>
      <c r="GZ141" s="59">
        <f ca="1">AVERAGE(OFFSET($GY$3,0,0,'Données projet'!$E$18+1,1))-AVERAGE(OFFSET($H$3,0,0,'Données projet'!$E$18+1,1))</f>
        <v>401.81944956556271</v>
      </c>
      <c r="HA141" s="59">
        <f t="shared" si="160"/>
        <v>292.20785523952651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156.55103320355744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156.55103320355744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5.1431925385259092E-13</v>
      </c>
      <c r="P142" s="13">
        <f t="shared" si="141"/>
        <v>6.3855359115685756E-12</v>
      </c>
      <c r="Q142" s="20">
        <f t="shared" si="108"/>
        <v>1.2017247746441865E-11</v>
      </c>
      <c r="R142" s="59">
        <f t="shared" si="109"/>
        <v>293.33333333334531</v>
      </c>
      <c r="S142" s="59">
        <f ca="1">AVERAGE(OFFSET($R$3,0,0,'Données projet'!$E$9+1,1))-AVERAGE(OFFSET($H$3,0,0,'Données projet'!$E$9+1,1))</f>
        <v>384.05928630855732</v>
      </c>
      <c r="T142" s="59">
        <f t="shared" si="142"/>
        <v>279.93992813630513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-6.3550942286383367E-14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335.04906256888819</v>
      </c>
      <c r="AO142" s="59">
        <f t="shared" si="144"/>
        <v>440.84111898279554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42.943486755945564</v>
      </c>
      <c r="AV142" s="21">
        <f>EXP(-LN(2)/25)*AV141+(1-EXP(-LN(2)/25))/(LN(2)/25)*Calculateur!AQ142*Calculateur!AS142*VLOOKUP('Données projet'!$B$10,Paramètres!$A$1:$I$89,3,0)*0.475*44/12</f>
        <v>5.6107330093649264</v>
      </c>
      <c r="AW142" s="21">
        <f>EXP(-LN(2)/2)*AW141+(1-EXP(-LN(2)/2))/(LN(2)/2)*AQ142*AT142*VLOOKUP('Données projet'!$B$10,Paramètres!$A$1:$I$89,3,0)*0.475*44/12</f>
        <v>7.7673812493486533E-12</v>
      </c>
      <c r="AX142" s="21">
        <f t="shared" si="114"/>
        <v>48.554219765318258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-1.4210854715202004E-13</v>
      </c>
      <c r="BE142" s="13">
        <f>BD142*VLOOKUP('Données projet'!$B$11,Paramètres!$A$1:$I$89,3,0)*VLOOKUP('Données projet'!$B$11,Paramètres!$A$1:$I$89,5,0)</f>
        <v>-8.128608897095547E-14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320.76883487964511</v>
      </c>
      <c r="BJ142" s="59">
        <f t="shared" si="146"/>
        <v>290.51177680335746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51.469322608973258</v>
      </c>
      <c r="BQ142" s="21">
        <f>EXP(-LN(2)/25)*BQ141+(1-EXP(-LN(2)/25))/(LN(2)/25)*Calculateur!BL142*Calculateur!BN142*VLOOKUP('Données projet'!$B$11,Paramètres!$A$1:$I$89,3,0)*0.475*44/12</f>
        <v>8.5718103081294412</v>
      </c>
      <c r="BR142" s="21">
        <f>EXP(-LN(2)/2)*BR141+(1-EXP(-LN(2)/2))/(LN(2)/2)*BL142*BO142*VLOOKUP('Données projet'!$B$11,Paramètres!$A$1:$I$89,3,0)*0.475*44/12</f>
        <v>1.341211229834986E-6</v>
      </c>
      <c r="BS142" s="22">
        <f t="shared" si="117"/>
        <v>60.041134258313932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304.99999999999983</v>
      </c>
      <c r="BZ142" s="13">
        <f>BY142*VLOOKUP('Données projet'!$B$12,Paramètres!$A$1:$I$89,3,0)*VLOOKUP('Données projet'!$B$12,Paramètres!$A$1:$I$89,5,0)</f>
        <v>275.96399999999983</v>
      </c>
      <c r="CA142" s="13">
        <f t="shared" si="147"/>
        <v>66.113366665488854</v>
      </c>
      <c r="CB142" s="20">
        <f t="shared" si="118"/>
        <v>595.78474694239264</v>
      </c>
      <c r="CC142" s="59">
        <f t="shared" si="119"/>
        <v>889.11808027572602</v>
      </c>
      <c r="CD142" s="59">
        <f ca="1">AVERAGE(OFFSET($CC$3,0,0,'Données projet'!$E$12+1,1))-AVERAGE(OFFSET($H$3,0,0,'Données projet'!$E$12+1,1))</f>
        <v>366.69125512029831</v>
      </c>
      <c r="CE142" s="59">
        <f t="shared" si="148"/>
        <v>513.80016421153414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0.18664640045922709</v>
      </c>
      <c r="CL142" s="21">
        <f>EXP(-LN(2)/25)*CL141+(1-EXP(-LN(2)/25))/(LN(2)/25)*Calculateur!CG142*Calculateur!CI142*VLOOKUP('Données projet'!$B$12,Paramètres!$A$1:$I$89,3,0)*0.475*44/12</f>
        <v>0.35953596777470881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0.54618236823393596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5.6843418860808015E-13</v>
      </c>
      <c r="CU142" s="17">
        <f>CT142*VLOOKUP('Données projet'!$B$13,Paramètres!$A$1:$I$89,3,0)*VLOOKUP('Données projet'!$B$13,Paramètres!$A$1:$I$89,5,0)</f>
        <v>3.8130565371830017E-13</v>
      </c>
      <c r="CV142" s="13">
        <f t="shared" si="149"/>
        <v>4.9019074112354236E-12</v>
      </c>
      <c r="CW142" s="20">
        <f t="shared" si="121"/>
        <v>9.2015960881277352E-12</v>
      </c>
      <c r="CX142" s="59">
        <f t="shared" si="122"/>
        <v>293.33333333334252</v>
      </c>
      <c r="CY142" s="59">
        <f ca="1">AVERAGE(OFFSET($CX$3,0,0,'Données projet'!$E$13+1,1))-AVERAGE(OFFSET($H$3,0,0,'Données projet'!$E$13+1,1))</f>
        <v>294.94331863127815</v>
      </c>
      <c r="CZ142" s="59">
        <f t="shared" si="150"/>
        <v>218.36990036643977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133.35248582367669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133.35248582367669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266.99999999999983</v>
      </c>
      <c r="DP142" s="17">
        <f>DO142*VLOOKUP('Données projet'!$B$14,Paramètres!$A$1:$I$89,3,0)*VLOOKUP('Données projet'!$B$14,Paramètres!$A$1:$I$89,5,0)</f>
        <v>195.76439999999985</v>
      </c>
      <c r="DQ142" s="13">
        <f t="shared" si="151"/>
        <v>48.812154563023455</v>
      </c>
      <c r="DR142" s="20">
        <f t="shared" si="124"/>
        <v>425.9708325305989</v>
      </c>
      <c r="DS142" s="59">
        <f t="shared" si="125"/>
        <v>719.30416586393221</v>
      </c>
      <c r="DT142" s="59">
        <f ca="1">AVERAGE(OFFSET($DS$3,0,0,'Données projet'!$E$14+1,1))-AVERAGE(OFFSET($H$3,0,0,'Données projet'!$E$14+1,1))</f>
        <v>278.45534008146865</v>
      </c>
      <c r="DU142" s="59">
        <f t="shared" si="152"/>
        <v>272.97841038165217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6.6916206346029536</v>
      </c>
      <c r="EB142" s="21">
        <f>EXP(-LN(2)/25)*EB141+(1-EXP(-LN(2)/25))/(LN(2)/25)*Calculateur!DW142*Calculateur!DY142*VLOOKUP('Données projet'!$B$14,Paramètres!$A$1:$I$89,3,0)*0.475*44/12</f>
        <v>1.2130485412917911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7.9046691758947443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5.6843418860808015E-13</v>
      </c>
      <c r="EK142" s="17">
        <f>EJ142*VLOOKUP('Données projet'!$B$15,Paramètres!$A$1:$I$89,3,0)*VLOOKUP('Données projet'!$B$15,Paramètres!$A$1:$I$89,5,0)</f>
        <v>6.1186256061773743E-13</v>
      </c>
      <c r="EL142" s="13">
        <f t="shared" si="153"/>
        <v>7.4445668332430206E-12</v>
      </c>
      <c r="EM142" s="20">
        <f t="shared" si="127"/>
        <v>1.4031614527640822E-11</v>
      </c>
      <c r="EN142" s="59">
        <f t="shared" si="128"/>
        <v>293.33333333334735</v>
      </c>
      <c r="EO142" s="59">
        <f ca="1">AVERAGE(OFFSET($EN$3,0,0,'Données projet'!$E$15+1,1))-AVERAGE(OFFSET($H$3,0,0,'Données projet'!$E$15+1,1))</f>
        <v>449.09332781196957</v>
      </c>
      <c r="EP142" s="59">
        <f t="shared" si="154"/>
        <v>324.85904971519432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173.60984003459794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173.60984003459794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5.6843418860808015E-13</v>
      </c>
      <c r="FF142" s="17">
        <f>FE142*VLOOKUP('Données projet'!$B$16,Paramètres!$A$1:$I$89,3,0)*VLOOKUP('Données projet'!$B$16,Paramètres!$A$1:$I$89,5,0)</f>
        <v>5.763922672485933E-13</v>
      </c>
      <c r="FG142" s="13">
        <f t="shared" si="155"/>
        <v>7.0619171555808457E-12</v>
      </c>
      <c r="FH142" s="20">
        <f t="shared" si="130"/>
        <v>1.3303388911427938E-11</v>
      </c>
      <c r="FI142" s="59">
        <f t="shared" si="131"/>
        <v>293.33333333334662</v>
      </c>
      <c r="FJ142" s="59">
        <f ca="1">AVERAGE(OFFSET($FI$3,0,0,'Données projet'!$E$16+1,1))-AVERAGE(OFFSET($H$3,0,0,'Données projet'!$E$16+1,1))</f>
        <v>419.51168383014721</v>
      </c>
      <c r="FK142" s="59">
        <f t="shared" si="156"/>
        <v>213.44145308833384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163.54550148186769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163.54550148186769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266.99999999999983</v>
      </c>
      <c r="GA142" s="17">
        <f>FZ142*VLOOKUP('Données projet'!$B$17,Paramètres!$A$1:$I$89,3,0)*VLOOKUP('Données projet'!$B$17,Paramètres!$A$1:$I$89,5,0)</f>
        <v>233.2511999999999</v>
      </c>
      <c r="GB142" s="13">
        <f t="shared" si="157"/>
        <v>56.985091661350864</v>
      </c>
      <c r="GC142" s="20">
        <f t="shared" si="133"/>
        <v>505.49487464351915</v>
      </c>
      <c r="GD142" s="59">
        <f t="shared" si="134"/>
        <v>798.82820797685247</v>
      </c>
      <c r="GE142" s="59">
        <f ca="1">AVERAGE(OFFSET($GD$3,0,0,'Données projet'!$E$17+1,1))-AVERAGE(OFFSET($H$3,0,0,'Données projet'!$E$17+1,1))</f>
        <v>324.86930206492627</v>
      </c>
      <c r="GF142" s="59">
        <f t="shared" si="158"/>
        <v>317.03005098025352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9.827179635577215</v>
      </c>
      <c r="GM142" s="21">
        <f>EXP(-LN(2)/25)*GM141+(1-EXP(-LN(2)/25))/(LN(2)/25)*Calculateur!GH142*Calculateur!GJ142*VLOOKUP('Données projet'!$B$17,Paramètres!$A$1:$I$89,3,0)*0.475*44/12</f>
        <v>1.7814587187303503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11.608638354307566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5.6843418860808015E-13</v>
      </c>
      <c r="GV142" s="17">
        <f>GU142*VLOOKUP('Données projet'!$B$18,Paramètres!$A$1:$I$89,3,0)*VLOOKUP('Données projet'!$B$18,Paramètres!$A$1:$I$89,5,0)</f>
        <v>5.4092197387944907E-13</v>
      </c>
      <c r="GW142" s="13">
        <f t="shared" si="159"/>
        <v>6.6765148417791561E-12</v>
      </c>
      <c r="GX142" s="20">
        <f t="shared" si="136"/>
        <v>1.2570369120605403E-11</v>
      </c>
      <c r="GY142" s="59">
        <f t="shared" si="137"/>
        <v>293.33333333334588</v>
      </c>
      <c r="GZ142" s="59">
        <f ca="1">AVERAGE(OFFSET($GY$3,0,0,'Données projet'!$E$18+1,1))-AVERAGE(OFFSET($H$3,0,0,'Données projet'!$E$18+1,1))</f>
        <v>401.81944956556271</v>
      </c>
      <c r="HA142" s="59">
        <f t="shared" si="160"/>
        <v>292.20785523952651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153.48116292913741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153.48116292913741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5.1431925385259092E-13</v>
      </c>
      <c r="P143" s="13">
        <f t="shared" si="141"/>
        <v>6.3855359115685756E-12</v>
      </c>
      <c r="Q143" s="20">
        <f t="shared" si="108"/>
        <v>1.2017247746441865E-11</v>
      </c>
      <c r="R143" s="59">
        <f t="shared" si="109"/>
        <v>293.33333333334531</v>
      </c>
      <c r="S143" s="59">
        <f ca="1">AVERAGE(OFFSET($R$3,0,0,'Données projet'!$E$9+1,1))-AVERAGE(OFFSET($H$3,0,0,'Données projet'!$E$9+1,1))</f>
        <v>384.05928630855732</v>
      </c>
      <c r="T143" s="59">
        <f t="shared" si="142"/>
        <v>279.93992813630513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-6.3550942286383367E-14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335.04906256888819</v>
      </c>
      <c r="AO143" s="59">
        <f t="shared" si="144"/>
        <v>440.84111898279554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42.101391173602053</v>
      </c>
      <c r="AV143" s="21">
        <f>EXP(-LN(2)/25)*AV142+(1-EXP(-LN(2)/25))/(LN(2)/25)*Calculateur!AQ143*Calculateur!AS143*VLOOKUP('Données projet'!$B$10,Paramètres!$A$1:$I$89,3,0)*0.475*44/12</f>
        <v>5.4573072201682171</v>
      </c>
      <c r="AW143" s="21">
        <f>EXP(-LN(2)/2)*AW142+(1-EXP(-LN(2)/2))/(LN(2)/2)*AQ143*AT143*VLOOKUP('Données projet'!$B$10,Paramètres!$A$1:$I$89,3,0)*0.475*44/12</f>
        <v>5.4923679534756703E-12</v>
      </c>
      <c r="AX143" s="21">
        <f t="shared" si="114"/>
        <v>47.558698393775764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-1.4210854715202004E-13</v>
      </c>
      <c r="BE143" s="13">
        <f>BD143*VLOOKUP('Données projet'!$B$11,Paramètres!$A$1:$I$89,3,0)*VLOOKUP('Données projet'!$B$11,Paramètres!$A$1:$I$89,5,0)</f>
        <v>-8.128608897095547E-14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320.76883487964511</v>
      </c>
      <c r="BJ143" s="59">
        <f t="shared" si="146"/>
        <v>290.51177680335746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50.460040585798261</v>
      </c>
      <c r="BQ143" s="21">
        <f>EXP(-LN(2)/25)*BQ142+(1-EXP(-LN(2)/25))/(LN(2)/25)*Calculateur!BL143*Calculateur!BN143*VLOOKUP('Données projet'!$B$11,Paramètres!$A$1:$I$89,3,0)*0.475*44/12</f>
        <v>8.3374137044817278</v>
      </c>
      <c r="BR143" s="21">
        <f>EXP(-LN(2)/2)*BR142+(1-EXP(-LN(2)/2))/(LN(2)/2)*BL143*BO143*VLOOKUP('Données projet'!$B$11,Paramètres!$A$1:$I$89,3,0)*0.475*44/12</f>
        <v>9.4837955561986776E-7</v>
      </c>
      <c r="BS143" s="22">
        <f t="shared" si="117"/>
        <v>58.797455238659545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304.99999999999983</v>
      </c>
      <c r="BZ143" s="13">
        <f>BY143*VLOOKUP('Données projet'!$B$12,Paramètres!$A$1:$I$89,3,0)*VLOOKUP('Données projet'!$B$12,Paramètres!$A$1:$I$89,5,0)</f>
        <v>275.96399999999983</v>
      </c>
      <c r="CA143" s="13">
        <f t="shared" si="147"/>
        <v>66.113366665488854</v>
      </c>
      <c r="CB143" s="20">
        <f t="shared" si="118"/>
        <v>595.78474694239264</v>
      </c>
      <c r="CC143" s="59">
        <f t="shared" si="119"/>
        <v>889.11808027572602</v>
      </c>
      <c r="CD143" s="59">
        <f ca="1">AVERAGE(OFFSET($CC$3,0,0,'Données projet'!$E$12+1,1))-AVERAGE(OFFSET($H$3,0,0,'Données projet'!$E$12+1,1))</f>
        <v>366.69125512029831</v>
      </c>
      <c r="CE143" s="59">
        <f t="shared" si="148"/>
        <v>513.80016421153414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0.18298637838928486</v>
      </c>
      <c r="CL143" s="21">
        <f>EXP(-LN(2)/25)*CL142+(1-EXP(-LN(2)/25))/(LN(2)/25)*Calculateur!CG143*Calculateur!CI143*VLOOKUP('Données projet'!$B$12,Paramètres!$A$1:$I$89,3,0)*0.475*44/12</f>
        <v>0.34970443782873456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0.53269081621801939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5.6843418860808015E-13</v>
      </c>
      <c r="CU143" s="17">
        <f>CT143*VLOOKUP('Données projet'!$B$13,Paramètres!$A$1:$I$89,3,0)*VLOOKUP('Données projet'!$B$13,Paramètres!$A$1:$I$89,5,0)</f>
        <v>3.8130565371830017E-13</v>
      </c>
      <c r="CV143" s="13">
        <f t="shared" si="149"/>
        <v>4.9019074112354236E-12</v>
      </c>
      <c r="CW143" s="20">
        <f t="shared" si="121"/>
        <v>9.2015960881277352E-12</v>
      </c>
      <c r="CX143" s="59">
        <f t="shared" si="122"/>
        <v>293.33333333334252</v>
      </c>
      <c r="CY143" s="59">
        <f ca="1">AVERAGE(OFFSET($CX$3,0,0,'Données projet'!$E$13+1,1))-AVERAGE(OFFSET($H$3,0,0,'Données projet'!$E$13+1,1))</f>
        <v>294.94331863127815</v>
      </c>
      <c r="CZ143" s="59">
        <f t="shared" si="150"/>
        <v>218.36990036643977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130.73752491365937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130.73752491365937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266.99999999999983</v>
      </c>
      <c r="DP143" s="17">
        <f>DO143*VLOOKUP('Données projet'!$B$14,Paramètres!$A$1:$I$89,3,0)*VLOOKUP('Données projet'!$B$14,Paramètres!$A$1:$I$89,5,0)</f>
        <v>195.76439999999985</v>
      </c>
      <c r="DQ143" s="13">
        <f t="shared" si="151"/>
        <v>48.812154563023455</v>
      </c>
      <c r="DR143" s="20">
        <f t="shared" si="124"/>
        <v>425.9708325305989</v>
      </c>
      <c r="DS143" s="59">
        <f t="shared" si="125"/>
        <v>719.30416586393221</v>
      </c>
      <c r="DT143" s="59">
        <f ca="1">AVERAGE(OFFSET($DS$3,0,0,'Données projet'!$E$14+1,1))-AVERAGE(OFFSET($H$3,0,0,'Données projet'!$E$14+1,1))</f>
        <v>278.45534008146865</v>
      </c>
      <c r="DU143" s="59">
        <f t="shared" si="152"/>
        <v>272.97841038165217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6.5604020354439632</v>
      </c>
      <c r="EB143" s="21">
        <f>EXP(-LN(2)/25)*EB142+(1-EXP(-LN(2)/25))/(LN(2)/25)*Calculateur!DW143*Calculateur!DY143*VLOOKUP('Données projet'!$B$14,Paramètres!$A$1:$I$89,3,0)*0.475*44/12</f>
        <v>1.1798776651387166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7.74027970058268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5.6843418860808015E-13</v>
      </c>
      <c r="EK143" s="17">
        <f>EJ143*VLOOKUP('Données projet'!$B$15,Paramètres!$A$1:$I$89,3,0)*VLOOKUP('Données projet'!$B$15,Paramètres!$A$1:$I$89,5,0)</f>
        <v>6.1186256061773743E-13</v>
      </c>
      <c r="EL143" s="13">
        <f t="shared" si="153"/>
        <v>7.4445668332430206E-12</v>
      </c>
      <c r="EM143" s="20">
        <f t="shared" si="127"/>
        <v>1.4031614527640822E-11</v>
      </c>
      <c r="EN143" s="59">
        <f t="shared" si="128"/>
        <v>293.33333333334735</v>
      </c>
      <c r="EO143" s="59">
        <f ca="1">AVERAGE(OFFSET($EN$3,0,0,'Données projet'!$E$15+1,1))-AVERAGE(OFFSET($H$3,0,0,'Données projet'!$E$15+1,1))</f>
        <v>449.09332781196957</v>
      </c>
      <c r="EP143" s="59">
        <f t="shared" si="154"/>
        <v>324.85904971519432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170.20545696306598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170.20545696306598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5.6843418860808015E-13</v>
      </c>
      <c r="FF143" s="17">
        <f>FE143*VLOOKUP('Données projet'!$B$16,Paramètres!$A$1:$I$89,3,0)*VLOOKUP('Données projet'!$B$16,Paramètres!$A$1:$I$89,5,0)</f>
        <v>5.763922672485933E-13</v>
      </c>
      <c r="FG143" s="13">
        <f t="shared" si="155"/>
        <v>7.0619171555808457E-12</v>
      </c>
      <c r="FH143" s="20">
        <f t="shared" si="130"/>
        <v>1.3303388911427938E-11</v>
      </c>
      <c r="FI143" s="59">
        <f t="shared" si="131"/>
        <v>293.33333333334662</v>
      </c>
      <c r="FJ143" s="59">
        <f ca="1">AVERAGE(OFFSET($FI$3,0,0,'Données projet'!$E$16+1,1))-AVERAGE(OFFSET($H$3,0,0,'Données projet'!$E$16+1,1))</f>
        <v>419.51168383014721</v>
      </c>
      <c r="FK143" s="59">
        <f t="shared" si="156"/>
        <v>213.44145308833384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160.33847395071439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160.33847395071439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266.99999999999983</v>
      </c>
      <c r="GA143" s="17">
        <f>FZ143*VLOOKUP('Données projet'!$B$17,Paramètres!$A$1:$I$89,3,0)*VLOOKUP('Données projet'!$B$17,Paramètres!$A$1:$I$89,5,0)</f>
        <v>233.2511999999999</v>
      </c>
      <c r="GB143" s="13">
        <f t="shared" si="157"/>
        <v>56.985091661350864</v>
      </c>
      <c r="GC143" s="20">
        <f t="shared" si="133"/>
        <v>505.49487464351915</v>
      </c>
      <c r="GD143" s="59">
        <f t="shared" si="134"/>
        <v>798.82820797685247</v>
      </c>
      <c r="GE143" s="59">
        <f ca="1">AVERAGE(OFFSET($GD$3,0,0,'Données projet'!$E$17+1,1))-AVERAGE(OFFSET($H$3,0,0,'Données projet'!$E$17+1,1))</f>
        <v>324.86930206492627</v>
      </c>
      <c r="GF143" s="59">
        <f t="shared" si="158"/>
        <v>317.03005098025352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9.6344746369112659</v>
      </c>
      <c r="GM143" s="21">
        <f>EXP(-LN(2)/25)*GM142+(1-EXP(-LN(2)/25))/(LN(2)/25)*Calculateur!GH143*Calculateur!GJ143*VLOOKUP('Données projet'!$B$17,Paramètres!$A$1:$I$89,3,0)*0.475*44/12</f>
        <v>1.7327446363838264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11.367219273295092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5.6843418860808015E-13</v>
      </c>
      <c r="GV143" s="17">
        <f>GU143*VLOOKUP('Données projet'!$B$18,Paramètres!$A$1:$I$89,3,0)*VLOOKUP('Données projet'!$B$18,Paramètres!$A$1:$I$89,5,0)</f>
        <v>5.4092197387944907E-13</v>
      </c>
      <c r="GW143" s="13">
        <f t="shared" si="159"/>
        <v>6.6765148417791561E-12</v>
      </c>
      <c r="GX143" s="20">
        <f t="shared" si="136"/>
        <v>1.2570369120605403E-11</v>
      </c>
      <c r="GY143" s="59">
        <f t="shared" si="137"/>
        <v>293.33333333334588</v>
      </c>
      <c r="GZ143" s="59">
        <f ca="1">AVERAGE(OFFSET($GY$3,0,0,'Données projet'!$E$18+1,1))-AVERAGE(OFFSET($H$3,0,0,'Données projet'!$E$18+1,1))</f>
        <v>401.81944956556271</v>
      </c>
      <c r="HA143" s="59">
        <f t="shared" si="160"/>
        <v>292.20785523952651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150.47149093836276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150.47149093836276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5.1431925385259092E-13</v>
      </c>
      <c r="P144" s="13">
        <f t="shared" si="141"/>
        <v>6.3855359115685756E-12</v>
      </c>
      <c r="Q144" s="20">
        <f t="shared" si="108"/>
        <v>1.2017247746441865E-11</v>
      </c>
      <c r="R144" s="59">
        <f t="shared" si="109"/>
        <v>293.33333333334531</v>
      </c>
      <c r="S144" s="59">
        <f ca="1">AVERAGE(OFFSET($R$3,0,0,'Données projet'!$E$9+1,1))-AVERAGE(OFFSET($H$3,0,0,'Données projet'!$E$9+1,1))</f>
        <v>384.05928630855732</v>
      </c>
      <c r="T144" s="59">
        <f t="shared" si="142"/>
        <v>279.93992813630513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-6.3550942286383367E-14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335.04906256888819</v>
      </c>
      <c r="AO144" s="59">
        <f t="shared" si="144"/>
        <v>440.84111898279554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41.275808572000713</v>
      </c>
      <c r="AV144" s="21">
        <f>EXP(-LN(2)/25)*AV143+(1-EXP(-LN(2)/25))/(LN(2)/25)*Calculateur!AQ144*Calculateur!AS144*VLOOKUP('Données projet'!$B$10,Paramètres!$A$1:$I$89,3,0)*0.475*44/12</f>
        <v>5.3080768672454033</v>
      </c>
      <c r="AW144" s="21">
        <f>EXP(-LN(2)/2)*AW143+(1-EXP(-LN(2)/2))/(LN(2)/2)*AQ144*AT144*VLOOKUP('Données projet'!$B$10,Paramètres!$A$1:$I$89,3,0)*0.475*44/12</f>
        <v>3.8836906246743267E-12</v>
      </c>
      <c r="AX144" s="21">
        <f t="shared" si="114"/>
        <v>46.583885439250004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-1.4210854715202004E-13</v>
      </c>
      <c r="BE144" s="13">
        <f>BD144*VLOOKUP('Données projet'!$B$11,Paramètres!$A$1:$I$89,3,0)*VLOOKUP('Données projet'!$B$11,Paramètres!$A$1:$I$89,5,0)</f>
        <v>-8.128608897095547E-14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320.76883487964511</v>
      </c>
      <c r="BJ144" s="59">
        <f t="shared" si="146"/>
        <v>290.51177680335746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49.470549967496481</v>
      </c>
      <c r="BQ144" s="21">
        <f>EXP(-LN(2)/25)*BQ143+(1-EXP(-LN(2)/25))/(LN(2)/25)*Calculateur!BL144*Calculateur!BN144*VLOOKUP('Données projet'!$B$11,Paramètres!$A$1:$I$89,3,0)*0.475*44/12</f>
        <v>8.1094266882871437</v>
      </c>
      <c r="BR144" s="21">
        <f>EXP(-LN(2)/2)*BR143+(1-EXP(-LN(2)/2))/(LN(2)/2)*BL144*BO144*VLOOKUP('Données projet'!$B$11,Paramètres!$A$1:$I$89,3,0)*0.475*44/12</f>
        <v>6.7060561491749308E-7</v>
      </c>
      <c r="BS144" s="22">
        <f t="shared" si="117"/>
        <v>57.57997732638924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304.99999999999983</v>
      </c>
      <c r="BZ144" s="13">
        <f>BY144*VLOOKUP('Données projet'!$B$12,Paramètres!$A$1:$I$89,3,0)*VLOOKUP('Données projet'!$B$12,Paramètres!$A$1:$I$89,5,0)</f>
        <v>275.96399999999983</v>
      </c>
      <c r="CA144" s="13">
        <f t="shared" si="147"/>
        <v>66.113366665488854</v>
      </c>
      <c r="CB144" s="20">
        <f t="shared" si="118"/>
        <v>595.78474694239264</v>
      </c>
      <c r="CC144" s="59">
        <f t="shared" si="119"/>
        <v>889.11808027572602</v>
      </c>
      <c r="CD144" s="59">
        <f ca="1">AVERAGE(OFFSET($CC$3,0,0,'Données projet'!$E$12+1,1))-AVERAGE(OFFSET($H$3,0,0,'Données projet'!$E$12+1,1))</f>
        <v>366.69125512029831</v>
      </c>
      <c r="CE144" s="59">
        <f t="shared" si="148"/>
        <v>513.80016421153414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0.17939812711974115</v>
      </c>
      <c r="CL144" s="21">
        <f>EXP(-LN(2)/25)*CL143+(1-EXP(-LN(2)/25))/(LN(2)/25)*Calculateur!CG144*Calculateur!CI144*VLOOKUP('Données projet'!$B$12,Paramètres!$A$1:$I$89,3,0)*0.475*44/12</f>
        <v>0.34014175158615068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0.5195398787058918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5.6843418860808015E-13</v>
      </c>
      <c r="CU144" s="17">
        <f>CT144*VLOOKUP('Données projet'!$B$13,Paramètres!$A$1:$I$89,3,0)*VLOOKUP('Données projet'!$B$13,Paramètres!$A$1:$I$89,5,0)</f>
        <v>3.8130565371830017E-13</v>
      </c>
      <c r="CV144" s="13">
        <f t="shared" si="149"/>
        <v>4.9019074112354236E-12</v>
      </c>
      <c r="CW144" s="20">
        <f t="shared" si="121"/>
        <v>9.2015960881277352E-12</v>
      </c>
      <c r="CX144" s="59">
        <f t="shared" si="122"/>
        <v>293.33333333334252</v>
      </c>
      <c r="CY144" s="59">
        <f ca="1">AVERAGE(OFFSET($CX$3,0,0,'Données projet'!$E$13+1,1))-AVERAGE(OFFSET($H$3,0,0,'Données projet'!$E$13+1,1))</f>
        <v>294.94331863127815</v>
      </c>
      <c r="CZ144" s="59">
        <f t="shared" si="150"/>
        <v>218.36990036643977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128.17384179211885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128.17384179211885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266.99999999999983</v>
      </c>
      <c r="DP144" s="17">
        <f>DO144*VLOOKUP('Données projet'!$B$14,Paramètres!$A$1:$I$89,3,0)*VLOOKUP('Données projet'!$B$14,Paramètres!$A$1:$I$89,5,0)</f>
        <v>195.76439999999985</v>
      </c>
      <c r="DQ144" s="13">
        <f t="shared" si="151"/>
        <v>48.812154563023455</v>
      </c>
      <c r="DR144" s="20">
        <f t="shared" si="124"/>
        <v>425.9708325305989</v>
      </c>
      <c r="DS144" s="59">
        <f t="shared" si="125"/>
        <v>719.30416586393221</v>
      </c>
      <c r="DT144" s="59">
        <f ca="1">AVERAGE(OFFSET($DS$3,0,0,'Données projet'!$E$14+1,1))-AVERAGE(OFFSET($H$3,0,0,'Données projet'!$E$14+1,1))</f>
        <v>278.45534008146865</v>
      </c>
      <c r="DU144" s="59">
        <f t="shared" si="152"/>
        <v>272.97841038165217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6.4317565529790386</v>
      </c>
      <c r="EB144" s="21">
        <f>EXP(-LN(2)/25)*EB143+(1-EXP(-LN(2)/25))/(LN(2)/25)*Calculateur!DW144*Calculateur!DY144*VLOOKUP('Données projet'!$B$14,Paramètres!$A$1:$I$89,3,0)*0.475*44/12</f>
        <v>1.1476138483384286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7.5793704013174672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5.6843418860808015E-13</v>
      </c>
      <c r="EK144" s="17">
        <f>EJ144*VLOOKUP('Données projet'!$B$15,Paramètres!$A$1:$I$89,3,0)*VLOOKUP('Données projet'!$B$15,Paramètres!$A$1:$I$89,5,0)</f>
        <v>6.1186256061773743E-13</v>
      </c>
      <c r="EL144" s="13">
        <f t="shared" si="153"/>
        <v>7.4445668332430206E-12</v>
      </c>
      <c r="EM144" s="20">
        <f t="shared" si="127"/>
        <v>1.4031614527640822E-11</v>
      </c>
      <c r="EN144" s="59">
        <f t="shared" si="128"/>
        <v>293.33333333334735</v>
      </c>
      <c r="EO144" s="59">
        <f ca="1">AVERAGE(OFFSET($EN$3,0,0,'Données projet'!$E$15+1,1))-AVERAGE(OFFSET($H$3,0,0,'Données projet'!$E$15+1,1))</f>
        <v>449.09332781196957</v>
      </c>
      <c r="EP144" s="59">
        <f t="shared" si="154"/>
        <v>324.85904971519432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166.86783176709812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166.86783176709812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5.6843418860808015E-13</v>
      </c>
      <c r="FF144" s="17">
        <f>FE144*VLOOKUP('Données projet'!$B$16,Paramètres!$A$1:$I$89,3,0)*VLOOKUP('Données projet'!$B$16,Paramètres!$A$1:$I$89,5,0)</f>
        <v>5.763922672485933E-13</v>
      </c>
      <c r="FG144" s="13">
        <f t="shared" si="155"/>
        <v>7.0619171555808457E-12</v>
      </c>
      <c r="FH144" s="20">
        <f t="shared" si="130"/>
        <v>1.3303388911427938E-11</v>
      </c>
      <c r="FI144" s="59">
        <f t="shared" si="131"/>
        <v>293.33333333334662</v>
      </c>
      <c r="FJ144" s="59">
        <f ca="1">AVERAGE(OFFSET($FI$3,0,0,'Données projet'!$E$16+1,1))-AVERAGE(OFFSET($H$3,0,0,'Données projet'!$E$16+1,1))</f>
        <v>419.51168383014721</v>
      </c>
      <c r="FK144" s="59">
        <f t="shared" si="156"/>
        <v>213.44145308833384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157.19433427335335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157.19433427335335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266.99999999999983</v>
      </c>
      <c r="GA144" s="17">
        <f>FZ144*VLOOKUP('Données projet'!$B$17,Paramètres!$A$1:$I$89,3,0)*VLOOKUP('Données projet'!$B$17,Paramètres!$A$1:$I$89,5,0)</f>
        <v>233.2511999999999</v>
      </c>
      <c r="GB144" s="13">
        <f t="shared" si="157"/>
        <v>56.985091661350864</v>
      </c>
      <c r="GC144" s="20">
        <f t="shared" si="133"/>
        <v>505.49487464351915</v>
      </c>
      <c r="GD144" s="59">
        <f t="shared" si="134"/>
        <v>798.82820797685247</v>
      </c>
      <c r="GE144" s="59">
        <f ca="1">AVERAGE(OFFSET($GD$3,0,0,'Données projet'!$E$17+1,1))-AVERAGE(OFFSET($H$3,0,0,'Données projet'!$E$17+1,1))</f>
        <v>324.86930206492627</v>
      </c>
      <c r="GF144" s="59">
        <f t="shared" si="158"/>
        <v>317.03005098025352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9.4455484657307132</v>
      </c>
      <c r="GM144" s="21">
        <f>EXP(-LN(2)/25)*GM143+(1-EXP(-LN(2)/25))/(LN(2)/25)*Calculateur!GH144*Calculateur!GJ144*VLOOKUP('Données projet'!$B$17,Paramètres!$A$1:$I$89,3,0)*0.475*44/12</f>
        <v>1.6853626431808304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11.130911108911544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5.6843418860808015E-13</v>
      </c>
      <c r="GV144" s="17">
        <f>GU144*VLOOKUP('Données projet'!$B$18,Paramètres!$A$1:$I$89,3,0)*VLOOKUP('Données projet'!$B$18,Paramètres!$A$1:$I$89,5,0)</f>
        <v>5.4092197387944907E-13</v>
      </c>
      <c r="GW144" s="13">
        <f t="shared" si="159"/>
        <v>6.6765148417791561E-12</v>
      </c>
      <c r="GX144" s="20">
        <f t="shared" si="136"/>
        <v>1.2570369120605403E-11</v>
      </c>
      <c r="GY144" s="59">
        <f t="shared" si="137"/>
        <v>293.33333333334588</v>
      </c>
      <c r="GZ144" s="59">
        <f ca="1">AVERAGE(OFFSET($GY$3,0,0,'Données projet'!$E$18+1,1))-AVERAGE(OFFSET($H$3,0,0,'Données projet'!$E$18+1,1))</f>
        <v>401.81944956556271</v>
      </c>
      <c r="HA144" s="59">
        <f t="shared" si="160"/>
        <v>292.20785523952651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147.52083677960857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147.52083677960857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5.1431925385259092E-13</v>
      </c>
      <c r="P145" s="13">
        <f t="shared" si="141"/>
        <v>6.3855359115685756E-12</v>
      </c>
      <c r="Q145" s="20">
        <f t="shared" si="108"/>
        <v>1.2017247746441865E-11</v>
      </c>
      <c r="R145" s="59">
        <f t="shared" si="109"/>
        <v>293.33333333334531</v>
      </c>
      <c r="S145" s="59">
        <f ca="1">AVERAGE(OFFSET($R$3,0,0,'Données projet'!$E$9+1,1))-AVERAGE(OFFSET($H$3,0,0,'Données projet'!$E$9+1,1))</f>
        <v>384.05928630855732</v>
      </c>
      <c r="T145" s="59">
        <f t="shared" si="142"/>
        <v>279.93992813630513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-6.3550942286383367E-14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335.04906256888819</v>
      </c>
      <c r="AO145" s="59">
        <f t="shared" si="144"/>
        <v>440.84111898279554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40.466415141661109</v>
      </c>
      <c r="AV145" s="21">
        <f>EXP(-LN(2)/25)*AV144+(1-EXP(-LN(2)/25))/(LN(2)/25)*Calculateur!AQ145*Calculateur!AS145*VLOOKUP('Données projet'!$B$10,Paramètres!$A$1:$I$89,3,0)*0.475*44/12</f>
        <v>5.1629272261709467</v>
      </c>
      <c r="AW145" s="21">
        <f>EXP(-LN(2)/2)*AW144+(1-EXP(-LN(2)/2))/(LN(2)/2)*AQ145*AT145*VLOOKUP('Données projet'!$B$10,Paramètres!$A$1:$I$89,3,0)*0.475*44/12</f>
        <v>2.7461839767378352E-12</v>
      </c>
      <c r="AX145" s="21">
        <f t="shared" si="114"/>
        <v>45.629342367834795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-1.4210854715202004E-13</v>
      </c>
      <c r="BE145" s="13">
        <f>BD145*VLOOKUP('Données projet'!$B$11,Paramètres!$A$1:$I$89,3,0)*VLOOKUP('Données projet'!$B$11,Paramètres!$A$1:$I$89,5,0)</f>
        <v>-8.128608897095547E-14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320.76883487964511</v>
      </c>
      <c r="BJ145" s="59">
        <f t="shared" si="146"/>
        <v>290.51177680335746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48.500462656689912</v>
      </c>
      <c r="BQ145" s="21">
        <f>EXP(-LN(2)/25)*BQ144+(1-EXP(-LN(2)/25))/(LN(2)/25)*Calculateur!BL145*Calculateur!BN145*VLOOKUP('Données projet'!$B$11,Paramètres!$A$1:$I$89,3,0)*0.475*44/12</f>
        <v>7.8876739890397163</v>
      </c>
      <c r="BR145" s="21">
        <f>EXP(-LN(2)/2)*BR144+(1-EXP(-LN(2)/2))/(LN(2)/2)*BL145*BO145*VLOOKUP('Données projet'!$B$11,Paramètres!$A$1:$I$89,3,0)*0.475*44/12</f>
        <v>4.7418977780993399E-7</v>
      </c>
      <c r="BS145" s="22">
        <f t="shared" si="117"/>
        <v>56.388137119919406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304.99999999999983</v>
      </c>
      <c r="BZ145" s="13">
        <f>BY145*VLOOKUP('Données projet'!$B$12,Paramètres!$A$1:$I$89,3,0)*VLOOKUP('Données projet'!$B$12,Paramètres!$A$1:$I$89,5,0)</f>
        <v>275.96399999999983</v>
      </c>
      <c r="CA145" s="13">
        <f t="shared" si="147"/>
        <v>66.113366665488854</v>
      </c>
      <c r="CB145" s="20">
        <f t="shared" si="118"/>
        <v>595.78474694239264</v>
      </c>
      <c r="CC145" s="59">
        <f t="shared" si="119"/>
        <v>889.11808027572602</v>
      </c>
      <c r="CD145" s="59">
        <f ca="1">AVERAGE(OFFSET($CC$3,0,0,'Données projet'!$E$12+1,1))-AVERAGE(OFFSET($H$3,0,0,'Données projet'!$E$12+1,1))</f>
        <v>366.69125512029831</v>
      </c>
      <c r="CE145" s="59">
        <f t="shared" si="148"/>
        <v>513.80016421153414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0.17588023926897603</v>
      </c>
      <c r="CL145" s="21">
        <f>EXP(-LN(2)/25)*CL144+(1-EXP(-LN(2)/25))/(LN(2)/25)*Calculateur!CG145*Calculateur!CI145*VLOOKUP('Données projet'!$B$12,Paramètres!$A$1:$I$89,3,0)*0.475*44/12</f>
        <v>0.33084055750175007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0.50672079677072612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5.6843418860808015E-13</v>
      </c>
      <c r="CU145" s="17">
        <f>CT145*VLOOKUP('Données projet'!$B$13,Paramètres!$A$1:$I$89,3,0)*VLOOKUP('Données projet'!$B$13,Paramètres!$A$1:$I$89,5,0)</f>
        <v>3.8130565371830017E-13</v>
      </c>
      <c r="CV145" s="13">
        <f t="shared" si="149"/>
        <v>4.9019074112354236E-12</v>
      </c>
      <c r="CW145" s="20">
        <f t="shared" si="121"/>
        <v>9.2015960881277352E-12</v>
      </c>
      <c r="CX145" s="59">
        <f t="shared" si="122"/>
        <v>293.33333333334252</v>
      </c>
      <c r="CY145" s="59">
        <f ca="1">AVERAGE(OFFSET($CX$3,0,0,'Données projet'!$E$13+1,1))-AVERAGE(OFFSET($H$3,0,0,'Données projet'!$E$13+1,1))</f>
        <v>294.94331863127815</v>
      </c>
      <c r="CZ145" s="59">
        <f t="shared" si="150"/>
        <v>218.36990036643977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125.66043093289943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125.66043093289943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266.99999999999983</v>
      </c>
      <c r="DP145" s="17">
        <f>DO145*VLOOKUP('Données projet'!$B$14,Paramètres!$A$1:$I$89,3,0)*VLOOKUP('Données projet'!$B$14,Paramètres!$A$1:$I$89,5,0)</f>
        <v>195.76439999999985</v>
      </c>
      <c r="DQ145" s="13">
        <f t="shared" si="151"/>
        <v>48.812154563023455</v>
      </c>
      <c r="DR145" s="20">
        <f t="shared" si="124"/>
        <v>425.9708325305989</v>
      </c>
      <c r="DS145" s="59">
        <f t="shared" si="125"/>
        <v>719.30416586393221</v>
      </c>
      <c r="DT145" s="59">
        <f ca="1">AVERAGE(OFFSET($DS$3,0,0,'Données projet'!$E$14+1,1))-AVERAGE(OFFSET($H$3,0,0,'Données projet'!$E$14+1,1))</f>
        <v>278.45534008146865</v>
      </c>
      <c r="DU145" s="59">
        <f t="shared" si="152"/>
        <v>272.97841038165217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6.3056337299592542</v>
      </c>
      <c r="EB145" s="21">
        <f>EXP(-LN(2)/25)*EB144+(1-EXP(-LN(2)/25))/(LN(2)/25)*Calculateur!DW145*Calculateur!DY145*VLOOKUP('Données projet'!$B$14,Paramètres!$A$1:$I$89,3,0)*0.475*44/12</f>
        <v>1.1162322873052248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7.4218660172644793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5.6843418860808015E-13</v>
      </c>
      <c r="EK145" s="17">
        <f>EJ145*VLOOKUP('Données projet'!$B$15,Paramètres!$A$1:$I$89,3,0)*VLOOKUP('Données projet'!$B$15,Paramètres!$A$1:$I$89,5,0)</f>
        <v>6.1186256061773743E-13</v>
      </c>
      <c r="EL145" s="13">
        <f t="shared" si="153"/>
        <v>7.4445668332430206E-12</v>
      </c>
      <c r="EM145" s="20">
        <f t="shared" si="127"/>
        <v>1.4031614527640822E-11</v>
      </c>
      <c r="EN145" s="59">
        <f t="shared" si="128"/>
        <v>293.33333333334735</v>
      </c>
      <c r="EO145" s="59">
        <f ca="1">AVERAGE(OFFSET($EN$3,0,0,'Données projet'!$E$15+1,1))-AVERAGE(OFFSET($H$3,0,0,'Données projet'!$E$15+1,1))</f>
        <v>449.09332781196957</v>
      </c>
      <c r="EP145" s="59">
        <f t="shared" si="154"/>
        <v>324.85904971519432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163.59565536547282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163.59565536547282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5.6843418860808015E-13</v>
      </c>
      <c r="FF145" s="17">
        <f>FE145*VLOOKUP('Données projet'!$B$16,Paramètres!$A$1:$I$89,3,0)*VLOOKUP('Données projet'!$B$16,Paramètres!$A$1:$I$89,5,0)</f>
        <v>5.763922672485933E-13</v>
      </c>
      <c r="FG145" s="13">
        <f t="shared" si="155"/>
        <v>7.0619171555808457E-12</v>
      </c>
      <c r="FH145" s="20">
        <f t="shared" si="130"/>
        <v>1.3303388911427938E-11</v>
      </c>
      <c r="FI145" s="59">
        <f t="shared" si="131"/>
        <v>293.33333333334662</v>
      </c>
      <c r="FJ145" s="59">
        <f ca="1">AVERAGE(OFFSET($FI$3,0,0,'Données projet'!$E$16+1,1))-AVERAGE(OFFSET($H$3,0,0,'Données projet'!$E$16+1,1))</f>
        <v>419.51168383014721</v>
      </c>
      <c r="FK145" s="59">
        <f t="shared" si="156"/>
        <v>213.44145308833384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154.11184925732951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154.11184925732951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266.99999999999983</v>
      </c>
      <c r="GA145" s="17">
        <f>FZ145*VLOOKUP('Données projet'!$B$17,Paramètres!$A$1:$I$89,3,0)*VLOOKUP('Données projet'!$B$17,Paramètres!$A$1:$I$89,5,0)</f>
        <v>233.2511999999999</v>
      </c>
      <c r="GB145" s="13">
        <f t="shared" si="157"/>
        <v>56.985091661350864</v>
      </c>
      <c r="GC145" s="20">
        <f t="shared" si="133"/>
        <v>505.49487464351915</v>
      </c>
      <c r="GD145" s="59">
        <f t="shared" si="134"/>
        <v>798.82820797685247</v>
      </c>
      <c r="GE145" s="59">
        <f ca="1">AVERAGE(OFFSET($GD$3,0,0,'Données projet'!$E$17+1,1))-AVERAGE(OFFSET($H$3,0,0,'Données projet'!$E$17+1,1))</f>
        <v>324.86930206492627</v>
      </c>
      <c r="GF145" s="59">
        <f t="shared" si="158"/>
        <v>317.03005098025352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9.2603270215334259</v>
      </c>
      <c r="GM145" s="21">
        <f>EXP(-LN(2)/25)*GM144+(1-EXP(-LN(2)/25))/(LN(2)/25)*Calculateur!GH145*Calculateur!GJ145*VLOOKUP('Données projet'!$B$17,Paramètres!$A$1:$I$89,3,0)*0.475*44/12</f>
        <v>1.6392763130736812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10.899603334607107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5.6843418860808015E-13</v>
      </c>
      <c r="GV145" s="17">
        <f>GU145*VLOOKUP('Données projet'!$B$18,Paramètres!$A$1:$I$89,3,0)*VLOOKUP('Données projet'!$B$18,Paramètres!$A$1:$I$89,5,0)</f>
        <v>5.4092197387944907E-13</v>
      </c>
      <c r="GW145" s="13">
        <f t="shared" si="159"/>
        <v>6.6765148417791561E-12</v>
      </c>
      <c r="GX145" s="20">
        <f t="shared" si="136"/>
        <v>1.2570369120605403E-11</v>
      </c>
      <c r="GY145" s="59">
        <f t="shared" si="137"/>
        <v>293.33333333334588</v>
      </c>
      <c r="GZ145" s="59">
        <f ca="1">AVERAGE(OFFSET($GY$3,0,0,'Données projet'!$E$18+1,1))-AVERAGE(OFFSET($H$3,0,0,'Données projet'!$E$18+1,1))</f>
        <v>401.81944956556271</v>
      </c>
      <c r="HA145" s="59">
        <f t="shared" si="160"/>
        <v>292.20785523952651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144.62804314918623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144.62804314918623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5.1431925385259092E-13</v>
      </c>
      <c r="P146" s="13">
        <f t="shared" si="141"/>
        <v>6.3855359115685756E-12</v>
      </c>
      <c r="Q146" s="20">
        <f t="shared" si="108"/>
        <v>1.2017247746441865E-11</v>
      </c>
      <c r="R146" s="59">
        <f t="shared" si="109"/>
        <v>293.33333333334531</v>
      </c>
      <c r="S146" s="59">
        <f ca="1">AVERAGE(OFFSET($R$3,0,0,'Données projet'!$E$9+1,1))-AVERAGE(OFFSET($H$3,0,0,'Données projet'!$E$9+1,1))</f>
        <v>384.05928630855732</v>
      </c>
      <c r="T146" s="59">
        <f t="shared" si="142"/>
        <v>279.93992813630513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-6.3550942286383367E-14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335.04906256888819</v>
      </c>
      <c r="AO146" s="59">
        <f t="shared" si="144"/>
        <v>440.84111898279554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39.672893422809217</v>
      </c>
      <c r="AV146" s="21">
        <f>EXP(-LN(2)/25)*AV145+(1-EXP(-LN(2)/25))/(LN(2)/25)*Calculateur!AQ146*Calculateur!AS146*VLOOKUP('Données projet'!$B$10,Paramètres!$A$1:$I$89,3,0)*0.475*44/12</f>
        <v>5.0217467096647592</v>
      </c>
      <c r="AW146" s="21">
        <f>EXP(-LN(2)/2)*AW145+(1-EXP(-LN(2)/2))/(LN(2)/2)*AQ146*AT146*VLOOKUP('Données projet'!$B$10,Paramètres!$A$1:$I$89,3,0)*0.475*44/12</f>
        <v>1.9418453123371633E-12</v>
      </c>
      <c r="AX146" s="21">
        <f t="shared" si="114"/>
        <v>44.694640132475918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-1.4210854715202004E-13</v>
      </c>
      <c r="BE146" s="13">
        <f>BD146*VLOOKUP('Données projet'!$B$11,Paramètres!$A$1:$I$89,3,0)*VLOOKUP('Données projet'!$B$11,Paramètres!$A$1:$I$89,5,0)</f>
        <v>-8.128608897095547E-14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320.76883487964511</v>
      </c>
      <c r="BJ146" s="59">
        <f t="shared" si="146"/>
        <v>290.51177680335746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47.549398166353427</v>
      </c>
      <c r="BQ146" s="21">
        <f>EXP(-LN(2)/25)*BQ145+(1-EXP(-LN(2)/25))/(LN(2)/25)*Calculateur!BL146*Calculateur!BN146*VLOOKUP('Données projet'!$B$11,Paramètres!$A$1:$I$89,3,0)*0.475*44/12</f>
        <v>7.6719851290146774</v>
      </c>
      <c r="BR146" s="21">
        <f>EXP(-LN(2)/2)*BR145+(1-EXP(-LN(2)/2))/(LN(2)/2)*BL146*BO146*VLOOKUP('Données projet'!$B$11,Paramètres!$A$1:$I$89,3,0)*0.475*44/12</f>
        <v>3.353028074587466E-7</v>
      </c>
      <c r="BS146" s="22">
        <f t="shared" si="117"/>
        <v>55.221383630670914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304.99999999999983</v>
      </c>
      <c r="BZ146" s="13">
        <f>BY146*VLOOKUP('Données projet'!$B$12,Paramètres!$A$1:$I$89,3,0)*VLOOKUP('Données projet'!$B$12,Paramètres!$A$1:$I$89,5,0)</f>
        <v>275.96399999999983</v>
      </c>
      <c r="CA146" s="13">
        <f t="shared" si="147"/>
        <v>66.113366665488854</v>
      </c>
      <c r="CB146" s="20">
        <f t="shared" si="118"/>
        <v>595.78474694239264</v>
      </c>
      <c r="CC146" s="59">
        <f t="shared" si="119"/>
        <v>889.11808027572602</v>
      </c>
      <c r="CD146" s="59">
        <f ca="1">AVERAGE(OFFSET($CC$3,0,0,'Données projet'!$E$12+1,1))-AVERAGE(OFFSET($H$3,0,0,'Données projet'!$E$12+1,1))</f>
        <v>366.69125512029831</v>
      </c>
      <c r="CE146" s="59">
        <f t="shared" si="148"/>
        <v>513.80016421153414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0.17243133505326472</v>
      </c>
      <c r="CL146" s="21">
        <f>EXP(-LN(2)/25)*CL145+(1-EXP(-LN(2)/25))/(LN(2)/25)*Calculateur!CG146*Calculateur!CI146*VLOOKUP('Données projet'!$B$12,Paramètres!$A$1:$I$89,3,0)*0.475*44/12</f>
        <v>0.32179370505871596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0.49422504011198065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5.6843418860808015E-13</v>
      </c>
      <c r="CU146" s="17">
        <f>CT146*VLOOKUP('Données projet'!$B$13,Paramètres!$A$1:$I$89,3,0)*VLOOKUP('Données projet'!$B$13,Paramètres!$A$1:$I$89,5,0)</f>
        <v>3.8130565371830017E-13</v>
      </c>
      <c r="CV146" s="13">
        <f t="shared" si="149"/>
        <v>4.9019074112354236E-12</v>
      </c>
      <c r="CW146" s="20">
        <f t="shared" si="121"/>
        <v>9.2015960881277352E-12</v>
      </c>
      <c r="CX146" s="59">
        <f t="shared" si="122"/>
        <v>293.33333333334252</v>
      </c>
      <c r="CY146" s="59">
        <f ca="1">AVERAGE(OFFSET($CX$3,0,0,'Données projet'!$E$13+1,1))-AVERAGE(OFFSET($H$3,0,0,'Données projet'!$E$13+1,1))</f>
        <v>294.94331863127815</v>
      </c>
      <c r="CZ146" s="59">
        <f t="shared" si="150"/>
        <v>218.36990036643977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123.19630652760004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123.19630652760004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266.99999999999983</v>
      </c>
      <c r="DP146" s="17">
        <f>DO146*VLOOKUP('Données projet'!$B$14,Paramètres!$A$1:$I$89,3,0)*VLOOKUP('Données projet'!$B$14,Paramètres!$A$1:$I$89,5,0)</f>
        <v>195.76439999999985</v>
      </c>
      <c r="DQ146" s="13">
        <f t="shared" si="151"/>
        <v>48.812154563023455</v>
      </c>
      <c r="DR146" s="20">
        <f t="shared" si="124"/>
        <v>425.9708325305989</v>
      </c>
      <c r="DS146" s="59">
        <f t="shared" si="125"/>
        <v>719.30416586393221</v>
      </c>
      <c r="DT146" s="59">
        <f ca="1">AVERAGE(OFFSET($DS$3,0,0,'Données projet'!$E$14+1,1))-AVERAGE(OFFSET($H$3,0,0,'Données projet'!$E$14+1,1))</f>
        <v>278.45534008146865</v>
      </c>
      <c r="DU146" s="59">
        <f t="shared" si="152"/>
        <v>272.97841038165217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6.1819840985715615</v>
      </c>
      <c r="EB146" s="21">
        <f>EXP(-LN(2)/25)*EB145+(1-EXP(-LN(2)/25))/(LN(2)/25)*Calculateur!DW146*Calculateur!DY146*VLOOKUP('Données projet'!$B$14,Paramètres!$A$1:$I$89,3,0)*0.475*44/12</f>
        <v>1.0857088567087587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7.26769295528032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5.6843418860808015E-13</v>
      </c>
      <c r="EK146" s="17">
        <f>EJ146*VLOOKUP('Données projet'!$B$15,Paramètres!$A$1:$I$89,3,0)*VLOOKUP('Données projet'!$B$15,Paramètres!$A$1:$I$89,5,0)</f>
        <v>6.1186256061773743E-13</v>
      </c>
      <c r="EL146" s="13">
        <f t="shared" si="153"/>
        <v>7.4445668332430206E-12</v>
      </c>
      <c r="EM146" s="20">
        <f t="shared" si="127"/>
        <v>1.4031614527640822E-11</v>
      </c>
      <c r="EN146" s="59">
        <f t="shared" si="128"/>
        <v>293.33333333334735</v>
      </c>
      <c r="EO146" s="59">
        <f ca="1">AVERAGE(OFFSET($EN$3,0,0,'Données projet'!$E$15+1,1))-AVERAGE(OFFSET($H$3,0,0,'Données projet'!$E$15+1,1))</f>
        <v>449.09332781196957</v>
      </c>
      <c r="EP146" s="59">
        <f t="shared" si="154"/>
        <v>324.85904971519432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160.38764434725286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160.38764434725286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5.6843418860808015E-13</v>
      </c>
      <c r="FF146" s="17">
        <f>FE146*VLOOKUP('Données projet'!$B$16,Paramètres!$A$1:$I$89,3,0)*VLOOKUP('Données projet'!$B$16,Paramètres!$A$1:$I$89,5,0)</f>
        <v>5.763922672485933E-13</v>
      </c>
      <c r="FG146" s="13">
        <f t="shared" si="155"/>
        <v>7.0619171555808457E-12</v>
      </c>
      <c r="FH146" s="20">
        <f t="shared" si="130"/>
        <v>1.3303388911427938E-11</v>
      </c>
      <c r="FI146" s="59">
        <f t="shared" si="131"/>
        <v>293.33333333334662</v>
      </c>
      <c r="FJ146" s="59">
        <f ca="1">AVERAGE(OFFSET($FI$3,0,0,'Données projet'!$E$16+1,1))-AVERAGE(OFFSET($H$3,0,0,'Données projet'!$E$16+1,1))</f>
        <v>419.51168383014721</v>
      </c>
      <c r="FK146" s="59">
        <f t="shared" si="156"/>
        <v>213.44145308833384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151.0898098923397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151.0898098923397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266.99999999999983</v>
      </c>
      <c r="GA146" s="17">
        <f>FZ146*VLOOKUP('Données projet'!$B$17,Paramètres!$A$1:$I$89,3,0)*VLOOKUP('Données projet'!$B$17,Paramètres!$A$1:$I$89,5,0)</f>
        <v>233.2511999999999</v>
      </c>
      <c r="GB146" s="13">
        <f t="shared" si="157"/>
        <v>56.985091661350864</v>
      </c>
      <c r="GC146" s="20">
        <f t="shared" si="133"/>
        <v>505.49487464351915</v>
      </c>
      <c r="GD146" s="59">
        <f t="shared" si="134"/>
        <v>798.82820797685247</v>
      </c>
      <c r="GE146" s="59">
        <f ca="1">AVERAGE(OFFSET($GD$3,0,0,'Données projet'!$E$17+1,1))-AVERAGE(OFFSET($H$3,0,0,'Données projet'!$E$17+1,1))</f>
        <v>324.86930206492627</v>
      </c>
      <c r="GF146" s="59">
        <f t="shared" si="158"/>
        <v>317.03005098025352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9.0787376568829217</v>
      </c>
      <c r="GM146" s="21">
        <f>EXP(-LN(2)/25)*GM145+(1-EXP(-LN(2)/25))/(LN(2)/25)*Calculateur!GH146*Calculateur!GJ146*VLOOKUP('Données projet'!$B$17,Paramètres!$A$1:$I$89,3,0)*0.475*44/12</f>
        <v>1.5944502160868868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10.673187872969809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5.6843418860808015E-13</v>
      </c>
      <c r="GV146" s="17">
        <f>GU146*VLOOKUP('Données projet'!$B$18,Paramètres!$A$1:$I$89,3,0)*VLOOKUP('Données projet'!$B$18,Paramètres!$A$1:$I$89,5,0)</f>
        <v>5.4092197387944907E-13</v>
      </c>
      <c r="GW146" s="13">
        <f t="shared" si="159"/>
        <v>6.6765148417791561E-12</v>
      </c>
      <c r="GX146" s="20">
        <f t="shared" si="136"/>
        <v>1.2570369120605403E-11</v>
      </c>
      <c r="GY146" s="59">
        <f t="shared" si="137"/>
        <v>293.33333333334588</v>
      </c>
      <c r="GZ146" s="59">
        <f ca="1">AVERAGE(OFFSET($GY$3,0,0,'Données projet'!$E$18+1,1))-AVERAGE(OFFSET($H$3,0,0,'Données projet'!$E$18+1,1))</f>
        <v>401.81944956556271</v>
      </c>
      <c r="HA146" s="59">
        <f t="shared" si="160"/>
        <v>292.20785523952651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141.79197543742654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141.79197543742654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5.1431925385259092E-13</v>
      </c>
      <c r="P147" s="13">
        <f t="shared" si="141"/>
        <v>6.3855359115685756E-12</v>
      </c>
      <c r="Q147" s="20">
        <f t="shared" si="108"/>
        <v>1.2017247746441865E-11</v>
      </c>
      <c r="R147" s="59">
        <f t="shared" si="109"/>
        <v>293.33333333334531</v>
      </c>
      <c r="S147" s="59">
        <f ca="1">AVERAGE(OFFSET($R$3,0,0,'Données projet'!$E$9+1,1))-AVERAGE(OFFSET($H$3,0,0,'Données projet'!$E$9+1,1))</f>
        <v>384.05928630855732</v>
      </c>
      <c r="T147" s="59">
        <f t="shared" si="142"/>
        <v>279.93992813630513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-6.3550942286383367E-14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335.04906256888819</v>
      </c>
      <c r="AO147" s="59">
        <f t="shared" si="144"/>
        <v>440.84111898279554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38.894932180863556</v>
      </c>
      <c r="AV147" s="21">
        <f>EXP(-LN(2)/25)*AV146+(1-EXP(-LN(2)/25))/(LN(2)/25)*Calculateur!AQ147*Calculateur!AS147*VLOOKUP('Données projet'!$B$10,Paramètres!$A$1:$I$89,3,0)*0.475*44/12</f>
        <v>4.8844267818067939</v>
      </c>
      <c r="AW147" s="21">
        <f>EXP(-LN(2)/2)*AW146+(1-EXP(-LN(2)/2))/(LN(2)/2)*AQ147*AT147*VLOOKUP('Données projet'!$B$10,Paramètres!$A$1:$I$89,3,0)*0.475*44/12</f>
        <v>1.3730919883689176E-12</v>
      </c>
      <c r="AX147" s="21">
        <f t="shared" si="114"/>
        <v>43.779358962671722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-1.4210854715202004E-13</v>
      </c>
      <c r="BE147" s="13">
        <f>BD147*VLOOKUP('Données projet'!$B$11,Paramètres!$A$1:$I$89,3,0)*VLOOKUP('Données projet'!$B$11,Paramètres!$A$1:$I$89,5,0)</f>
        <v>-8.128608897095547E-14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320.76883487964511</v>
      </c>
      <c r="BJ147" s="59">
        <f t="shared" si="146"/>
        <v>290.51177680335746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46.616983470580379</v>
      </c>
      <c r="BQ147" s="21">
        <f>EXP(-LN(2)/25)*BQ146+(1-EXP(-LN(2)/25))/(LN(2)/25)*Calculateur!BL147*Calculateur!BN147*VLOOKUP('Données projet'!$B$11,Paramètres!$A$1:$I$89,3,0)*0.475*44/12</f>
        <v>7.4621942922096078</v>
      </c>
      <c r="BR147" s="21">
        <f>EXP(-LN(2)/2)*BR146+(1-EXP(-LN(2)/2))/(LN(2)/2)*BL147*BO147*VLOOKUP('Données projet'!$B$11,Paramètres!$A$1:$I$89,3,0)*0.475*44/12</f>
        <v>2.3709488890496702E-7</v>
      </c>
      <c r="BS147" s="22">
        <f t="shared" si="117"/>
        <v>54.079177999884877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304.99999999999983</v>
      </c>
      <c r="BZ147" s="13">
        <f>BY147*VLOOKUP('Données projet'!$B$12,Paramètres!$A$1:$I$89,3,0)*VLOOKUP('Données projet'!$B$12,Paramètres!$A$1:$I$89,5,0)</f>
        <v>275.96399999999983</v>
      </c>
      <c r="CA147" s="13">
        <f t="shared" si="147"/>
        <v>66.113366665488854</v>
      </c>
      <c r="CB147" s="20">
        <f t="shared" si="118"/>
        <v>595.78474694239264</v>
      </c>
      <c r="CC147" s="59">
        <f t="shared" si="119"/>
        <v>889.11808027572602</v>
      </c>
      <c r="CD147" s="59">
        <f ca="1">AVERAGE(OFFSET($CC$3,0,0,'Données projet'!$E$12+1,1))-AVERAGE(OFFSET($H$3,0,0,'Données projet'!$E$12+1,1))</f>
        <v>366.69125512029831</v>
      </c>
      <c r="CE147" s="59">
        <f t="shared" si="148"/>
        <v>513.80016421153414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0.16905006174559964</v>
      </c>
      <c r="CL147" s="21">
        <f>EXP(-LN(2)/25)*CL146+(1-EXP(-LN(2)/25))/(LN(2)/25)*Calculateur!CG147*Calculateur!CI147*VLOOKUP('Données projet'!$B$12,Paramètres!$A$1:$I$89,3,0)*0.475*44/12</f>
        <v>0.31299423927148989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0.4820443010170895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5.6843418860808015E-13</v>
      </c>
      <c r="CU147" s="17">
        <f>CT147*VLOOKUP('Données projet'!$B$13,Paramètres!$A$1:$I$89,3,0)*VLOOKUP('Données projet'!$B$13,Paramètres!$A$1:$I$89,5,0)</f>
        <v>3.8130565371830017E-13</v>
      </c>
      <c r="CV147" s="13">
        <f t="shared" si="149"/>
        <v>4.9019074112354236E-12</v>
      </c>
      <c r="CW147" s="20">
        <f t="shared" si="121"/>
        <v>9.2015960881277352E-12</v>
      </c>
      <c r="CX147" s="59">
        <f t="shared" si="122"/>
        <v>293.33333333334252</v>
      </c>
      <c r="CY147" s="59">
        <f ca="1">AVERAGE(OFFSET($CX$3,0,0,'Données projet'!$E$13+1,1))-AVERAGE(OFFSET($H$3,0,0,'Données projet'!$E$13+1,1))</f>
        <v>294.94331863127815</v>
      </c>
      <c r="CZ147" s="59">
        <f t="shared" si="150"/>
        <v>218.36990036643977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120.7805020989211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120.7805020989211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266.99999999999983</v>
      </c>
      <c r="DP147" s="17">
        <f>DO147*VLOOKUP('Données projet'!$B$14,Paramètres!$A$1:$I$89,3,0)*VLOOKUP('Données projet'!$B$14,Paramètres!$A$1:$I$89,5,0)</f>
        <v>195.76439999999985</v>
      </c>
      <c r="DQ147" s="13">
        <f t="shared" si="151"/>
        <v>48.812154563023455</v>
      </c>
      <c r="DR147" s="20">
        <f t="shared" si="124"/>
        <v>425.9708325305989</v>
      </c>
      <c r="DS147" s="59">
        <f t="shared" si="125"/>
        <v>719.30416586393221</v>
      </c>
      <c r="DT147" s="59">
        <f ca="1">AVERAGE(OFFSET($DS$3,0,0,'Données projet'!$E$14+1,1))-AVERAGE(OFFSET($H$3,0,0,'Données projet'!$E$14+1,1))</f>
        <v>278.45534008146865</v>
      </c>
      <c r="DU147" s="59">
        <f t="shared" si="152"/>
        <v>272.97841038165217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6.0607591610365539</v>
      </c>
      <c r="EB147" s="21">
        <f>EXP(-LN(2)/25)*EB146+(1-EXP(-LN(2)/25))/(LN(2)/25)*Calculateur!DW147*Calculateur!DY147*VLOOKUP('Données projet'!$B$14,Paramètres!$A$1:$I$89,3,0)*0.475*44/12</f>
        <v>1.0560200909271105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7.1167792519636643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5.6843418860808015E-13</v>
      </c>
      <c r="EK147" s="17">
        <f>EJ147*VLOOKUP('Données projet'!$B$15,Paramètres!$A$1:$I$89,3,0)*VLOOKUP('Données projet'!$B$15,Paramètres!$A$1:$I$89,5,0)</f>
        <v>6.1186256061773743E-13</v>
      </c>
      <c r="EL147" s="13">
        <f t="shared" si="153"/>
        <v>7.4445668332430206E-12</v>
      </c>
      <c r="EM147" s="20">
        <f t="shared" si="127"/>
        <v>1.4031614527640822E-11</v>
      </c>
      <c r="EN147" s="59">
        <f t="shared" si="128"/>
        <v>293.33333333334735</v>
      </c>
      <c r="EO147" s="59">
        <f ca="1">AVERAGE(OFFSET($EN$3,0,0,'Données projet'!$E$15+1,1))-AVERAGE(OFFSET($H$3,0,0,'Données projet'!$E$15+1,1))</f>
        <v>449.09332781196957</v>
      </c>
      <c r="EP147" s="59">
        <f t="shared" si="154"/>
        <v>324.85904971519432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157.2425404684067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157.2425404684067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5.6843418860808015E-13</v>
      </c>
      <c r="FF147" s="17">
        <f>FE147*VLOOKUP('Données projet'!$B$16,Paramètres!$A$1:$I$89,3,0)*VLOOKUP('Données projet'!$B$16,Paramètres!$A$1:$I$89,5,0)</f>
        <v>5.763922672485933E-13</v>
      </c>
      <c r="FG147" s="13">
        <f t="shared" si="155"/>
        <v>7.0619171555808457E-12</v>
      </c>
      <c r="FH147" s="20">
        <f t="shared" si="130"/>
        <v>1.3303388911427938E-11</v>
      </c>
      <c r="FI147" s="59">
        <f t="shared" si="131"/>
        <v>293.33333333334662</v>
      </c>
      <c r="FJ147" s="59">
        <f ca="1">AVERAGE(OFFSET($FI$3,0,0,'Données projet'!$E$16+1,1))-AVERAGE(OFFSET($H$3,0,0,'Données projet'!$E$16+1,1))</f>
        <v>419.51168383014721</v>
      </c>
      <c r="FK147" s="59">
        <f t="shared" si="156"/>
        <v>213.44145308833384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148.12703087603535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148.12703087603535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266.99999999999983</v>
      </c>
      <c r="GA147" s="17">
        <f>FZ147*VLOOKUP('Données projet'!$B$17,Paramètres!$A$1:$I$89,3,0)*VLOOKUP('Données projet'!$B$17,Paramètres!$A$1:$I$89,5,0)</f>
        <v>233.2511999999999</v>
      </c>
      <c r="GB147" s="13">
        <f t="shared" si="157"/>
        <v>56.985091661350864</v>
      </c>
      <c r="GC147" s="20">
        <f t="shared" si="133"/>
        <v>505.49487464351915</v>
      </c>
      <c r="GD147" s="59">
        <f t="shared" si="134"/>
        <v>798.82820797685247</v>
      </c>
      <c r="GE147" s="59">
        <f ca="1">AVERAGE(OFFSET($GD$3,0,0,'Données projet'!$E$17+1,1))-AVERAGE(OFFSET($H$3,0,0,'Données projet'!$E$17+1,1))</f>
        <v>324.86930206492627</v>
      </c>
      <c r="GF147" s="59">
        <f t="shared" si="158"/>
        <v>317.03005098025352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8.9007091489146379</v>
      </c>
      <c r="GM147" s="21">
        <f>EXP(-LN(2)/25)*GM146+(1-EXP(-LN(2)/25))/(LN(2)/25)*Calculateur!GH147*Calculateur!GJ147*VLOOKUP('Données projet'!$B$17,Paramètres!$A$1:$I$89,3,0)*0.475*44/12</f>
        <v>1.5508498910794981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10.451559039994136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5.6843418860808015E-13</v>
      </c>
      <c r="GV147" s="17">
        <f>GU147*VLOOKUP('Données projet'!$B$18,Paramètres!$A$1:$I$89,3,0)*VLOOKUP('Données projet'!$B$18,Paramètres!$A$1:$I$89,5,0)</f>
        <v>5.4092197387944907E-13</v>
      </c>
      <c r="GW147" s="13">
        <f t="shared" si="159"/>
        <v>6.6765148417791561E-12</v>
      </c>
      <c r="GX147" s="20">
        <f t="shared" si="136"/>
        <v>1.2570369120605403E-11</v>
      </c>
      <c r="GY147" s="59">
        <f t="shared" si="137"/>
        <v>293.33333333334588</v>
      </c>
      <c r="GZ147" s="59">
        <f ca="1">AVERAGE(OFFSET($GY$3,0,0,'Données projet'!$E$18+1,1))-AVERAGE(OFFSET($H$3,0,0,'Données projet'!$E$18+1,1))</f>
        <v>401.81944956556271</v>
      </c>
      <c r="HA147" s="59">
        <f t="shared" si="160"/>
        <v>292.20785523952651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139.011521283664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139.011521283664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5.1431925385259092E-13</v>
      </c>
      <c r="P148" s="13">
        <f t="shared" si="141"/>
        <v>6.3855359115685756E-12</v>
      </c>
      <c r="Q148" s="20">
        <f t="shared" si="108"/>
        <v>1.2017247746441865E-11</v>
      </c>
      <c r="R148" s="59">
        <f t="shared" si="109"/>
        <v>293.33333333334531</v>
      </c>
      <c r="S148" s="59">
        <f ca="1">AVERAGE(OFFSET($R$3,0,0,'Données projet'!$E$9+1,1))-AVERAGE(OFFSET($H$3,0,0,'Données projet'!$E$9+1,1))</f>
        <v>384.05928630855732</v>
      </c>
      <c r="T148" s="59">
        <f t="shared" si="142"/>
        <v>279.93992813630513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-6.3550942286383367E-14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335.04906256888819</v>
      </c>
      <c r="AO148" s="59">
        <f t="shared" si="144"/>
        <v>440.84111898279554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38.132226284362943</v>
      </c>
      <c r="AV148" s="21">
        <f>EXP(-LN(2)/25)*AV147+(1-EXP(-LN(2)/25))/(LN(2)/25)*Calculateur!AQ148*Calculateur!AS148*VLOOKUP('Données projet'!$B$10,Paramètres!$A$1:$I$89,3,0)*0.475*44/12</f>
        <v>4.7508618745974465</v>
      </c>
      <c r="AW148" s="21">
        <f>EXP(-LN(2)/2)*AW147+(1-EXP(-LN(2)/2))/(LN(2)/2)*AQ148*AT148*VLOOKUP('Données projet'!$B$10,Paramètres!$A$1:$I$89,3,0)*0.475*44/12</f>
        <v>9.7092265616858166E-13</v>
      </c>
      <c r="AX148" s="21">
        <f t="shared" si="114"/>
        <v>42.883088158961364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-1.4210854715202004E-13</v>
      </c>
      <c r="BE148" s="13">
        <f>BD148*VLOOKUP('Données projet'!$B$11,Paramètres!$A$1:$I$89,3,0)*VLOOKUP('Données projet'!$B$11,Paramètres!$A$1:$I$89,5,0)</f>
        <v>-8.128608897095547E-14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320.76883487964511</v>
      </c>
      <c r="BJ148" s="59">
        <f t="shared" si="146"/>
        <v>290.51177680335746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45.702852858274632</v>
      </c>
      <c r="BQ148" s="21">
        <f>EXP(-LN(2)/25)*BQ147+(1-EXP(-LN(2)/25))/(LN(2)/25)*Calculateur!BL148*Calculateur!BN148*VLOOKUP('Données projet'!$B$11,Paramètres!$A$1:$I$89,3,0)*0.475*44/12</f>
        <v>7.2581401968693937</v>
      </c>
      <c r="BR148" s="21">
        <f>EXP(-LN(2)/2)*BR147+(1-EXP(-LN(2)/2))/(LN(2)/2)*BL148*BO148*VLOOKUP('Données projet'!$B$11,Paramètres!$A$1:$I$89,3,0)*0.475*44/12</f>
        <v>1.6765140372937332E-7</v>
      </c>
      <c r="BS148" s="22">
        <f t="shared" si="117"/>
        <v>52.960993222795423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304.99999999999983</v>
      </c>
      <c r="BZ148" s="13">
        <f>BY148*VLOOKUP('Données projet'!$B$12,Paramètres!$A$1:$I$89,3,0)*VLOOKUP('Données projet'!$B$12,Paramètres!$A$1:$I$89,5,0)</f>
        <v>275.96399999999983</v>
      </c>
      <c r="CA148" s="13">
        <f t="shared" si="147"/>
        <v>66.113366665488854</v>
      </c>
      <c r="CB148" s="20">
        <f t="shared" si="118"/>
        <v>595.78474694239264</v>
      </c>
      <c r="CC148" s="59">
        <f t="shared" si="119"/>
        <v>889.11808027572602</v>
      </c>
      <c r="CD148" s="59">
        <f ca="1">AVERAGE(OFFSET($CC$3,0,0,'Données projet'!$E$12+1,1))-AVERAGE(OFFSET($H$3,0,0,'Données projet'!$E$12+1,1))</f>
        <v>366.69125512029831</v>
      </c>
      <c r="CE148" s="59">
        <f t="shared" si="148"/>
        <v>513.80016421153414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0.1657350931451248</v>
      </c>
      <c r="CL148" s="21">
        <f>EXP(-LN(2)/25)*CL147+(1-EXP(-LN(2)/25))/(LN(2)/25)*Calculateur!CG148*Calculateur!CI148*VLOOKUP('Données projet'!$B$12,Paramètres!$A$1:$I$89,3,0)*0.475*44/12</f>
        <v>0.3044353953389593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0.4701704884840841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5.6843418860808015E-13</v>
      </c>
      <c r="CU148" s="17">
        <f>CT148*VLOOKUP('Données projet'!$B$13,Paramètres!$A$1:$I$89,3,0)*VLOOKUP('Données projet'!$B$13,Paramètres!$A$1:$I$89,5,0)</f>
        <v>3.8130565371830017E-13</v>
      </c>
      <c r="CV148" s="13">
        <f t="shared" si="149"/>
        <v>4.9019074112354236E-12</v>
      </c>
      <c r="CW148" s="20">
        <f t="shared" si="121"/>
        <v>9.2015960881277352E-12</v>
      </c>
      <c r="CX148" s="59">
        <f t="shared" si="122"/>
        <v>293.33333333334252</v>
      </c>
      <c r="CY148" s="59">
        <f ca="1">AVERAGE(OFFSET($CX$3,0,0,'Données projet'!$E$13+1,1))-AVERAGE(OFFSET($H$3,0,0,'Données projet'!$E$13+1,1))</f>
        <v>294.94331863127815</v>
      </c>
      <c r="CZ148" s="59">
        <f t="shared" si="150"/>
        <v>218.36990036643977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118.41207012159335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118.41207012159335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266.99999999999983</v>
      </c>
      <c r="DP148" s="17">
        <f>DO148*VLOOKUP('Données projet'!$B$14,Paramètres!$A$1:$I$89,3,0)*VLOOKUP('Données projet'!$B$14,Paramètres!$A$1:$I$89,5,0)</f>
        <v>195.76439999999985</v>
      </c>
      <c r="DQ148" s="13">
        <f t="shared" si="151"/>
        <v>48.812154563023455</v>
      </c>
      <c r="DR148" s="20">
        <f t="shared" si="124"/>
        <v>425.9708325305989</v>
      </c>
      <c r="DS148" s="59">
        <f t="shared" si="125"/>
        <v>719.30416586393221</v>
      </c>
      <c r="DT148" s="59">
        <f ca="1">AVERAGE(OFFSET($DS$3,0,0,'Données projet'!$E$14+1,1))-AVERAGE(OFFSET($H$3,0,0,'Données projet'!$E$14+1,1))</f>
        <v>278.45534008146865</v>
      </c>
      <c r="DU148" s="59">
        <f t="shared" si="152"/>
        <v>272.97841038165217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5.9419113705866966</v>
      </c>
      <c r="EB148" s="21">
        <f>EXP(-LN(2)/25)*EB147+(1-EXP(-LN(2)/25))/(LN(2)/25)*Calculateur!DW148*Calculateur!DY148*VLOOKUP('Données projet'!$B$14,Paramètres!$A$1:$I$89,3,0)*0.475*44/12</f>
        <v>1.0271431660070256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6.9690545365937222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5.6843418860808015E-13</v>
      </c>
      <c r="EK148" s="17">
        <f>EJ148*VLOOKUP('Données projet'!$B$15,Paramètres!$A$1:$I$89,3,0)*VLOOKUP('Données projet'!$B$15,Paramètres!$A$1:$I$89,5,0)</f>
        <v>6.1186256061773743E-13</v>
      </c>
      <c r="EL148" s="13">
        <f t="shared" si="153"/>
        <v>7.4445668332430206E-12</v>
      </c>
      <c r="EM148" s="20">
        <f t="shared" si="127"/>
        <v>1.4031614527640822E-11</v>
      </c>
      <c r="EN148" s="59">
        <f t="shared" si="128"/>
        <v>293.33333333334735</v>
      </c>
      <c r="EO148" s="59">
        <f ca="1">AVERAGE(OFFSET($EN$3,0,0,'Données projet'!$E$15+1,1))-AVERAGE(OFFSET($H$3,0,0,'Données projet'!$E$15+1,1))</f>
        <v>449.09332781196957</v>
      </c>
      <c r="EP148" s="59">
        <f t="shared" si="154"/>
        <v>324.85904971519432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154.15911015830076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154.15911015830076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5.6843418860808015E-13</v>
      </c>
      <c r="FF148" s="17">
        <f>FE148*VLOOKUP('Données projet'!$B$16,Paramètres!$A$1:$I$89,3,0)*VLOOKUP('Données projet'!$B$16,Paramètres!$A$1:$I$89,5,0)</f>
        <v>5.763922672485933E-13</v>
      </c>
      <c r="FG148" s="13">
        <f t="shared" si="155"/>
        <v>7.0619171555808457E-12</v>
      </c>
      <c r="FH148" s="20">
        <f t="shared" si="130"/>
        <v>1.3303388911427938E-11</v>
      </c>
      <c r="FI148" s="59">
        <f t="shared" si="131"/>
        <v>293.33333333334662</v>
      </c>
      <c r="FJ148" s="59">
        <f ca="1">AVERAGE(OFFSET($FI$3,0,0,'Données projet'!$E$16+1,1))-AVERAGE(OFFSET($H$3,0,0,'Données projet'!$E$16+1,1))</f>
        <v>419.51168383014721</v>
      </c>
      <c r="FK148" s="59">
        <f t="shared" si="156"/>
        <v>213.44145308833384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145.22235014912394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145.22235014912394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266.99999999999983</v>
      </c>
      <c r="GA148" s="17">
        <f>FZ148*VLOOKUP('Données projet'!$B$17,Paramètres!$A$1:$I$89,3,0)*VLOOKUP('Données projet'!$B$17,Paramètres!$A$1:$I$89,5,0)</f>
        <v>233.2511999999999</v>
      </c>
      <c r="GB148" s="13">
        <f t="shared" si="157"/>
        <v>56.985091661350864</v>
      </c>
      <c r="GC148" s="20">
        <f t="shared" si="133"/>
        <v>505.49487464351915</v>
      </c>
      <c r="GD148" s="59">
        <f t="shared" si="134"/>
        <v>798.82820797685247</v>
      </c>
      <c r="GE148" s="59">
        <f ca="1">AVERAGE(OFFSET($GD$3,0,0,'Données projet'!$E$17+1,1))-AVERAGE(OFFSET($H$3,0,0,'Données projet'!$E$17+1,1))</f>
        <v>324.86930206492627</v>
      </c>
      <c r="GF148" s="59">
        <f t="shared" si="158"/>
        <v>317.03005098025352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8.7261716714009445</v>
      </c>
      <c r="GM148" s="21">
        <f>EXP(-LN(2)/25)*GM147+(1-EXP(-LN(2)/25))/(LN(2)/25)*Calculateur!GH148*Calculateur!GJ148*VLOOKUP('Données projet'!$B$17,Paramètres!$A$1:$I$89,3,0)*0.475*44/12</f>
        <v>1.5084418192522779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10.234613490653222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5.6843418860808015E-13</v>
      </c>
      <c r="GV148" s="17">
        <f>GU148*VLOOKUP('Données projet'!$B$18,Paramètres!$A$1:$I$89,3,0)*VLOOKUP('Données projet'!$B$18,Paramètres!$A$1:$I$89,5,0)</f>
        <v>5.4092197387944907E-13</v>
      </c>
      <c r="GW148" s="13">
        <f t="shared" si="159"/>
        <v>6.6765148417791561E-12</v>
      </c>
      <c r="GX148" s="20">
        <f t="shared" si="136"/>
        <v>1.2570369120605403E-11</v>
      </c>
      <c r="GY148" s="59">
        <f t="shared" si="137"/>
        <v>293.33333333334588</v>
      </c>
      <c r="GZ148" s="59">
        <f ca="1">AVERAGE(OFFSET($GY$3,0,0,'Données projet'!$E$18+1,1))-AVERAGE(OFFSET($H$3,0,0,'Données projet'!$E$18+1,1))</f>
        <v>401.81944956556271</v>
      </c>
      <c r="HA148" s="59">
        <f t="shared" si="160"/>
        <v>292.20785523952651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136.28559013994715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136.28559013994715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5.1431925385259092E-13</v>
      </c>
      <c r="P149" s="13">
        <f t="shared" si="141"/>
        <v>6.3855359115685756E-12</v>
      </c>
      <c r="Q149" s="20">
        <f t="shared" si="108"/>
        <v>1.2017247746441865E-11</v>
      </c>
      <c r="R149" s="59">
        <f t="shared" si="109"/>
        <v>293.33333333334531</v>
      </c>
      <c r="S149" s="59">
        <f ca="1">AVERAGE(OFFSET($R$3,0,0,'Données projet'!$E$9+1,1))-AVERAGE(OFFSET($H$3,0,0,'Données projet'!$E$9+1,1))</f>
        <v>384.05928630855732</v>
      </c>
      <c r="T149" s="59">
        <f t="shared" si="142"/>
        <v>279.93992813630513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-6.3550942286383367E-14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335.04906256888819</v>
      </c>
      <c r="AO149" s="59">
        <f t="shared" si="144"/>
        <v>440.84111898279554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37.384476585288049</v>
      </c>
      <c r="AV149" s="21">
        <f>EXP(-LN(2)/25)*AV148+(1-EXP(-LN(2)/25))/(LN(2)/25)*Calculateur!AQ149*Calculateur!AS149*VLOOKUP('Données projet'!$B$10,Paramètres!$A$1:$I$89,3,0)*0.475*44/12</f>
        <v>4.6209493067996119</v>
      </c>
      <c r="AW149" s="21">
        <f>EXP(-LN(2)/2)*AW148+(1-EXP(-LN(2)/2))/(LN(2)/2)*AQ149*AT149*VLOOKUP('Données projet'!$B$10,Paramètres!$A$1:$I$89,3,0)*0.475*44/12</f>
        <v>6.8654599418445879E-13</v>
      </c>
      <c r="AX149" s="21">
        <f t="shared" si="114"/>
        <v>42.005425892088347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-1.4210854715202004E-13</v>
      </c>
      <c r="BE149" s="13">
        <f>BD149*VLOOKUP('Données projet'!$B$11,Paramètres!$A$1:$I$89,3,0)*VLOOKUP('Données projet'!$B$11,Paramètres!$A$1:$I$89,5,0)</f>
        <v>-8.128608897095547E-14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320.76883487964511</v>
      </c>
      <c r="BJ149" s="59">
        <f t="shared" si="146"/>
        <v>290.51177680335746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44.806647789711583</v>
      </c>
      <c r="BQ149" s="21">
        <f>EXP(-LN(2)/25)*BQ148+(1-EXP(-LN(2)/25))/(LN(2)/25)*Calculateur!BL149*Calculateur!BN149*VLOOKUP('Données projet'!$B$11,Paramètres!$A$1:$I$89,3,0)*0.475*44/12</f>
        <v>7.0596659714969956</v>
      </c>
      <c r="BR149" s="21">
        <f>EXP(-LN(2)/2)*BR148+(1-EXP(-LN(2)/2))/(LN(2)/2)*BL149*BO149*VLOOKUP('Données projet'!$B$11,Paramètres!$A$1:$I$89,3,0)*0.475*44/12</f>
        <v>1.1854744445248352E-7</v>
      </c>
      <c r="BS149" s="22">
        <f t="shared" si="117"/>
        <v>51.866313879756028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304.99999999999983</v>
      </c>
      <c r="BZ149" s="13">
        <f>BY149*VLOOKUP('Données projet'!$B$12,Paramètres!$A$1:$I$89,3,0)*VLOOKUP('Données projet'!$B$12,Paramètres!$A$1:$I$89,5,0)</f>
        <v>275.96399999999983</v>
      </c>
      <c r="CA149" s="13">
        <f t="shared" si="147"/>
        <v>66.113366665488854</v>
      </c>
      <c r="CB149" s="20">
        <f t="shared" si="118"/>
        <v>595.78474694239264</v>
      </c>
      <c r="CC149" s="59">
        <f t="shared" si="119"/>
        <v>889.11808027572602</v>
      </c>
      <c r="CD149" s="59">
        <f ca="1">AVERAGE(OFFSET($CC$3,0,0,'Données projet'!$E$12+1,1))-AVERAGE(OFFSET($H$3,0,0,'Données projet'!$E$12+1,1))</f>
        <v>366.69125512029831</v>
      </c>
      <c r="CE149" s="59">
        <f t="shared" si="148"/>
        <v>513.80016421153414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0.16248512905697407</v>
      </c>
      <c r="CL149" s="21">
        <f>EXP(-LN(2)/25)*CL148+(1-EXP(-LN(2)/25))/(LN(2)/25)*Calculateur!CG149*Calculateur!CI149*VLOOKUP('Données projet'!$B$12,Paramètres!$A$1:$I$89,3,0)*0.475*44/12</f>
        <v>0.29611059344385382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0.45859572250082792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5.6843418860808015E-13</v>
      </c>
      <c r="CU149" s="17">
        <f>CT149*VLOOKUP('Données projet'!$B$13,Paramètres!$A$1:$I$89,3,0)*VLOOKUP('Données projet'!$B$13,Paramètres!$A$1:$I$89,5,0)</f>
        <v>3.8130565371830017E-13</v>
      </c>
      <c r="CV149" s="13">
        <f t="shared" si="149"/>
        <v>4.9019074112354236E-12</v>
      </c>
      <c r="CW149" s="20">
        <f t="shared" si="121"/>
        <v>9.2015960881277352E-12</v>
      </c>
      <c r="CX149" s="59">
        <f t="shared" si="122"/>
        <v>293.33333333334252</v>
      </c>
      <c r="CY149" s="59">
        <f ca="1">AVERAGE(OFFSET($CX$3,0,0,'Données projet'!$E$13+1,1))-AVERAGE(OFFSET($H$3,0,0,'Données projet'!$E$13+1,1))</f>
        <v>294.94331863127815</v>
      </c>
      <c r="CZ149" s="59">
        <f t="shared" si="150"/>
        <v>218.36990036643977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116.09008165074012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116.09008165074012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266.99999999999983</v>
      </c>
      <c r="DP149" s="17">
        <f>DO149*VLOOKUP('Données projet'!$B$14,Paramètres!$A$1:$I$89,3,0)*VLOOKUP('Données projet'!$B$14,Paramètres!$A$1:$I$89,5,0)</f>
        <v>195.76439999999985</v>
      </c>
      <c r="DQ149" s="13">
        <f t="shared" si="151"/>
        <v>48.812154563023455</v>
      </c>
      <c r="DR149" s="20">
        <f t="shared" si="124"/>
        <v>425.9708325305989</v>
      </c>
      <c r="DS149" s="59">
        <f t="shared" si="125"/>
        <v>719.30416586393221</v>
      </c>
      <c r="DT149" s="59">
        <f ca="1">AVERAGE(OFFSET($DS$3,0,0,'Données projet'!$E$14+1,1))-AVERAGE(OFFSET($H$3,0,0,'Données projet'!$E$14+1,1))</f>
        <v>278.45534008146865</v>
      </c>
      <c r="DU149" s="59">
        <f t="shared" si="152"/>
        <v>272.97841038165217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5.825394112817567</v>
      </c>
      <c r="EB149" s="21">
        <f>EXP(-LN(2)/25)*EB148+(1-EXP(-LN(2)/25))/(LN(2)/25)*Calculateur!DW149*Calculateur!DY149*VLOOKUP('Données projet'!$B$14,Paramètres!$A$1:$I$89,3,0)*0.475*44/12</f>
        <v>0.999055882117452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6.8244499949350192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5.6843418860808015E-13</v>
      </c>
      <c r="EK149" s="17">
        <f>EJ149*VLOOKUP('Données projet'!$B$15,Paramètres!$A$1:$I$89,3,0)*VLOOKUP('Données projet'!$B$15,Paramètres!$A$1:$I$89,5,0)</f>
        <v>6.1186256061773743E-13</v>
      </c>
      <c r="EL149" s="13">
        <f t="shared" si="153"/>
        <v>7.4445668332430206E-12</v>
      </c>
      <c r="EM149" s="20">
        <f t="shared" si="127"/>
        <v>1.4031614527640822E-11</v>
      </c>
      <c r="EN149" s="59">
        <f t="shared" si="128"/>
        <v>293.33333333334735</v>
      </c>
      <c r="EO149" s="59">
        <f ca="1">AVERAGE(OFFSET($EN$3,0,0,'Données projet'!$E$15+1,1))-AVERAGE(OFFSET($H$3,0,0,'Données projet'!$E$15+1,1))</f>
        <v>449.09332781196957</v>
      </c>
      <c r="EP149" s="59">
        <f t="shared" si="154"/>
        <v>324.85904971519432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151.13614403586922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151.13614403586922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5.6843418860808015E-13</v>
      </c>
      <c r="FF149" s="17">
        <f>FE149*VLOOKUP('Données projet'!$B$16,Paramètres!$A$1:$I$89,3,0)*VLOOKUP('Données projet'!$B$16,Paramètres!$A$1:$I$89,5,0)</f>
        <v>5.763922672485933E-13</v>
      </c>
      <c r="FG149" s="13">
        <f t="shared" si="155"/>
        <v>7.0619171555808457E-12</v>
      </c>
      <c r="FH149" s="20">
        <f t="shared" si="130"/>
        <v>1.3303388911427938E-11</v>
      </c>
      <c r="FI149" s="59">
        <f t="shared" si="131"/>
        <v>293.33333333334662</v>
      </c>
      <c r="FJ149" s="59">
        <f ca="1">AVERAGE(OFFSET($FI$3,0,0,'Données projet'!$E$16+1,1))-AVERAGE(OFFSET($H$3,0,0,'Données projet'!$E$16+1,1))</f>
        <v>419.51168383014721</v>
      </c>
      <c r="FK149" s="59">
        <f t="shared" si="156"/>
        <v>213.44145308833384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142.37462843958696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142.37462843958696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266.99999999999983</v>
      </c>
      <c r="GA149" s="17">
        <f>FZ149*VLOOKUP('Données projet'!$B$17,Paramètres!$A$1:$I$89,3,0)*VLOOKUP('Données projet'!$B$17,Paramètres!$A$1:$I$89,5,0)</f>
        <v>233.2511999999999</v>
      </c>
      <c r="GB149" s="13">
        <f t="shared" si="157"/>
        <v>56.985091661350864</v>
      </c>
      <c r="GC149" s="20">
        <f t="shared" si="133"/>
        <v>505.49487464351915</v>
      </c>
      <c r="GD149" s="59">
        <f t="shared" si="134"/>
        <v>798.82820797685247</v>
      </c>
      <c r="GE149" s="59">
        <f ca="1">AVERAGE(OFFSET($GD$3,0,0,'Données projet'!$E$17+1,1))-AVERAGE(OFFSET($H$3,0,0,'Données projet'!$E$17+1,1))</f>
        <v>324.86930206492627</v>
      </c>
      <c r="GF149" s="59">
        <f t="shared" si="158"/>
        <v>317.03005098025352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8.5550567673639435</v>
      </c>
      <c r="GM149" s="21">
        <f>EXP(-LN(2)/25)*GM148+(1-EXP(-LN(2)/25))/(LN(2)/25)*Calculateur!GH149*Calculateur!GJ149*VLOOKUP('Données projet'!$B$17,Paramètres!$A$1:$I$89,3,0)*0.475*44/12</f>
        <v>1.4671933983793166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10.022250165743261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5.6843418860808015E-13</v>
      </c>
      <c r="GV149" s="17">
        <f>GU149*VLOOKUP('Données projet'!$B$18,Paramètres!$A$1:$I$89,3,0)*VLOOKUP('Données projet'!$B$18,Paramètres!$A$1:$I$89,5,0)</f>
        <v>5.4092197387944907E-13</v>
      </c>
      <c r="GW149" s="13">
        <f t="shared" si="159"/>
        <v>6.6765148417791561E-12</v>
      </c>
      <c r="GX149" s="20">
        <f t="shared" si="136"/>
        <v>1.2570369120605403E-11</v>
      </c>
      <c r="GY149" s="59">
        <f t="shared" si="137"/>
        <v>293.33333333334588</v>
      </c>
      <c r="GZ149" s="59">
        <f ca="1">AVERAGE(OFFSET($GY$3,0,0,'Données projet'!$E$18+1,1))-AVERAGE(OFFSET($H$3,0,0,'Données projet'!$E$18+1,1))</f>
        <v>401.81944956556271</v>
      </c>
      <c r="HA149" s="59">
        <f t="shared" si="160"/>
        <v>292.20785523952651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133.61311284330475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133.61311284330475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5.1431925385259092E-13</v>
      </c>
      <c r="P150" s="13">
        <f t="shared" si="141"/>
        <v>6.3855359115685756E-12</v>
      </c>
      <c r="Q150" s="20">
        <f t="shared" si="108"/>
        <v>1.2017247746441865E-11</v>
      </c>
      <c r="R150" s="59">
        <f t="shared" si="109"/>
        <v>293.33333333334531</v>
      </c>
      <c r="S150" s="59">
        <f ca="1">AVERAGE(OFFSET($R$3,0,0,'Données projet'!$E$9+1,1))-AVERAGE(OFFSET($H$3,0,0,'Données projet'!$E$9+1,1))</f>
        <v>384.05928630855732</v>
      </c>
      <c r="T150" s="59">
        <f t="shared" si="142"/>
        <v>279.93992813630513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-6.3550942286383367E-14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335.04906256888819</v>
      </c>
      <c r="AO150" s="59">
        <f t="shared" si="144"/>
        <v>440.84111898279554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36.651389801729728</v>
      </c>
      <c r="AV150" s="21">
        <f>EXP(-LN(2)/25)*AV149+(1-EXP(-LN(2)/25))/(LN(2)/25)*Calculateur!AQ150*Calculateur!AS150*VLOOKUP('Données projet'!$B$10,Paramètres!$A$1:$I$89,3,0)*0.475*44/12</f>
        <v>4.4945892050000138</v>
      </c>
      <c r="AW150" s="21">
        <f>EXP(-LN(2)/2)*AW149+(1-EXP(-LN(2)/2))/(LN(2)/2)*AQ150*AT150*VLOOKUP('Données projet'!$B$10,Paramètres!$A$1:$I$89,3,0)*0.475*44/12</f>
        <v>4.8546132808429083E-13</v>
      </c>
      <c r="AX150" s="21">
        <f t="shared" si="114"/>
        <v>41.145979006730222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-1.4210854715202004E-13</v>
      </c>
      <c r="BE150" s="13">
        <f>BD150*VLOOKUP('Données projet'!$B$11,Paramètres!$A$1:$I$89,3,0)*VLOOKUP('Données projet'!$B$11,Paramètres!$A$1:$I$89,5,0)</f>
        <v>-8.128608897095547E-14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320.76883487964511</v>
      </c>
      <c r="BJ150" s="59">
        <f t="shared" si="146"/>
        <v>290.51177680335746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43.928016755911941</v>
      </c>
      <c r="BQ150" s="21">
        <f>EXP(-LN(2)/25)*BQ149+(1-EXP(-LN(2)/25))/(LN(2)/25)*Calculateur!BL150*Calculateur!BN150*VLOOKUP('Données projet'!$B$11,Paramètres!$A$1:$I$89,3,0)*0.475*44/12</f>
        <v>6.866619034254712</v>
      </c>
      <c r="BR150" s="21">
        <f>EXP(-LN(2)/2)*BR149+(1-EXP(-LN(2)/2))/(LN(2)/2)*BL150*BO150*VLOOKUP('Données projet'!$B$11,Paramètres!$A$1:$I$89,3,0)*0.475*44/12</f>
        <v>8.3825701864686675E-8</v>
      </c>
      <c r="BS150" s="22">
        <f t="shared" si="117"/>
        <v>50.794635873992355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304.99999999999983</v>
      </c>
      <c r="BZ150" s="13">
        <f>BY150*VLOOKUP('Données projet'!$B$12,Paramètres!$A$1:$I$89,3,0)*VLOOKUP('Données projet'!$B$12,Paramètres!$A$1:$I$89,5,0)</f>
        <v>275.96399999999983</v>
      </c>
      <c r="CA150" s="13">
        <f t="shared" si="147"/>
        <v>66.113366665488854</v>
      </c>
      <c r="CB150" s="20">
        <f t="shared" si="118"/>
        <v>595.78474694239264</v>
      </c>
      <c r="CC150" s="59">
        <f t="shared" si="119"/>
        <v>889.11808027572602</v>
      </c>
      <c r="CD150" s="59">
        <f ca="1">AVERAGE(OFFSET($CC$3,0,0,'Données projet'!$E$12+1,1))-AVERAGE(OFFSET($H$3,0,0,'Données projet'!$E$12+1,1))</f>
        <v>366.69125512029831</v>
      </c>
      <c r="CE150" s="59">
        <f t="shared" si="148"/>
        <v>513.80016421153414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0.1592988947823096</v>
      </c>
      <c r="CL150" s="21">
        <f>EXP(-LN(2)/25)*CL149+(1-EXP(-LN(2)/25))/(LN(2)/25)*Calculateur!CG150*Calculateur!CI150*VLOOKUP('Données projet'!$B$12,Paramètres!$A$1:$I$89,3,0)*0.475*44/12</f>
        <v>0.28801343369435228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0.44731232847666191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5.6843418860808015E-13</v>
      </c>
      <c r="CU150" s="17">
        <f>CT150*VLOOKUP('Données projet'!$B$13,Paramètres!$A$1:$I$89,3,0)*VLOOKUP('Données projet'!$B$13,Paramètres!$A$1:$I$89,5,0)</f>
        <v>3.8130565371830017E-13</v>
      </c>
      <c r="CV150" s="13">
        <f t="shared" si="149"/>
        <v>4.9019074112354236E-12</v>
      </c>
      <c r="CW150" s="20">
        <f t="shared" si="121"/>
        <v>9.2015960881277352E-12</v>
      </c>
      <c r="CX150" s="59">
        <f t="shared" si="122"/>
        <v>293.33333333334252</v>
      </c>
      <c r="CY150" s="59">
        <f ca="1">AVERAGE(OFFSET($CX$3,0,0,'Données projet'!$E$13+1,1))-AVERAGE(OFFSET($H$3,0,0,'Données projet'!$E$13+1,1))</f>
        <v>294.94331863127815</v>
      </c>
      <c r="CZ150" s="59">
        <f t="shared" si="150"/>
        <v>218.36990036643977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113.81362595752721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113.81362595752721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266.99999999999983</v>
      </c>
      <c r="DP150" s="17">
        <f>DO150*VLOOKUP('Données projet'!$B$14,Paramètres!$A$1:$I$89,3,0)*VLOOKUP('Données projet'!$B$14,Paramètres!$A$1:$I$89,5,0)</f>
        <v>195.76439999999985</v>
      </c>
      <c r="DQ150" s="13">
        <f t="shared" si="151"/>
        <v>48.812154563023455</v>
      </c>
      <c r="DR150" s="20">
        <f t="shared" si="124"/>
        <v>425.9708325305989</v>
      </c>
      <c r="DS150" s="59">
        <f t="shared" si="125"/>
        <v>719.30416586393221</v>
      </c>
      <c r="DT150" s="59">
        <f ca="1">AVERAGE(OFFSET($DS$3,0,0,'Données projet'!$E$14+1,1))-AVERAGE(OFFSET($H$3,0,0,'Données projet'!$E$14+1,1))</f>
        <v>278.45534008146865</v>
      </c>
      <c r="DU150" s="59">
        <f t="shared" si="152"/>
        <v>272.97841038165217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5.7111616874047799</v>
      </c>
      <c r="EB150" s="21">
        <f>EXP(-LN(2)/25)*EB149+(1-EXP(-LN(2)/25))/(LN(2)/25)*Calculateur!DW150*Calculateur!DY150*VLOOKUP('Données projet'!$B$14,Paramètres!$A$1:$I$89,3,0)*0.475*44/12</f>
        <v>0.97173664648288482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6.6828983338876649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5.6843418860808015E-13</v>
      </c>
      <c r="EK150" s="17">
        <f>EJ150*VLOOKUP('Données projet'!$B$15,Paramètres!$A$1:$I$89,3,0)*VLOOKUP('Données projet'!$B$15,Paramètres!$A$1:$I$89,5,0)</f>
        <v>6.1186256061773743E-13</v>
      </c>
      <c r="EL150" s="13">
        <f t="shared" si="153"/>
        <v>7.4445668332430206E-12</v>
      </c>
      <c r="EM150" s="20">
        <f t="shared" si="127"/>
        <v>1.4031614527640822E-11</v>
      </c>
      <c r="EN150" s="59">
        <f t="shared" si="128"/>
        <v>293.33333333334735</v>
      </c>
      <c r="EO150" s="59">
        <f ca="1">AVERAGE(OFFSET($EN$3,0,0,'Données projet'!$E$15+1,1))-AVERAGE(OFFSET($H$3,0,0,'Données projet'!$E$15+1,1))</f>
        <v>449.09332781196957</v>
      </c>
      <c r="EP150" s="59">
        <f t="shared" si="154"/>
        <v>324.85904971519432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148.17245643527127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148.17245643527127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5.6843418860808015E-13</v>
      </c>
      <c r="FF150" s="17">
        <f>FE150*VLOOKUP('Données projet'!$B$16,Paramètres!$A$1:$I$89,3,0)*VLOOKUP('Données projet'!$B$16,Paramètres!$A$1:$I$89,5,0)</f>
        <v>5.763922672485933E-13</v>
      </c>
      <c r="FG150" s="13">
        <f t="shared" si="155"/>
        <v>7.0619171555808457E-12</v>
      </c>
      <c r="FH150" s="20">
        <f t="shared" si="130"/>
        <v>1.3303388911427938E-11</v>
      </c>
      <c r="FI150" s="59">
        <f t="shared" si="131"/>
        <v>293.33333333334662</v>
      </c>
      <c r="FJ150" s="59">
        <f ca="1">AVERAGE(OFFSET($FI$3,0,0,'Données projet'!$E$16+1,1))-AVERAGE(OFFSET($H$3,0,0,'Données projet'!$E$16+1,1))</f>
        <v>419.51168383014721</v>
      </c>
      <c r="FK150" s="59">
        <f t="shared" si="156"/>
        <v>213.44145308833384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139.58274881583526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139.58274881583526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266.99999999999983</v>
      </c>
      <c r="GA150" s="17">
        <f>FZ150*VLOOKUP('Données projet'!$B$17,Paramètres!$A$1:$I$89,3,0)*VLOOKUP('Données projet'!$B$17,Paramètres!$A$1:$I$89,5,0)</f>
        <v>233.2511999999999</v>
      </c>
      <c r="GB150" s="13">
        <f t="shared" si="157"/>
        <v>56.985091661350864</v>
      </c>
      <c r="GC150" s="20">
        <f t="shared" si="133"/>
        <v>505.49487464351915</v>
      </c>
      <c r="GD150" s="59">
        <f t="shared" si="134"/>
        <v>798.82820797685247</v>
      </c>
      <c r="GE150" s="59">
        <f ca="1">AVERAGE(OFFSET($GD$3,0,0,'Données projet'!$E$17+1,1))-AVERAGE(OFFSET($H$3,0,0,'Données projet'!$E$17+1,1))</f>
        <v>324.86930206492627</v>
      </c>
      <c r="GF150" s="59">
        <f t="shared" si="158"/>
        <v>317.03005098025352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8.387297322225324</v>
      </c>
      <c r="GM150" s="21">
        <f>EXP(-LN(2)/25)*GM149+(1-EXP(-LN(2)/25))/(LN(2)/25)*Calculateur!GH150*Calculateur!GJ150*VLOOKUP('Données projet'!$B$17,Paramètres!$A$1:$I$89,3,0)*0.475*44/12</f>
        <v>1.4270729177442867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9.8143702399696107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5.6843418860808015E-13</v>
      </c>
      <c r="GV150" s="17">
        <f>GU150*VLOOKUP('Données projet'!$B$18,Paramètres!$A$1:$I$89,3,0)*VLOOKUP('Données projet'!$B$18,Paramètres!$A$1:$I$89,5,0)</f>
        <v>5.4092197387944907E-13</v>
      </c>
      <c r="GW150" s="13">
        <f t="shared" si="159"/>
        <v>6.6765148417791561E-12</v>
      </c>
      <c r="GX150" s="20">
        <f t="shared" si="136"/>
        <v>1.2570369120605403E-11</v>
      </c>
      <c r="GY150" s="59">
        <f t="shared" si="137"/>
        <v>293.33333333334588</v>
      </c>
      <c r="GZ150" s="59">
        <f ca="1">AVERAGE(OFFSET($GY$3,0,0,'Données projet'!$E$18+1,1))-AVERAGE(OFFSET($H$3,0,0,'Données projet'!$E$18+1,1))</f>
        <v>401.81944956556271</v>
      </c>
      <c r="HA150" s="59">
        <f t="shared" si="160"/>
        <v>292.20785523952651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130.99304119639933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130.99304119639933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5.1431925385259092E-13</v>
      </c>
      <c r="P151" s="13">
        <f t="shared" si="141"/>
        <v>6.3855359115685756E-12</v>
      </c>
      <c r="Q151" s="20">
        <f t="shared" si="108"/>
        <v>1.2017247746441865E-11</v>
      </c>
      <c r="R151" s="59">
        <f t="shared" si="109"/>
        <v>293.33333333334531</v>
      </c>
      <c r="S151" s="59">
        <f ca="1">AVERAGE(OFFSET($R$3,0,0,'Données projet'!$E$9+1,1))-AVERAGE(OFFSET($H$3,0,0,'Données projet'!$E$9+1,1))</f>
        <v>384.05928630855732</v>
      </c>
      <c r="T151" s="59">
        <f t="shared" si="142"/>
        <v>279.93992813630513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-6.3550942286383367E-14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335.04906256888819</v>
      </c>
      <c r="AO151" s="59">
        <f t="shared" si="144"/>
        <v>440.84111898279554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35.932678402858201</v>
      </c>
      <c r="AV151" s="21">
        <f>EXP(-LN(2)/25)*AV150+(1-EXP(-LN(2)/25))/(LN(2)/25)*Calculateur!AQ151*Calculateur!AS151*VLOOKUP('Données projet'!$B$10,Paramètres!$A$1:$I$89,3,0)*0.475*44/12</f>
        <v>4.3716844268291144</v>
      </c>
      <c r="AW151" s="21">
        <f>EXP(-LN(2)/2)*AW150+(1-EXP(-LN(2)/2))/(LN(2)/2)*AQ151*AT151*VLOOKUP('Données projet'!$B$10,Paramètres!$A$1:$I$89,3,0)*0.475*44/12</f>
        <v>3.432729970922294E-13</v>
      </c>
      <c r="AX151" s="21">
        <f t="shared" si="114"/>
        <v>40.304362829687655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-1.4210854715202004E-13</v>
      </c>
      <c r="BE151" s="13">
        <f>BD151*VLOOKUP('Données projet'!$B$11,Paramètres!$A$1:$I$89,3,0)*VLOOKUP('Données projet'!$B$11,Paramètres!$A$1:$I$89,5,0)</f>
        <v>-8.128608897095547E-14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320.76883487964511</v>
      </c>
      <c r="BJ151" s="59">
        <f t="shared" si="146"/>
        <v>290.51177680335746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43.066615140773095</v>
      </c>
      <c r="BQ151" s="21">
        <f>EXP(-LN(2)/25)*BQ150+(1-EXP(-LN(2)/25))/(LN(2)/25)*Calculateur!BL151*Calculateur!BN151*VLOOKUP('Données projet'!$B$11,Paramètres!$A$1:$I$89,3,0)*0.475*44/12</f>
        <v>6.6788509756632157</v>
      </c>
      <c r="BR151" s="21">
        <f>EXP(-LN(2)/2)*BR150+(1-EXP(-LN(2)/2))/(LN(2)/2)*BL151*BO151*VLOOKUP('Données projet'!$B$11,Paramètres!$A$1:$I$89,3,0)*0.475*44/12</f>
        <v>5.9273722226241775E-8</v>
      </c>
      <c r="BS151" s="22">
        <f t="shared" si="117"/>
        <v>49.745466175710035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304.99999999999983</v>
      </c>
      <c r="BZ151" s="13">
        <f>BY151*VLOOKUP('Données projet'!$B$12,Paramètres!$A$1:$I$89,3,0)*VLOOKUP('Données projet'!$B$12,Paramètres!$A$1:$I$89,5,0)</f>
        <v>275.96399999999983</v>
      </c>
      <c r="CA151" s="13">
        <f t="shared" si="147"/>
        <v>66.113366665488854</v>
      </c>
      <c r="CB151" s="20">
        <f t="shared" si="118"/>
        <v>595.78474694239264</v>
      </c>
      <c r="CC151" s="59">
        <f t="shared" si="119"/>
        <v>889.11808027572602</v>
      </c>
      <c r="CD151" s="59">
        <f ca="1">AVERAGE(OFFSET($CC$3,0,0,'Données projet'!$E$12+1,1))-AVERAGE(OFFSET($H$3,0,0,'Données projet'!$E$12+1,1))</f>
        <v>366.69125512029831</v>
      </c>
      <c r="CE151" s="59">
        <f t="shared" si="148"/>
        <v>513.80016421153414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0.1561751406183603</v>
      </c>
      <c r="CL151" s="21">
        <f>EXP(-LN(2)/25)*CL150+(1-EXP(-LN(2)/25))/(LN(2)/25)*Calculateur!CG151*Calculateur!CI151*VLOOKUP('Données projet'!$B$12,Paramètres!$A$1:$I$89,3,0)*0.475*44/12</f>
        <v>0.280137691204012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0.43631283182237229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5.6843418860808015E-13</v>
      </c>
      <c r="CU151" s="17">
        <f>CT151*VLOOKUP('Données projet'!$B$13,Paramètres!$A$1:$I$89,3,0)*VLOOKUP('Données projet'!$B$13,Paramètres!$A$1:$I$89,5,0)</f>
        <v>3.8130565371830017E-13</v>
      </c>
      <c r="CV151" s="13">
        <f t="shared" si="149"/>
        <v>4.9019074112354236E-12</v>
      </c>
      <c r="CW151" s="20">
        <f t="shared" si="121"/>
        <v>9.2015960881277352E-12</v>
      </c>
      <c r="CX151" s="59">
        <f t="shared" si="122"/>
        <v>293.33333333334252</v>
      </c>
      <c r="CY151" s="59">
        <f ca="1">AVERAGE(OFFSET($CX$3,0,0,'Données projet'!$E$13+1,1))-AVERAGE(OFFSET($H$3,0,0,'Données projet'!$E$13+1,1))</f>
        <v>294.94331863127815</v>
      </c>
      <c r="CZ151" s="59">
        <f t="shared" si="150"/>
        <v>218.36990036643977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111.58181017195733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111.58181017195733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266.99999999999983</v>
      </c>
      <c r="DP151" s="17">
        <f>DO151*VLOOKUP('Données projet'!$B$14,Paramètres!$A$1:$I$89,3,0)*VLOOKUP('Données projet'!$B$14,Paramètres!$A$1:$I$89,5,0)</f>
        <v>195.76439999999985</v>
      </c>
      <c r="DQ151" s="13">
        <f t="shared" si="151"/>
        <v>48.812154563023455</v>
      </c>
      <c r="DR151" s="20">
        <f t="shared" si="124"/>
        <v>425.9708325305989</v>
      </c>
      <c r="DS151" s="59">
        <f t="shared" si="125"/>
        <v>719.30416586393221</v>
      </c>
      <c r="DT151" s="59">
        <f ca="1">AVERAGE(OFFSET($DS$3,0,0,'Données projet'!$E$14+1,1))-AVERAGE(OFFSET($H$3,0,0,'Données projet'!$E$14+1,1))</f>
        <v>278.45534008146865</v>
      </c>
      <c r="DU151" s="59">
        <f t="shared" si="152"/>
        <v>272.97841038165217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5.5991692901794377</v>
      </c>
      <c r="EB151" s="21">
        <f>EXP(-LN(2)/25)*EB150+(1-EXP(-LN(2)/25))/(LN(2)/25)*Calculateur!DW151*Calculateur!DY151*VLOOKUP('Données projet'!$B$14,Paramètres!$A$1:$I$89,3,0)*0.475*44/12</f>
        <v>0.945164456783401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6.5443337469628382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5.6843418860808015E-13</v>
      </c>
      <c r="EK151" s="17">
        <f>EJ151*VLOOKUP('Données projet'!$B$15,Paramètres!$A$1:$I$89,3,0)*VLOOKUP('Données projet'!$B$15,Paramètres!$A$1:$I$89,5,0)</f>
        <v>6.1186256061773743E-13</v>
      </c>
      <c r="EL151" s="13">
        <f t="shared" si="153"/>
        <v>7.4445668332430206E-12</v>
      </c>
      <c r="EM151" s="20">
        <f t="shared" si="127"/>
        <v>1.4031614527640822E-11</v>
      </c>
      <c r="EN151" s="59">
        <f t="shared" si="128"/>
        <v>293.33333333334735</v>
      </c>
      <c r="EO151" s="59">
        <f ca="1">AVERAGE(OFFSET($EN$3,0,0,'Données projet'!$E$15+1,1))-AVERAGE(OFFSET($H$3,0,0,'Données projet'!$E$15+1,1))</f>
        <v>449.09332781196957</v>
      </c>
      <c r="EP151" s="59">
        <f t="shared" si="154"/>
        <v>324.85904971519432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145.2668849408501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145.2668849408501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5.6843418860808015E-13</v>
      </c>
      <c r="FF151" s="17">
        <f>FE151*VLOOKUP('Données projet'!$B$16,Paramètres!$A$1:$I$89,3,0)*VLOOKUP('Données projet'!$B$16,Paramètres!$A$1:$I$89,5,0)</f>
        <v>5.763922672485933E-13</v>
      </c>
      <c r="FG151" s="13">
        <f t="shared" si="155"/>
        <v>7.0619171555808457E-12</v>
      </c>
      <c r="FH151" s="20">
        <f t="shared" si="130"/>
        <v>1.3303388911427938E-11</v>
      </c>
      <c r="FI151" s="59">
        <f t="shared" si="131"/>
        <v>293.33333333334662</v>
      </c>
      <c r="FJ151" s="59">
        <f ca="1">AVERAGE(OFFSET($FI$3,0,0,'Données projet'!$E$16+1,1))-AVERAGE(OFFSET($H$3,0,0,'Données projet'!$E$16+1,1))</f>
        <v>419.51168383014721</v>
      </c>
      <c r="FK151" s="59">
        <f t="shared" si="156"/>
        <v>213.44145308833384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136.84561624862692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136.84561624862692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266.99999999999983</v>
      </c>
      <c r="GA151" s="17">
        <f>FZ151*VLOOKUP('Données projet'!$B$17,Paramètres!$A$1:$I$89,3,0)*VLOOKUP('Données projet'!$B$17,Paramètres!$A$1:$I$89,5,0)</f>
        <v>233.2511999999999</v>
      </c>
      <c r="GB151" s="13">
        <f t="shared" si="157"/>
        <v>56.985091661350864</v>
      </c>
      <c r="GC151" s="20">
        <f t="shared" si="133"/>
        <v>505.49487464351915</v>
      </c>
      <c r="GD151" s="59">
        <f t="shared" si="134"/>
        <v>798.82820797685247</v>
      </c>
      <c r="GE151" s="59">
        <f ca="1">AVERAGE(OFFSET($GD$3,0,0,'Données projet'!$E$17+1,1))-AVERAGE(OFFSET($H$3,0,0,'Données projet'!$E$17+1,1))</f>
        <v>324.86930206492627</v>
      </c>
      <c r="GF151" s="59">
        <f t="shared" si="158"/>
        <v>317.03005098025352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8.2228275374827131</v>
      </c>
      <c r="GM151" s="21">
        <f>EXP(-LN(2)/25)*GM150+(1-EXP(-LN(2)/25))/(LN(2)/25)*Calculateur!GH151*Calculateur!GJ151*VLOOKUP('Données projet'!$B$17,Paramètres!$A$1:$I$89,3,0)*0.475*44/12</f>
        <v>1.388049533762066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9.6108770712447793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5.6843418860808015E-13</v>
      </c>
      <c r="GV151" s="17">
        <f>GU151*VLOOKUP('Données projet'!$B$18,Paramètres!$A$1:$I$89,3,0)*VLOOKUP('Données projet'!$B$18,Paramètres!$A$1:$I$89,5,0)</f>
        <v>5.4092197387944907E-13</v>
      </c>
      <c r="GW151" s="13">
        <f t="shared" si="159"/>
        <v>6.6765148417791561E-12</v>
      </c>
      <c r="GX151" s="20">
        <f t="shared" si="136"/>
        <v>1.2570369120605403E-11</v>
      </c>
      <c r="GY151" s="59">
        <f t="shared" si="137"/>
        <v>293.33333333334588</v>
      </c>
      <c r="GZ151" s="59">
        <f ca="1">AVERAGE(OFFSET($GY$3,0,0,'Données projet'!$E$18+1,1))-AVERAGE(OFFSET($H$3,0,0,'Données projet'!$E$18+1,1))</f>
        <v>401.81944956556271</v>
      </c>
      <c r="HA151" s="59">
        <f t="shared" si="160"/>
        <v>292.20785523952651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128.4243475564038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128.4243475564038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5.1431925385259092E-13</v>
      </c>
      <c r="P152" s="13">
        <f t="shared" si="141"/>
        <v>6.3855359115685756E-12</v>
      </c>
      <c r="Q152" s="20">
        <f t="shared" si="108"/>
        <v>1.2017247746441865E-11</v>
      </c>
      <c r="R152" s="59">
        <f t="shared" si="109"/>
        <v>293.33333333334531</v>
      </c>
      <c r="S152" s="59">
        <f ca="1">AVERAGE(OFFSET($R$3,0,0,'Données projet'!$E$9+1,1))-AVERAGE(OFFSET($H$3,0,0,'Données projet'!$E$9+1,1))</f>
        <v>384.05928630855732</v>
      </c>
      <c r="T152" s="59">
        <f t="shared" si="142"/>
        <v>279.93992813630513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-6.3550942286383367E-14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335.04906256888819</v>
      </c>
      <c r="AO152" s="59">
        <f t="shared" si="144"/>
        <v>440.84111898279554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35.228060496147876</v>
      </c>
      <c r="AV152" s="21">
        <f>EXP(-LN(2)/25)*AV151+(1-EXP(-LN(2)/25))/(LN(2)/25)*Calculateur!AQ152*Calculateur!AS152*VLOOKUP('Données projet'!$B$10,Paramètres!$A$1:$I$89,3,0)*0.475*44/12</f>
        <v>4.2521404862805801</v>
      </c>
      <c r="AW152" s="21">
        <f>EXP(-LN(2)/2)*AW151+(1-EXP(-LN(2)/2))/(LN(2)/2)*AQ152*AT152*VLOOKUP('Données projet'!$B$10,Paramètres!$A$1:$I$89,3,0)*0.475*44/12</f>
        <v>2.4273066404214542E-13</v>
      </c>
      <c r="AX152" s="21">
        <f t="shared" si="114"/>
        <v>39.480200982428698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-1.4210854715202004E-13</v>
      </c>
      <c r="BE152" s="13">
        <f>BD152*VLOOKUP('Données projet'!$B$11,Paramètres!$A$1:$I$89,3,0)*VLOOKUP('Données projet'!$B$11,Paramètres!$A$1:$I$89,5,0)</f>
        <v>-8.128608897095547E-14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320.76883487964511</v>
      </c>
      <c r="BJ152" s="59">
        <f t="shared" si="146"/>
        <v>290.51177680335746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42.222105085904019</v>
      </c>
      <c r="BQ152" s="21">
        <f>EXP(-LN(2)/25)*BQ151+(1-EXP(-LN(2)/25))/(LN(2)/25)*Calculateur!BL152*Calculateur!BN152*VLOOKUP('Données projet'!$B$11,Paramètres!$A$1:$I$89,3,0)*0.475*44/12</f>
        <v>6.496217444508197</v>
      </c>
      <c r="BR152" s="21">
        <f>EXP(-LN(2)/2)*BR151+(1-EXP(-LN(2)/2))/(LN(2)/2)*BL152*BO152*VLOOKUP('Données projet'!$B$11,Paramètres!$A$1:$I$89,3,0)*0.475*44/12</f>
        <v>4.1912850932343344E-8</v>
      </c>
      <c r="BS152" s="22">
        <f t="shared" si="117"/>
        <v>48.718322572325064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304.99999999999983</v>
      </c>
      <c r="BZ152" s="13">
        <f>BY152*VLOOKUP('Données projet'!$B$12,Paramètres!$A$1:$I$89,3,0)*VLOOKUP('Données projet'!$B$12,Paramètres!$A$1:$I$89,5,0)</f>
        <v>275.96399999999983</v>
      </c>
      <c r="CA152" s="13">
        <f t="shared" si="147"/>
        <v>66.113366665488854</v>
      </c>
      <c r="CB152" s="20">
        <f t="shared" si="118"/>
        <v>595.78474694239264</v>
      </c>
      <c r="CC152" s="59">
        <f t="shared" si="119"/>
        <v>889.11808027572602</v>
      </c>
      <c r="CD152" s="59">
        <f ca="1">AVERAGE(OFFSET($CC$3,0,0,'Données projet'!$E$12+1,1))-AVERAGE(OFFSET($H$3,0,0,'Données projet'!$E$12+1,1))</f>
        <v>366.69125512029831</v>
      </c>
      <c r="CE152" s="59">
        <f t="shared" si="148"/>
        <v>513.80016421153414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0.15311264136826414</v>
      </c>
      <c r="CL152" s="21">
        <f>EXP(-LN(2)/25)*CL151+(1-EXP(-LN(2)/25))/(LN(2)/25)*Calculateur!CG152*Calculateur!CI152*VLOOKUP('Données projet'!$B$12,Paramètres!$A$1:$I$89,3,0)*0.475*44/12</f>
        <v>0.27247731130623737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0.4255899526745015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5.6843418860808015E-13</v>
      </c>
      <c r="CU152" s="17">
        <f>CT152*VLOOKUP('Données projet'!$B$13,Paramètres!$A$1:$I$89,3,0)*VLOOKUP('Données projet'!$B$13,Paramètres!$A$1:$I$89,5,0)</f>
        <v>3.8130565371830017E-13</v>
      </c>
      <c r="CV152" s="13">
        <f t="shared" si="149"/>
        <v>4.9019074112354236E-12</v>
      </c>
      <c r="CW152" s="20">
        <f t="shared" si="121"/>
        <v>9.2015960881277352E-12</v>
      </c>
      <c r="CX152" s="59">
        <f t="shared" si="122"/>
        <v>293.33333333334252</v>
      </c>
      <c r="CY152" s="59">
        <f ca="1">AVERAGE(OFFSET($CX$3,0,0,'Données projet'!$E$13+1,1))-AVERAGE(OFFSET($H$3,0,0,'Données projet'!$E$13+1,1))</f>
        <v>294.94331863127815</v>
      </c>
      <c r="CZ152" s="59">
        <f t="shared" si="150"/>
        <v>218.36990036643977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109.39375893266926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109.39375893266926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266.99999999999983</v>
      </c>
      <c r="DP152" s="17">
        <f>DO152*VLOOKUP('Données projet'!$B$14,Paramètres!$A$1:$I$89,3,0)*VLOOKUP('Données projet'!$B$14,Paramètres!$A$1:$I$89,5,0)</f>
        <v>195.76439999999985</v>
      </c>
      <c r="DQ152" s="13">
        <f t="shared" si="151"/>
        <v>48.812154563023455</v>
      </c>
      <c r="DR152" s="20">
        <f t="shared" si="124"/>
        <v>425.9708325305989</v>
      </c>
      <c r="DS152" s="59">
        <f t="shared" si="125"/>
        <v>719.30416586393221</v>
      </c>
      <c r="DT152" s="59">
        <f ca="1">AVERAGE(OFFSET($DS$3,0,0,'Données projet'!$E$14+1,1))-AVERAGE(OFFSET($H$3,0,0,'Données projet'!$E$14+1,1))</f>
        <v>278.45534008146865</v>
      </c>
      <c r="DU152" s="59">
        <f t="shared" si="152"/>
        <v>272.97841038165217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5.4893729955550672</v>
      </c>
      <c r="EB152" s="21">
        <f>EXP(-LN(2)/25)*EB151+(1-EXP(-LN(2)/25))/(LN(2)/25)*Calculateur!DW152*Calculateur!DY152*VLOOKUP('Données projet'!$B$14,Paramètres!$A$1:$I$89,3,0)*0.475*44/12</f>
        <v>0.91931888500862036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6.4086918805636879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5.6843418860808015E-13</v>
      </c>
      <c r="EK152" s="17">
        <f>EJ152*VLOOKUP('Données projet'!$B$15,Paramètres!$A$1:$I$89,3,0)*VLOOKUP('Données projet'!$B$15,Paramètres!$A$1:$I$89,5,0)</f>
        <v>6.1186256061773743E-13</v>
      </c>
      <c r="EL152" s="13">
        <f t="shared" si="153"/>
        <v>7.4445668332430206E-12</v>
      </c>
      <c r="EM152" s="20">
        <f t="shared" si="127"/>
        <v>1.4031614527640822E-11</v>
      </c>
      <c r="EN152" s="59">
        <f t="shared" si="128"/>
        <v>293.33333333334735</v>
      </c>
      <c r="EO152" s="59">
        <f ca="1">AVERAGE(OFFSET($EN$3,0,0,'Données projet'!$E$15+1,1))-AVERAGE(OFFSET($H$3,0,0,'Données projet'!$E$15+1,1))</f>
        <v>449.09332781196957</v>
      </c>
      <c r="EP152" s="59">
        <f t="shared" si="154"/>
        <v>324.85904971519432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142.41828993121092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142.41828993121092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5.6843418860808015E-13</v>
      </c>
      <c r="FF152" s="17">
        <f>FE152*VLOOKUP('Données projet'!$B$16,Paramètres!$A$1:$I$89,3,0)*VLOOKUP('Données projet'!$B$16,Paramètres!$A$1:$I$89,5,0)</f>
        <v>5.763922672485933E-13</v>
      </c>
      <c r="FG152" s="13">
        <f t="shared" si="155"/>
        <v>7.0619171555808457E-12</v>
      </c>
      <c r="FH152" s="20">
        <f t="shared" si="130"/>
        <v>1.3303388911427938E-11</v>
      </c>
      <c r="FI152" s="59">
        <f t="shared" si="131"/>
        <v>293.33333333334662</v>
      </c>
      <c r="FJ152" s="59">
        <f ca="1">AVERAGE(OFFSET($FI$3,0,0,'Données projet'!$E$16+1,1))-AVERAGE(OFFSET($H$3,0,0,'Données projet'!$E$16+1,1))</f>
        <v>419.51168383014721</v>
      </c>
      <c r="FK152" s="59">
        <f t="shared" si="156"/>
        <v>213.44145308833384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134.16215718157554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134.16215718157554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266.99999999999983</v>
      </c>
      <c r="GA152" s="17">
        <f>FZ152*VLOOKUP('Données projet'!$B$17,Paramètres!$A$1:$I$89,3,0)*VLOOKUP('Données projet'!$B$17,Paramètres!$A$1:$I$89,5,0)</f>
        <v>233.2511999999999</v>
      </c>
      <c r="GB152" s="13">
        <f t="shared" si="157"/>
        <v>56.985091661350864</v>
      </c>
      <c r="GC152" s="20">
        <f t="shared" si="133"/>
        <v>505.49487464351915</v>
      </c>
      <c r="GD152" s="59">
        <f t="shared" si="134"/>
        <v>798.82820797685247</v>
      </c>
      <c r="GE152" s="59">
        <f ca="1">AVERAGE(OFFSET($GD$3,0,0,'Données projet'!$E$17+1,1))-AVERAGE(OFFSET($H$3,0,0,'Données projet'!$E$17+1,1))</f>
        <v>324.86930206492627</v>
      </c>
      <c r="GF152" s="59">
        <f t="shared" si="158"/>
        <v>317.03005098025352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8.0615829049022416</v>
      </c>
      <c r="GM152" s="21">
        <f>EXP(-LN(2)/25)*GM151+(1-EXP(-LN(2)/25))/(LN(2)/25)*Calculateur!GH152*Calculateur!GJ152*VLOOKUP('Données projet'!$B$17,Paramètres!$A$1:$I$89,3,0)*0.475*44/12</f>
        <v>1.3500932462669897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9.4116761511692317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5.6843418860808015E-13</v>
      </c>
      <c r="GV152" s="17">
        <f>GU152*VLOOKUP('Données projet'!$B$18,Paramètres!$A$1:$I$89,3,0)*VLOOKUP('Données projet'!$B$18,Paramètres!$A$1:$I$89,5,0)</f>
        <v>5.4092197387944907E-13</v>
      </c>
      <c r="GW152" s="13">
        <f t="shared" si="159"/>
        <v>6.6765148417791561E-12</v>
      </c>
      <c r="GX152" s="20">
        <f t="shared" si="136"/>
        <v>1.2570369120605403E-11</v>
      </c>
      <c r="GY152" s="59">
        <f t="shared" si="137"/>
        <v>293.33333333334588</v>
      </c>
      <c r="GZ152" s="59">
        <f ca="1">AVERAGE(OFFSET($GY$3,0,0,'Données projet'!$E$18+1,1))-AVERAGE(OFFSET($H$3,0,0,'Données projet'!$E$18+1,1))</f>
        <v>401.81944956556271</v>
      </c>
      <c r="HA152" s="59">
        <f t="shared" si="160"/>
        <v>292.20785523952651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125.90602443194018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125.90602443194018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5.1431925385259092E-13</v>
      </c>
      <c r="P153" s="13">
        <f t="shared" si="141"/>
        <v>6.3855359115685756E-12</v>
      </c>
      <c r="Q153" s="20">
        <f t="shared" si="108"/>
        <v>1.2017247746441865E-11</v>
      </c>
      <c r="R153" s="59">
        <f t="shared" si="109"/>
        <v>293.33333333334531</v>
      </c>
      <c r="S153" s="59">
        <f ca="1">AVERAGE(OFFSET($R$3,0,0,'Données projet'!$E$9+1,1))-AVERAGE(OFFSET($H$3,0,0,'Données projet'!$E$9+1,1))</f>
        <v>384.05928630855732</v>
      </c>
      <c r="T153" s="59">
        <f t="shared" si="142"/>
        <v>279.93992813630513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-6.3550942286383367E-14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335.04906256888819</v>
      </c>
      <c r="AO153" s="59">
        <f t="shared" si="144"/>
        <v>440.84111898279554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34.537259716813651</v>
      </c>
      <c r="AV153" s="21">
        <f>EXP(-LN(2)/25)*AV152+(1-EXP(-LN(2)/25))/(LN(2)/25)*Calculateur!AQ153*Calculateur!AS153*VLOOKUP('Données projet'!$B$10,Paramètres!$A$1:$I$89,3,0)*0.475*44/12</f>
        <v>4.1358654810728881</v>
      </c>
      <c r="AW153" s="21">
        <f>EXP(-LN(2)/2)*AW152+(1-EXP(-LN(2)/2))/(LN(2)/2)*AQ153*AT153*VLOOKUP('Données projet'!$B$10,Paramètres!$A$1:$I$89,3,0)*0.475*44/12</f>
        <v>1.716364985461147E-13</v>
      </c>
      <c r="AX153" s="21">
        <f t="shared" si="114"/>
        <v>38.673125197886712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-1.4210854715202004E-13</v>
      </c>
      <c r="BE153" s="13">
        <f>BD153*VLOOKUP('Données projet'!$B$11,Paramètres!$A$1:$I$89,3,0)*VLOOKUP('Données projet'!$B$11,Paramètres!$A$1:$I$89,5,0)</f>
        <v>-8.128608897095547E-14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320.76883487964511</v>
      </c>
      <c r="BJ153" s="59">
        <f t="shared" si="146"/>
        <v>290.51177680335746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41.394155358110652</v>
      </c>
      <c r="BQ153" s="21">
        <f>EXP(-LN(2)/25)*BQ152+(1-EXP(-LN(2)/25))/(LN(2)/25)*Calculateur!BL153*Calculateur!BN153*VLOOKUP('Données projet'!$B$11,Paramètres!$A$1:$I$89,3,0)*0.475*44/12</f>
        <v>6.3185780368668922</v>
      </c>
      <c r="BR153" s="21">
        <f>EXP(-LN(2)/2)*BR152+(1-EXP(-LN(2)/2))/(LN(2)/2)*BL153*BO153*VLOOKUP('Données projet'!$B$11,Paramètres!$A$1:$I$89,3,0)*0.475*44/12</f>
        <v>2.9636861113120891E-8</v>
      </c>
      <c r="BS153" s="22">
        <f t="shared" si="117"/>
        <v>47.712733424614406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304.99999999999983</v>
      </c>
      <c r="BZ153" s="13">
        <f>BY153*VLOOKUP('Données projet'!$B$12,Paramètres!$A$1:$I$89,3,0)*VLOOKUP('Données projet'!$B$12,Paramètres!$A$1:$I$89,5,0)</f>
        <v>275.96399999999983</v>
      </c>
      <c r="CA153" s="13">
        <f t="shared" si="147"/>
        <v>66.113366665488854</v>
      </c>
      <c r="CB153" s="20">
        <f t="shared" si="118"/>
        <v>595.78474694239264</v>
      </c>
      <c r="CC153" s="59">
        <f t="shared" si="119"/>
        <v>889.11808027572602</v>
      </c>
      <c r="CD153" s="59">
        <f ca="1">AVERAGE(OFFSET($CC$3,0,0,'Données projet'!$E$12+1,1))-AVERAGE(OFFSET($H$3,0,0,'Données projet'!$E$12+1,1))</f>
        <v>366.69125512029831</v>
      </c>
      <c r="CE153" s="59">
        <f t="shared" si="148"/>
        <v>513.80016421153414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0.15011019586052227</v>
      </c>
      <c r="CL153" s="21">
        <f>EXP(-LN(2)/25)*CL152+(1-EXP(-LN(2)/25))/(LN(2)/25)*Calculateur!CG153*Calculateur!CI153*VLOOKUP('Données projet'!$B$12,Paramètres!$A$1:$I$89,3,0)*0.475*44/12</f>
        <v>0.26502640489960927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0.41513660076013154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5.6843418860808015E-13</v>
      </c>
      <c r="CU153" s="17">
        <f>CT153*VLOOKUP('Données projet'!$B$13,Paramètres!$A$1:$I$89,3,0)*VLOOKUP('Données projet'!$B$13,Paramètres!$A$1:$I$89,5,0)</f>
        <v>3.8130565371830017E-13</v>
      </c>
      <c r="CV153" s="13">
        <f t="shared" si="149"/>
        <v>4.9019074112354236E-12</v>
      </c>
      <c r="CW153" s="20">
        <f t="shared" si="121"/>
        <v>9.2015960881277352E-12</v>
      </c>
      <c r="CX153" s="59">
        <f t="shared" si="122"/>
        <v>293.33333333334252</v>
      </c>
      <c r="CY153" s="59">
        <f ca="1">AVERAGE(OFFSET($CX$3,0,0,'Données projet'!$E$13+1,1))-AVERAGE(OFFSET($H$3,0,0,'Données projet'!$E$13+1,1))</f>
        <v>294.94331863127815</v>
      </c>
      <c r="CZ153" s="59">
        <f t="shared" si="150"/>
        <v>218.36990036643977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107.24861404360415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107.24861404360415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266.99999999999983</v>
      </c>
      <c r="DP153" s="17">
        <f>DO153*VLOOKUP('Données projet'!$B$14,Paramètres!$A$1:$I$89,3,0)*VLOOKUP('Données projet'!$B$14,Paramètres!$A$1:$I$89,5,0)</f>
        <v>195.76439999999985</v>
      </c>
      <c r="DQ153" s="13">
        <f t="shared" si="151"/>
        <v>48.812154563023455</v>
      </c>
      <c r="DR153" s="20">
        <f t="shared" si="124"/>
        <v>425.9708325305989</v>
      </c>
      <c r="DS153" s="59">
        <f t="shared" si="125"/>
        <v>719.30416586393221</v>
      </c>
      <c r="DT153" s="59">
        <f ca="1">AVERAGE(OFFSET($DS$3,0,0,'Données projet'!$E$14+1,1))-AVERAGE(OFFSET($H$3,0,0,'Données projet'!$E$14+1,1))</f>
        <v>278.45534008146865</v>
      </c>
      <c r="DU153" s="59">
        <f t="shared" si="152"/>
        <v>272.97841038165217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5.3817297392991534</v>
      </c>
      <c r="EB153" s="21">
        <f>EXP(-LN(2)/25)*EB152+(1-EXP(-LN(2)/25))/(LN(2)/25)*Calculateur!DW153*Calculateur!DY153*VLOOKUP('Données projet'!$B$14,Paramètres!$A$1:$I$89,3,0)*0.475*44/12</f>
        <v>0.89418006175318065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6.2759098010523342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5.6843418860808015E-13</v>
      </c>
      <c r="EK153" s="17">
        <f>EJ153*VLOOKUP('Données projet'!$B$15,Paramètres!$A$1:$I$89,3,0)*VLOOKUP('Données projet'!$B$15,Paramètres!$A$1:$I$89,5,0)</f>
        <v>6.1186256061773743E-13</v>
      </c>
      <c r="EL153" s="13">
        <f t="shared" si="153"/>
        <v>7.4445668332430206E-12</v>
      </c>
      <c r="EM153" s="20">
        <f t="shared" si="127"/>
        <v>1.4031614527640822E-11</v>
      </c>
      <c r="EN153" s="59">
        <f t="shared" si="128"/>
        <v>293.33333333334735</v>
      </c>
      <c r="EO153" s="59">
        <f ca="1">AVERAGE(OFFSET($EN$3,0,0,'Données projet'!$E$15+1,1))-AVERAGE(OFFSET($H$3,0,0,'Données projet'!$E$15+1,1))</f>
        <v>449.09332781196957</v>
      </c>
      <c r="EP153" s="59">
        <f t="shared" si="154"/>
        <v>324.85904971519432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139.62555413223936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139.62555413223936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5.6843418860808015E-13</v>
      </c>
      <c r="FF153" s="17">
        <f>FE153*VLOOKUP('Données projet'!$B$16,Paramètres!$A$1:$I$89,3,0)*VLOOKUP('Données projet'!$B$16,Paramètres!$A$1:$I$89,5,0)</f>
        <v>5.763922672485933E-13</v>
      </c>
      <c r="FG153" s="13">
        <f t="shared" si="155"/>
        <v>7.0619171555808457E-12</v>
      </c>
      <c r="FH153" s="20">
        <f t="shared" si="130"/>
        <v>1.3303388911427938E-11</v>
      </c>
      <c r="FI153" s="59">
        <f t="shared" si="131"/>
        <v>293.33333333334662</v>
      </c>
      <c r="FJ153" s="59">
        <f ca="1">AVERAGE(OFFSET($FI$3,0,0,'Données projet'!$E$16+1,1))-AVERAGE(OFFSET($H$3,0,0,'Données projet'!$E$16+1,1))</f>
        <v>419.51168383014721</v>
      </c>
      <c r="FK153" s="59">
        <f t="shared" si="156"/>
        <v>213.44145308833384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131.5313191100806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131.5313191100806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266.99999999999983</v>
      </c>
      <c r="GA153" s="17">
        <f>FZ153*VLOOKUP('Données projet'!$B$17,Paramètres!$A$1:$I$89,3,0)*VLOOKUP('Données projet'!$B$17,Paramètres!$A$1:$I$89,5,0)</f>
        <v>233.2511999999999</v>
      </c>
      <c r="GB153" s="13">
        <f t="shared" si="157"/>
        <v>56.985091661350864</v>
      </c>
      <c r="GC153" s="20">
        <f t="shared" si="133"/>
        <v>505.49487464351915</v>
      </c>
      <c r="GD153" s="59">
        <f t="shared" si="134"/>
        <v>798.82820797685247</v>
      </c>
      <c r="GE153" s="59">
        <f ca="1">AVERAGE(OFFSET($GD$3,0,0,'Données projet'!$E$17+1,1))-AVERAGE(OFFSET($H$3,0,0,'Données projet'!$E$17+1,1))</f>
        <v>324.86930206492627</v>
      </c>
      <c r="GF153" s="59">
        <f t="shared" si="158"/>
        <v>317.03005098025352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7.9035001812171597</v>
      </c>
      <c r="GM153" s="21">
        <f>EXP(-LN(2)/25)*GM152+(1-EXP(-LN(2)/25))/(LN(2)/25)*Calculateur!GH153*Calculateur!GJ153*VLOOKUP('Données projet'!$B$17,Paramètres!$A$1:$I$89,3,0)*0.475*44/12</f>
        <v>1.3131748754495007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9.2166750566666611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5.6843418860808015E-13</v>
      </c>
      <c r="GV153" s="17">
        <f>GU153*VLOOKUP('Données projet'!$B$18,Paramètres!$A$1:$I$89,3,0)*VLOOKUP('Données projet'!$B$18,Paramètres!$A$1:$I$89,5,0)</f>
        <v>5.4092197387944907E-13</v>
      </c>
      <c r="GW153" s="13">
        <f t="shared" si="159"/>
        <v>6.6765148417791561E-12</v>
      </c>
      <c r="GX153" s="20">
        <f t="shared" si="136"/>
        <v>1.2570369120605403E-11</v>
      </c>
      <c r="GY153" s="59">
        <f t="shared" si="137"/>
        <v>293.33333333334588</v>
      </c>
      <c r="GZ153" s="59">
        <f ca="1">AVERAGE(OFFSET($GY$3,0,0,'Données projet'!$E$18+1,1))-AVERAGE(OFFSET($H$3,0,0,'Données projet'!$E$18+1,1))</f>
        <v>401.81944956556271</v>
      </c>
      <c r="HA153" s="59">
        <f t="shared" si="160"/>
        <v>292.20785523952651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123.43708408792185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123.43708408792185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5.1431925385259092E-13</v>
      </c>
      <c r="P154" s="13">
        <f t="shared" si="141"/>
        <v>6.3855359115685756E-12</v>
      </c>
      <c r="Q154" s="20">
        <f t="shared" ref="Q154:Q203" si="162">(O154+P154)*0.475*44/12</f>
        <v>1.2017247746441865E-11</v>
      </c>
      <c r="R154" s="59">
        <f t="shared" si="109"/>
        <v>293.33333333334531</v>
      </c>
      <c r="S154" s="59">
        <f ca="1">AVERAGE(OFFSET($R$3,0,0,'Données projet'!$E$9+1,1))-AVERAGE(OFFSET($H$3,0,0,'Données projet'!$E$9+1,1))</f>
        <v>384.05928630855732</v>
      </c>
      <c r="T154" s="59">
        <f t="shared" si="142"/>
        <v>279.93992813630513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-6.3550942286383367E-14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335.04906256888819</v>
      </c>
      <c r="AO154" s="59">
        <f t="shared" si="144"/>
        <v>440.84111898279554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33.860005119415305</v>
      </c>
      <c r="AV154" s="21">
        <f>EXP(-LN(2)/25)*AV153+(1-EXP(-LN(2)/25))/(LN(2)/25)*Calculateur!AQ154*Calculateur!AS154*VLOOKUP('Données projet'!$B$10,Paramètres!$A$1:$I$89,3,0)*0.475*44/12</f>
        <v>4.0227700219972373</v>
      </c>
      <c r="AW154" s="21">
        <f>EXP(-LN(2)/2)*AW153+(1-EXP(-LN(2)/2))/(LN(2)/2)*AQ154*AT154*VLOOKUP('Données projet'!$B$10,Paramètres!$A$1:$I$89,3,0)*0.475*44/12</f>
        <v>1.2136533202107271E-13</v>
      </c>
      <c r="AX154" s="21">
        <f t="shared" ref="AX154:AX203" si="166">SUM(AU154:AW154)</f>
        <v>37.882775141412665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-1.4210854715202004E-13</v>
      </c>
      <c r="BE154" s="13">
        <f>BD154*VLOOKUP('Données projet'!$B$11,Paramètres!$A$1:$I$89,3,0)*VLOOKUP('Données projet'!$B$11,Paramètres!$A$1:$I$89,5,0)</f>
        <v>-8.128608897095547E-14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320.76883487964511</v>
      </c>
      <c r="BJ154" s="59">
        <f t="shared" si="146"/>
        <v>290.51177680335746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40.58244121947984</v>
      </c>
      <c r="BQ154" s="21">
        <f>EXP(-LN(2)/25)*BQ153+(1-EXP(-LN(2)/25))/(LN(2)/25)*Calculateur!BL154*Calculateur!BN154*VLOOKUP('Données projet'!$B$11,Paramètres!$A$1:$I$89,3,0)*0.475*44/12</f>
        <v>6.1457961881691894</v>
      </c>
      <c r="BR154" s="21">
        <f>EXP(-LN(2)/2)*BR153+(1-EXP(-LN(2)/2))/(LN(2)/2)*BL154*BO154*VLOOKUP('Données projet'!$B$11,Paramètres!$A$1:$I$89,3,0)*0.475*44/12</f>
        <v>2.0956425466171675E-8</v>
      </c>
      <c r="BS154" s="22">
        <f t="shared" ref="BS154:BS203" si="169">SUM(BP154:BR154)</f>
        <v>46.72823742860546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304.99999999999983</v>
      </c>
      <c r="BZ154" s="13">
        <f>BY154*VLOOKUP('Données projet'!$B$12,Paramètres!$A$1:$I$89,3,0)*VLOOKUP('Données projet'!$B$12,Paramètres!$A$1:$I$89,5,0)</f>
        <v>275.96399999999983</v>
      </c>
      <c r="CA154" s="13">
        <f t="shared" ref="CA154:CA203" si="170">EXP(-1.0587+0.8836*LN(BZ154)+0.284)</f>
        <v>66.113366665488854</v>
      </c>
      <c r="CB154" s="20">
        <f t="shared" ref="CB154:CB203" si="171">(BZ154+CA154)*0.475*44/12</f>
        <v>595.78474694239264</v>
      </c>
      <c r="CC154" s="59">
        <f t="shared" si="119"/>
        <v>889.11808027572602</v>
      </c>
      <c r="CD154" s="59">
        <f ca="1">AVERAGE(OFFSET($CC$3,0,0,'Données projet'!$E$12+1,1))-AVERAGE(OFFSET($H$3,0,0,'Données projet'!$E$12+1,1))</f>
        <v>366.69125512029831</v>
      </c>
      <c r="CE154" s="59">
        <f t="shared" si="148"/>
        <v>513.80016421153414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0.14716662647787629</v>
      </c>
      <c r="CL154" s="21">
        <f>EXP(-LN(2)/25)*CL153+(1-EXP(-LN(2)/25))/(LN(2)/25)*Calculateur!CG154*Calculateur!CI154*VLOOKUP('Données projet'!$B$12,Paramètres!$A$1:$I$89,3,0)*0.475*44/12</f>
        <v>0.25777924392049656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0.40494587039837282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5.6843418860808015E-13</v>
      </c>
      <c r="CU154" s="17">
        <f>CT154*VLOOKUP('Données projet'!$B$13,Paramètres!$A$1:$I$89,3,0)*VLOOKUP('Données projet'!$B$13,Paramètres!$A$1:$I$89,5,0)</f>
        <v>3.8130565371830017E-13</v>
      </c>
      <c r="CV154" s="13">
        <f t="shared" ref="CV154:CV203" si="173">EXP(-1.0587+0.8836*LN(CU154)+0.284)</f>
        <v>4.9019074112354236E-12</v>
      </c>
      <c r="CW154" s="20">
        <f t="shared" ref="CW154:CW203" si="174">(CU154+CV154)*0.475*44/12</f>
        <v>9.2015960881277352E-12</v>
      </c>
      <c r="CX154" s="59">
        <f t="shared" si="122"/>
        <v>293.33333333334252</v>
      </c>
      <c r="CY154" s="59">
        <f ca="1">AVERAGE(OFFSET($CX$3,0,0,'Données projet'!$E$13+1,1))-AVERAGE(OFFSET($H$3,0,0,'Données projet'!$E$13+1,1))</f>
        <v>294.94331863127815</v>
      </c>
      <c r="CZ154" s="59">
        <f t="shared" si="150"/>
        <v>218.36990036643977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105.14553413740443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105.14553413740443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266.99999999999983</v>
      </c>
      <c r="DP154" s="17">
        <f>DO154*VLOOKUP('Données projet'!$B$14,Paramètres!$A$1:$I$89,3,0)*VLOOKUP('Données projet'!$B$14,Paramètres!$A$1:$I$89,5,0)</f>
        <v>195.76439999999985</v>
      </c>
      <c r="DQ154" s="13">
        <f t="shared" ref="DQ154:DQ203" si="176">EXP(-1.0587+0.8836*LN(DP154)+0.284)</f>
        <v>48.812154563023455</v>
      </c>
      <c r="DR154" s="20">
        <f t="shared" ref="DR154:DR203" si="177">(DP154+DQ154)*0.475*44/12</f>
        <v>425.9708325305989</v>
      </c>
      <c r="DS154" s="59">
        <f t="shared" si="125"/>
        <v>719.30416586393221</v>
      </c>
      <c r="DT154" s="59">
        <f ca="1">AVERAGE(OFFSET($DS$3,0,0,'Données projet'!$E$14+1,1))-AVERAGE(OFFSET($H$3,0,0,'Données projet'!$E$14+1,1))</f>
        <v>278.45534008146865</v>
      </c>
      <c r="DU154" s="59">
        <f t="shared" si="152"/>
        <v>272.97841038165217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5.2761973016425152</v>
      </c>
      <c r="EB154" s="21">
        <f>EXP(-LN(2)/25)*EB153+(1-EXP(-LN(2)/25))/(LN(2)/25)*Calculateur!DW154*Calculateur!DY154*VLOOKUP('Données projet'!$B$14,Paramètres!$A$1:$I$89,3,0)*0.475*44/12</f>
        <v>0.86972866094165413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6.1459259625841689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5.6843418860808015E-13</v>
      </c>
      <c r="EK154" s="17">
        <f>EJ154*VLOOKUP('Données projet'!$B$15,Paramètres!$A$1:$I$89,3,0)*VLOOKUP('Données projet'!$B$15,Paramètres!$A$1:$I$89,5,0)</f>
        <v>6.1186256061773743E-13</v>
      </c>
      <c r="EL154" s="13">
        <f t="shared" ref="EL154:EL203" si="179">EXP(-1.0587+0.8836*LN(EK154)+0.284)</f>
        <v>7.4445668332430206E-12</v>
      </c>
      <c r="EM154" s="20">
        <f t="shared" ref="EM154:EM203" si="180">(EK154+EL154)*0.475*44/12</f>
        <v>1.4031614527640822E-11</v>
      </c>
      <c r="EN154" s="59">
        <f t="shared" si="128"/>
        <v>293.33333333334735</v>
      </c>
      <c r="EO154" s="59">
        <f ca="1">AVERAGE(OFFSET($EN$3,0,0,'Données projet'!$E$15+1,1))-AVERAGE(OFFSET($H$3,0,0,'Données projet'!$E$15+1,1))</f>
        <v>449.09332781196957</v>
      </c>
      <c r="EP154" s="59">
        <f t="shared" si="154"/>
        <v>324.85904971519432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136.887582178885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136.887582178885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5.6843418860808015E-13</v>
      </c>
      <c r="FF154" s="17">
        <f>FE154*VLOOKUP('Données projet'!$B$16,Paramètres!$A$1:$I$89,3,0)*VLOOKUP('Données projet'!$B$16,Paramètres!$A$1:$I$89,5,0)</f>
        <v>5.763922672485933E-13</v>
      </c>
      <c r="FG154" s="13">
        <f t="shared" ref="FG154:FG203" si="182">EXP(-1.0587+0.8836*LN(FF154)+0.284)</f>
        <v>7.0619171555808457E-12</v>
      </c>
      <c r="FH154" s="20">
        <f t="shared" ref="FH154:FH203" si="183">(FF154+FG154)*0.475*44/12</f>
        <v>1.3303388911427938E-11</v>
      </c>
      <c r="FI154" s="59">
        <f t="shared" si="131"/>
        <v>293.33333333334662</v>
      </c>
      <c r="FJ154" s="59">
        <f ca="1">AVERAGE(OFFSET($FI$3,0,0,'Données projet'!$E$16+1,1))-AVERAGE(OFFSET($H$3,0,0,'Données projet'!$E$16+1,1))</f>
        <v>419.51168383014721</v>
      </c>
      <c r="FK154" s="59">
        <f t="shared" si="156"/>
        <v>213.44145308833384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128.95207016851489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128.95207016851489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266.99999999999983</v>
      </c>
      <c r="GA154" s="17">
        <f>FZ154*VLOOKUP('Données projet'!$B$17,Paramètres!$A$1:$I$89,3,0)*VLOOKUP('Données projet'!$B$17,Paramètres!$A$1:$I$89,5,0)</f>
        <v>233.2511999999999</v>
      </c>
      <c r="GB154" s="13">
        <f t="shared" ref="GB154:GB203" si="185">EXP(-1.0587+0.8836*LN(GA154)+0.284)</f>
        <v>56.985091661350864</v>
      </c>
      <c r="GC154" s="20">
        <f t="shared" ref="GC154:GC203" si="186">(GA154+GB154)*0.475*44/12</f>
        <v>505.49487464351915</v>
      </c>
      <c r="GD154" s="59">
        <f t="shared" si="134"/>
        <v>798.82820797685247</v>
      </c>
      <c r="GE154" s="59">
        <f ca="1">AVERAGE(OFFSET($GD$3,0,0,'Données projet'!$E$17+1,1))-AVERAGE(OFFSET($H$3,0,0,'Données projet'!$E$17+1,1))</f>
        <v>324.86930206492627</v>
      </c>
      <c r="GF154" s="59">
        <f t="shared" si="158"/>
        <v>317.03005098025352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7.748517363322601</v>
      </c>
      <c r="GM154" s="21">
        <f>EXP(-LN(2)/25)*GM153+(1-EXP(-LN(2)/25))/(LN(2)/25)*Calculateur!GH154*Calculateur!GJ154*VLOOKUP('Données projet'!$B$17,Paramètres!$A$1:$I$89,3,0)*0.475*44/12</f>
        <v>1.2772660394234687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9.0257834027460699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5.6843418860808015E-13</v>
      </c>
      <c r="GV154" s="17">
        <f>GU154*VLOOKUP('Données projet'!$B$18,Paramètres!$A$1:$I$89,3,0)*VLOOKUP('Données projet'!$B$18,Paramètres!$A$1:$I$89,5,0)</f>
        <v>5.4092197387944907E-13</v>
      </c>
      <c r="GW154" s="13">
        <f t="shared" ref="GW154:GW203" si="188">EXP(-1.0587+0.8836*LN(GV154)+0.284)</f>
        <v>6.6765148417791561E-12</v>
      </c>
      <c r="GX154" s="20">
        <f t="shared" ref="GX154:GX203" si="189">(GV154+GW154)*0.475*44/12</f>
        <v>1.2570369120605403E-11</v>
      </c>
      <c r="GY154" s="59">
        <f t="shared" si="137"/>
        <v>293.33333333334588</v>
      </c>
      <c r="GZ154" s="59">
        <f ca="1">AVERAGE(OFFSET($GY$3,0,0,'Données projet'!$E$18+1,1))-AVERAGE(OFFSET($H$3,0,0,'Données projet'!$E$18+1,1))</f>
        <v>401.81944956556271</v>
      </c>
      <c r="HA154" s="59">
        <f t="shared" si="160"/>
        <v>292.20785523952651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121.0165581581448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121.0165581581448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5.1431925385259092E-13</v>
      </c>
      <c r="P155" s="13">
        <f t="shared" si="141"/>
        <v>6.3855359115685756E-12</v>
      </c>
      <c r="Q155" s="20">
        <f t="shared" si="162"/>
        <v>1.2017247746441865E-11</v>
      </c>
      <c r="R155" s="59">
        <f t="shared" si="109"/>
        <v>293.33333333334531</v>
      </c>
      <c r="S155" s="59">
        <f ca="1">AVERAGE(OFFSET($R$3,0,0,'Données projet'!$E$9+1,1))-AVERAGE(OFFSET($H$3,0,0,'Données projet'!$E$9+1,1))</f>
        <v>384.05928630855732</v>
      </c>
      <c r="T155" s="59">
        <f t="shared" si="142"/>
        <v>279.93992813630513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-6.3550942286383367E-14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335.04906256888819</v>
      </c>
      <c r="AO155" s="59">
        <f t="shared" si="144"/>
        <v>440.84111898279554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33.19603107158742</v>
      </c>
      <c r="AV155" s="21">
        <f>EXP(-LN(2)/25)*AV154+(1-EXP(-LN(2)/25))/(LN(2)/25)*Calculateur!AQ155*Calculateur!AS155*VLOOKUP('Données projet'!$B$10,Paramètres!$A$1:$I$89,3,0)*0.475*44/12</f>
        <v>3.9127671641974415</v>
      </c>
      <c r="AW155" s="21">
        <f>EXP(-LN(2)/2)*AW154+(1-EXP(-LN(2)/2))/(LN(2)/2)*AQ155*AT155*VLOOKUP('Données projet'!$B$10,Paramètres!$A$1:$I$89,3,0)*0.475*44/12</f>
        <v>8.5818249273057349E-14</v>
      </c>
      <c r="AX155" s="21">
        <f t="shared" si="166"/>
        <v>37.108798235784946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-1.4210854715202004E-13</v>
      </c>
      <c r="BE155" s="13">
        <f>BD155*VLOOKUP('Données projet'!$B$11,Paramètres!$A$1:$I$89,3,0)*VLOOKUP('Données projet'!$B$11,Paramètres!$A$1:$I$89,5,0)</f>
        <v>-8.128608897095547E-14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320.76883487964511</v>
      </c>
      <c r="BJ155" s="59">
        <f t="shared" si="146"/>
        <v>290.51177680335746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39.786644300010842</v>
      </c>
      <c r="BQ155" s="21">
        <f>EXP(-LN(2)/25)*BQ154+(1-EXP(-LN(2)/25))/(LN(2)/25)*Calculateur!BL155*Calculateur!BN155*VLOOKUP('Données projet'!$B$11,Paramètres!$A$1:$I$89,3,0)*0.475*44/12</f>
        <v>5.9777390682103277</v>
      </c>
      <c r="BR155" s="21">
        <f>EXP(-LN(2)/2)*BR154+(1-EXP(-LN(2)/2))/(LN(2)/2)*BL155*BO155*VLOOKUP('Données projet'!$B$11,Paramètres!$A$1:$I$89,3,0)*0.475*44/12</f>
        <v>1.4818430556560449E-8</v>
      </c>
      <c r="BS155" s="22">
        <f t="shared" si="169"/>
        <v>45.764383383039601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304.99999999999983</v>
      </c>
      <c r="BZ155" s="13">
        <f>BY155*VLOOKUP('Données projet'!$B$12,Paramètres!$A$1:$I$89,3,0)*VLOOKUP('Données projet'!$B$12,Paramètres!$A$1:$I$89,5,0)</f>
        <v>275.96399999999983</v>
      </c>
      <c r="CA155" s="13">
        <f t="shared" si="170"/>
        <v>66.113366665488854</v>
      </c>
      <c r="CB155" s="20">
        <f t="shared" si="171"/>
        <v>595.78474694239264</v>
      </c>
      <c r="CC155" s="59">
        <f t="shared" si="119"/>
        <v>889.11808027572602</v>
      </c>
      <c r="CD155" s="59">
        <f ca="1">AVERAGE(OFFSET($CC$3,0,0,'Données projet'!$E$12+1,1))-AVERAGE(OFFSET($H$3,0,0,'Données projet'!$E$12+1,1))</f>
        <v>366.69125512029831</v>
      </c>
      <c r="CE155" s="59">
        <f t="shared" si="148"/>
        <v>513.80016421153414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0.14428077869542394</v>
      </c>
      <c r="CL155" s="21">
        <f>EXP(-LN(2)/25)*CL154+(1-EXP(-LN(2)/25))/(LN(2)/25)*Calculateur!CG155*Calculateur!CI155*VLOOKUP('Données projet'!$B$12,Paramètres!$A$1:$I$89,3,0)*0.475*44/12</f>
        <v>0.25073025693946932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0.39501103563489326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5.6843418860808015E-13</v>
      </c>
      <c r="CU155" s="17">
        <f>CT155*VLOOKUP('Données projet'!$B$13,Paramètres!$A$1:$I$89,3,0)*VLOOKUP('Données projet'!$B$13,Paramètres!$A$1:$I$89,5,0)</f>
        <v>3.8130565371830017E-13</v>
      </c>
      <c r="CV155" s="13">
        <f t="shared" si="173"/>
        <v>4.9019074112354236E-12</v>
      </c>
      <c r="CW155" s="20">
        <f t="shared" si="174"/>
        <v>9.2015960881277352E-12</v>
      </c>
      <c r="CX155" s="59">
        <f t="shared" si="122"/>
        <v>293.33333333334252</v>
      </c>
      <c r="CY155" s="59">
        <f ca="1">AVERAGE(OFFSET($CX$3,0,0,'Données projet'!$E$13+1,1))-AVERAGE(OFFSET($H$3,0,0,'Données projet'!$E$13+1,1))</f>
        <v>294.94331863127815</v>
      </c>
      <c r="CZ155" s="59">
        <f t="shared" si="150"/>
        <v>218.36990036643977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103.08369434541319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103.08369434541319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266.99999999999983</v>
      </c>
      <c r="DP155" s="17">
        <f>DO155*VLOOKUP('Données projet'!$B$14,Paramètres!$A$1:$I$89,3,0)*VLOOKUP('Données projet'!$B$14,Paramètres!$A$1:$I$89,5,0)</f>
        <v>195.76439999999985</v>
      </c>
      <c r="DQ155" s="13">
        <f t="shared" si="176"/>
        <v>48.812154563023455</v>
      </c>
      <c r="DR155" s="20">
        <f t="shared" si="177"/>
        <v>425.9708325305989</v>
      </c>
      <c r="DS155" s="59">
        <f t="shared" si="125"/>
        <v>719.30416586393221</v>
      </c>
      <c r="DT155" s="59">
        <f ca="1">AVERAGE(OFFSET($DS$3,0,0,'Données projet'!$E$14+1,1))-AVERAGE(OFFSET($H$3,0,0,'Données projet'!$E$14+1,1))</f>
        <v>278.45534008146865</v>
      </c>
      <c r="DU155" s="59">
        <f t="shared" si="152"/>
        <v>272.97841038165217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5.1727342907198928</v>
      </c>
      <c r="EB155" s="21">
        <f>EXP(-LN(2)/25)*EB154+(1-EXP(-LN(2)/25))/(LN(2)/25)*Calculateur!DW155*Calculateur!DY155*VLOOKUP('Données projet'!$B$14,Paramètres!$A$1:$I$89,3,0)*0.475*44/12</f>
        <v>0.84594588497116208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6.0186801756910544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5.6843418860808015E-13</v>
      </c>
      <c r="EK155" s="17">
        <f>EJ155*VLOOKUP('Données projet'!$B$15,Paramètres!$A$1:$I$89,3,0)*VLOOKUP('Données projet'!$B$15,Paramètres!$A$1:$I$89,5,0)</f>
        <v>6.1186256061773743E-13</v>
      </c>
      <c r="EL155" s="13">
        <f t="shared" si="179"/>
        <v>7.4445668332430206E-12</v>
      </c>
      <c r="EM155" s="20">
        <f t="shared" si="180"/>
        <v>1.4031614527640822E-11</v>
      </c>
      <c r="EN155" s="59">
        <f t="shared" si="128"/>
        <v>293.33333333334735</v>
      </c>
      <c r="EO155" s="59">
        <f ca="1">AVERAGE(OFFSET($EN$3,0,0,'Données projet'!$E$15+1,1))-AVERAGE(OFFSET($H$3,0,0,'Données projet'!$E$15+1,1))</f>
        <v>449.09332781196957</v>
      </c>
      <c r="EP155" s="59">
        <f t="shared" si="154"/>
        <v>324.85904971519432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134.20330018553793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134.20330018553793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5.6843418860808015E-13</v>
      </c>
      <c r="FF155" s="17">
        <f>FE155*VLOOKUP('Données projet'!$B$16,Paramètres!$A$1:$I$89,3,0)*VLOOKUP('Données projet'!$B$16,Paramètres!$A$1:$I$89,5,0)</f>
        <v>5.763922672485933E-13</v>
      </c>
      <c r="FG155" s="13">
        <f t="shared" si="182"/>
        <v>7.0619171555808457E-12</v>
      </c>
      <c r="FH155" s="20">
        <f t="shared" si="183"/>
        <v>1.3303388911427938E-11</v>
      </c>
      <c r="FI155" s="59">
        <f t="shared" si="131"/>
        <v>293.33333333334662</v>
      </c>
      <c r="FJ155" s="59">
        <f ca="1">AVERAGE(OFFSET($FI$3,0,0,'Données projet'!$E$16+1,1))-AVERAGE(OFFSET($H$3,0,0,'Données projet'!$E$16+1,1))</f>
        <v>419.51168383014721</v>
      </c>
      <c r="FK155" s="59">
        <f t="shared" si="156"/>
        <v>213.44145308833384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126.42339872550679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126.42339872550679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266.99999999999983</v>
      </c>
      <c r="GA155" s="17">
        <f>FZ155*VLOOKUP('Données projet'!$B$17,Paramètres!$A$1:$I$89,3,0)*VLOOKUP('Données projet'!$B$17,Paramètres!$A$1:$I$89,5,0)</f>
        <v>233.2511999999999</v>
      </c>
      <c r="GB155" s="13">
        <f t="shared" si="185"/>
        <v>56.985091661350864</v>
      </c>
      <c r="GC155" s="20">
        <f t="shared" si="186"/>
        <v>505.49487464351915</v>
      </c>
      <c r="GD155" s="59">
        <f t="shared" si="134"/>
        <v>798.82820797685247</v>
      </c>
      <c r="GE155" s="59">
        <f ca="1">AVERAGE(OFFSET($GD$3,0,0,'Données projet'!$E$17+1,1))-AVERAGE(OFFSET($H$3,0,0,'Données projet'!$E$17+1,1))</f>
        <v>324.86930206492627</v>
      </c>
      <c r="GF155" s="59">
        <f t="shared" si="158"/>
        <v>317.03005098025352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7.5965736639567698</v>
      </c>
      <c r="GM155" s="21">
        <f>EXP(-LN(2)/25)*GM154+(1-EXP(-LN(2)/25))/(LN(2)/25)*Calculateur!GH155*Calculateur!GJ155*VLOOKUP('Données projet'!$B$17,Paramètres!$A$1:$I$89,3,0)*0.475*44/12</f>
        <v>1.2423391324069322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8.8389127963637026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5.6843418860808015E-13</v>
      </c>
      <c r="GV155" s="17">
        <f>GU155*VLOOKUP('Données projet'!$B$18,Paramètres!$A$1:$I$89,3,0)*VLOOKUP('Données projet'!$B$18,Paramètres!$A$1:$I$89,5,0)</f>
        <v>5.4092197387944907E-13</v>
      </c>
      <c r="GW155" s="13">
        <f t="shared" si="188"/>
        <v>6.6765148417791561E-12</v>
      </c>
      <c r="GX155" s="20">
        <f t="shared" si="189"/>
        <v>1.2570369120605403E-11</v>
      </c>
      <c r="GY155" s="59">
        <f t="shared" si="137"/>
        <v>293.33333333334588</v>
      </c>
      <c r="GZ155" s="59">
        <f ca="1">AVERAGE(OFFSET($GY$3,0,0,'Données projet'!$E$18+1,1))-AVERAGE(OFFSET($H$3,0,0,'Données projet'!$E$18+1,1))</f>
        <v>401.81944956556271</v>
      </c>
      <c r="HA155" s="59">
        <f t="shared" si="160"/>
        <v>292.20785523952651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118.64349726547565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118.64349726547565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5.1431925385259092E-13</v>
      </c>
      <c r="P156" s="13">
        <f t="shared" si="141"/>
        <v>6.3855359115685756E-12</v>
      </c>
      <c r="Q156" s="20">
        <f t="shared" si="162"/>
        <v>1.2017247746441865E-11</v>
      </c>
      <c r="R156" s="59">
        <f t="shared" si="109"/>
        <v>293.33333333334531</v>
      </c>
      <c r="S156" s="59">
        <f ca="1">AVERAGE(OFFSET($R$3,0,0,'Données projet'!$E$9+1,1))-AVERAGE(OFFSET($H$3,0,0,'Données projet'!$E$9+1,1))</f>
        <v>384.05928630855732</v>
      </c>
      <c r="T156" s="59">
        <f t="shared" si="142"/>
        <v>279.93992813630513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-6.3550942286383367E-14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335.04906256888819</v>
      </c>
      <c r="AO156" s="59">
        <f t="shared" si="144"/>
        <v>440.84111898279554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32.545077149853263</v>
      </c>
      <c r="AV156" s="21">
        <f>EXP(-LN(2)/25)*AV155+(1-EXP(-LN(2)/25))/(LN(2)/25)*Calculateur!AQ156*Calculateur!AS156*VLOOKUP('Données projet'!$B$10,Paramètres!$A$1:$I$89,3,0)*0.475*44/12</f>
        <v>3.8057723403289803</v>
      </c>
      <c r="AW156" s="21">
        <f>EXP(-LN(2)/2)*AW155+(1-EXP(-LN(2)/2))/(LN(2)/2)*AQ156*AT156*VLOOKUP('Données projet'!$B$10,Paramètres!$A$1:$I$89,3,0)*0.475*44/12</f>
        <v>6.0682666010536354E-14</v>
      </c>
      <c r="AX156" s="21">
        <f t="shared" si="166"/>
        <v>36.350849490182306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-1.4210854715202004E-13</v>
      </c>
      <c r="BE156" s="13">
        <f>BD156*VLOOKUP('Données projet'!$B$11,Paramètres!$A$1:$I$89,3,0)*VLOOKUP('Données projet'!$B$11,Paramètres!$A$1:$I$89,5,0)</f>
        <v>-8.128608897095547E-14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320.76883487964511</v>
      </c>
      <c r="BJ156" s="59">
        <f t="shared" si="146"/>
        <v>290.51177680335746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39.006452472744442</v>
      </c>
      <c r="BQ156" s="21">
        <f>EXP(-LN(2)/25)*BQ155+(1-EXP(-LN(2)/25))/(LN(2)/25)*Calculateur!BL156*Calculateur!BN156*VLOOKUP('Données projet'!$B$11,Paramètres!$A$1:$I$89,3,0)*0.475*44/12</f>
        <v>5.8142774790344811</v>
      </c>
      <c r="BR156" s="21">
        <f>EXP(-LN(2)/2)*BR155+(1-EXP(-LN(2)/2))/(LN(2)/2)*BL156*BO156*VLOOKUP('Données projet'!$B$11,Paramètres!$A$1:$I$89,3,0)*0.475*44/12</f>
        <v>1.0478212733085839E-8</v>
      </c>
      <c r="BS156" s="22">
        <f t="shared" si="169"/>
        <v>44.820729962257133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304.99999999999983</v>
      </c>
      <c r="BZ156" s="13">
        <f>BY156*VLOOKUP('Données projet'!$B$12,Paramètres!$A$1:$I$89,3,0)*VLOOKUP('Données projet'!$B$12,Paramètres!$A$1:$I$89,5,0)</f>
        <v>275.96399999999983</v>
      </c>
      <c r="CA156" s="13">
        <f t="shared" si="170"/>
        <v>66.113366665488854</v>
      </c>
      <c r="CB156" s="20">
        <f t="shared" si="171"/>
        <v>595.78474694239264</v>
      </c>
      <c r="CC156" s="59">
        <f t="shared" si="119"/>
        <v>889.11808027572602</v>
      </c>
      <c r="CD156" s="59">
        <f ca="1">AVERAGE(OFFSET($CC$3,0,0,'Données projet'!$E$12+1,1))-AVERAGE(OFFSET($H$3,0,0,'Données projet'!$E$12+1,1))</f>
        <v>366.69125512029831</v>
      </c>
      <c r="CE156" s="59">
        <f t="shared" si="148"/>
        <v>513.80016421153414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0.14145152062779215</v>
      </c>
      <c r="CL156" s="21">
        <f>EXP(-LN(2)/25)*CL155+(1-EXP(-LN(2)/25))/(LN(2)/25)*Calculateur!CG156*Calculateur!CI156*VLOOKUP('Données projet'!$B$12,Paramètres!$A$1:$I$89,3,0)*0.475*44/12</f>
        <v>0.24387402487812837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0.38532554550592052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5.6843418860808015E-13</v>
      </c>
      <c r="CU156" s="17">
        <f>CT156*VLOOKUP('Données projet'!$B$13,Paramètres!$A$1:$I$89,3,0)*VLOOKUP('Données projet'!$B$13,Paramètres!$A$1:$I$89,5,0)</f>
        <v>3.8130565371830017E-13</v>
      </c>
      <c r="CV156" s="13">
        <f t="shared" si="173"/>
        <v>4.9019074112354236E-12</v>
      </c>
      <c r="CW156" s="20">
        <f t="shared" si="174"/>
        <v>9.2015960881277352E-12</v>
      </c>
      <c r="CX156" s="59">
        <f t="shared" si="122"/>
        <v>293.33333333334252</v>
      </c>
      <c r="CY156" s="59">
        <f ca="1">AVERAGE(OFFSET($CX$3,0,0,'Données projet'!$E$13+1,1))-AVERAGE(OFFSET($H$3,0,0,'Données projet'!$E$13+1,1))</f>
        <v>294.94331863127815</v>
      </c>
      <c r="CZ156" s="59">
        <f t="shared" si="150"/>
        <v>218.36990036643977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101.06228597414481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101.06228597414481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266.99999999999983</v>
      </c>
      <c r="DP156" s="17">
        <f>DO156*VLOOKUP('Données projet'!$B$14,Paramètres!$A$1:$I$89,3,0)*VLOOKUP('Données projet'!$B$14,Paramètres!$A$1:$I$89,5,0)</f>
        <v>195.76439999999985</v>
      </c>
      <c r="DQ156" s="13">
        <f t="shared" si="176"/>
        <v>48.812154563023455</v>
      </c>
      <c r="DR156" s="20">
        <f t="shared" si="177"/>
        <v>425.9708325305989</v>
      </c>
      <c r="DS156" s="59">
        <f t="shared" si="125"/>
        <v>719.30416586393221</v>
      </c>
      <c r="DT156" s="59">
        <f ca="1">AVERAGE(OFFSET($DS$3,0,0,'Données projet'!$E$14+1,1))-AVERAGE(OFFSET($H$3,0,0,'Données projet'!$E$14+1,1))</f>
        <v>278.45534008146865</v>
      </c>
      <c r="DU156" s="59">
        <f t="shared" si="152"/>
        <v>272.97841038165217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5.0713001263352568</v>
      </c>
      <c r="EB156" s="21">
        <f>EXP(-LN(2)/25)*EB155+(1-EXP(-LN(2)/25))/(LN(2)/25)*Calculateur!DW156*Calculateur!DY156*VLOOKUP('Données projet'!$B$14,Paramètres!$A$1:$I$89,3,0)*0.475*44/12</f>
        <v>0.82281345026026498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5.8941135765955215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5.6843418860808015E-13</v>
      </c>
      <c r="EK156" s="17">
        <f>EJ156*VLOOKUP('Données projet'!$B$15,Paramètres!$A$1:$I$89,3,0)*VLOOKUP('Données projet'!$B$15,Paramètres!$A$1:$I$89,5,0)</f>
        <v>6.1186256061773743E-13</v>
      </c>
      <c r="EL156" s="13">
        <f t="shared" si="179"/>
        <v>7.4445668332430206E-12</v>
      </c>
      <c r="EM156" s="20">
        <f t="shared" si="180"/>
        <v>1.4031614527640822E-11</v>
      </c>
      <c r="EN156" s="59">
        <f t="shared" si="128"/>
        <v>293.33333333334735</v>
      </c>
      <c r="EO156" s="59">
        <f ca="1">AVERAGE(OFFSET($EN$3,0,0,'Données projet'!$E$15+1,1))-AVERAGE(OFFSET($H$3,0,0,'Données projet'!$E$15+1,1))</f>
        <v>449.09332781196957</v>
      </c>
      <c r="EP156" s="59">
        <f t="shared" si="154"/>
        <v>324.85904971519432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131.57165532483003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131.57165532483003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5.6843418860808015E-13</v>
      </c>
      <c r="FF156" s="17">
        <f>FE156*VLOOKUP('Données projet'!$B$16,Paramètres!$A$1:$I$89,3,0)*VLOOKUP('Données projet'!$B$16,Paramètres!$A$1:$I$89,5,0)</f>
        <v>5.763922672485933E-13</v>
      </c>
      <c r="FG156" s="13">
        <f t="shared" si="182"/>
        <v>7.0619171555808457E-12</v>
      </c>
      <c r="FH156" s="20">
        <f t="shared" si="183"/>
        <v>1.3303388911427938E-11</v>
      </c>
      <c r="FI156" s="59">
        <f t="shared" si="131"/>
        <v>293.33333333334662</v>
      </c>
      <c r="FJ156" s="59">
        <f ca="1">AVERAGE(OFFSET($FI$3,0,0,'Données projet'!$E$16+1,1))-AVERAGE(OFFSET($H$3,0,0,'Données projet'!$E$16+1,1))</f>
        <v>419.51168383014721</v>
      </c>
      <c r="FK156" s="59">
        <f t="shared" si="156"/>
        <v>213.44145308833384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123.94431298715878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123.94431298715878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266.99999999999983</v>
      </c>
      <c r="GA156" s="17">
        <f>FZ156*VLOOKUP('Données projet'!$B$17,Paramètres!$A$1:$I$89,3,0)*VLOOKUP('Données projet'!$B$17,Paramètres!$A$1:$I$89,5,0)</f>
        <v>233.2511999999999</v>
      </c>
      <c r="GB156" s="13">
        <f t="shared" si="185"/>
        <v>56.985091661350864</v>
      </c>
      <c r="GC156" s="20">
        <f t="shared" si="186"/>
        <v>505.49487464351915</v>
      </c>
      <c r="GD156" s="59">
        <f t="shared" si="134"/>
        <v>798.82820797685247</v>
      </c>
      <c r="GE156" s="59">
        <f ca="1">AVERAGE(OFFSET($GD$3,0,0,'Données projet'!$E$17+1,1))-AVERAGE(OFFSET($H$3,0,0,'Données projet'!$E$17+1,1))</f>
        <v>324.86930206492627</v>
      </c>
      <c r="GF156" s="59">
        <f t="shared" si="158"/>
        <v>317.03005098025352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7.4476094878589976</v>
      </c>
      <c r="GM156" s="21">
        <f>EXP(-LN(2)/25)*GM155+(1-EXP(-LN(2)/25))/(LN(2)/25)*Calculateur!GH156*Calculateur!GJ156*VLOOKUP('Données projet'!$B$17,Paramètres!$A$1:$I$89,3,0)*0.475*44/12</f>
        <v>1.2083673034994891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8.6559767913584871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5.6843418860808015E-13</v>
      </c>
      <c r="GV156" s="17">
        <f>GU156*VLOOKUP('Données projet'!$B$18,Paramètres!$A$1:$I$89,3,0)*VLOOKUP('Données projet'!$B$18,Paramètres!$A$1:$I$89,5,0)</f>
        <v>5.4092197387944907E-13</v>
      </c>
      <c r="GW156" s="13">
        <f t="shared" si="188"/>
        <v>6.6765148417791561E-12</v>
      </c>
      <c r="GX156" s="20">
        <f t="shared" si="189"/>
        <v>1.2570369120605403E-11</v>
      </c>
      <c r="GY156" s="59">
        <f t="shared" si="137"/>
        <v>293.33333333334588</v>
      </c>
      <c r="GZ156" s="59">
        <f ca="1">AVERAGE(OFFSET($GY$3,0,0,'Données projet'!$E$18+1,1))-AVERAGE(OFFSET($H$3,0,0,'Données projet'!$E$18+1,1))</f>
        <v>401.81944956556271</v>
      </c>
      <c r="HA156" s="59">
        <f t="shared" si="160"/>
        <v>292.20785523952651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116.31697064948752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116.31697064948752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5.1431925385259092E-13</v>
      </c>
      <c r="P157" s="13">
        <f t="shared" si="141"/>
        <v>6.3855359115685756E-12</v>
      </c>
      <c r="Q157" s="20">
        <f t="shared" si="162"/>
        <v>1.2017247746441865E-11</v>
      </c>
      <c r="R157" s="59">
        <f t="shared" si="109"/>
        <v>293.33333333334531</v>
      </c>
      <c r="S157" s="59">
        <f ca="1">AVERAGE(OFFSET($R$3,0,0,'Données projet'!$E$9+1,1))-AVERAGE(OFFSET($H$3,0,0,'Données projet'!$E$9+1,1))</f>
        <v>384.05928630855732</v>
      </c>
      <c r="T157" s="59">
        <f t="shared" si="142"/>
        <v>279.93992813630513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-6.3550942286383367E-14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335.04906256888819</v>
      </c>
      <c r="AO157" s="59">
        <f t="shared" si="144"/>
        <v>440.84111898279554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31.906888037481625</v>
      </c>
      <c r="AV157" s="21">
        <f>EXP(-LN(2)/25)*AV156+(1-EXP(-LN(2)/25))/(LN(2)/25)*Calculateur!AQ157*Calculateur!AS157*VLOOKUP('Données projet'!$B$10,Paramètres!$A$1:$I$89,3,0)*0.475*44/12</f>
        <v>3.7017032955458151</v>
      </c>
      <c r="AW157" s="21">
        <f>EXP(-LN(2)/2)*AW156+(1-EXP(-LN(2)/2))/(LN(2)/2)*AQ157*AT157*VLOOKUP('Données projet'!$B$10,Paramètres!$A$1:$I$89,3,0)*0.475*44/12</f>
        <v>4.2909124636528675E-14</v>
      </c>
      <c r="AX157" s="21">
        <f t="shared" si="166"/>
        <v>35.608591333027483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-1.4210854715202004E-13</v>
      </c>
      <c r="BE157" s="13">
        <f>BD157*VLOOKUP('Données projet'!$B$11,Paramètres!$A$1:$I$89,3,0)*VLOOKUP('Données projet'!$B$11,Paramètres!$A$1:$I$89,5,0)</f>
        <v>-8.128608897095547E-14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320.76883487964511</v>
      </c>
      <c r="BJ157" s="59">
        <f t="shared" si="146"/>
        <v>290.51177680335746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38.241559731340708</v>
      </c>
      <c r="BQ157" s="21">
        <f>EXP(-LN(2)/25)*BQ156+(1-EXP(-LN(2)/25))/(LN(2)/25)*Calculateur!BL157*Calculateur!BN157*VLOOKUP('Données projet'!$B$11,Paramètres!$A$1:$I$89,3,0)*0.475*44/12</f>
        <v>5.655285755610719</v>
      </c>
      <c r="BR157" s="21">
        <f>EXP(-LN(2)/2)*BR156+(1-EXP(-LN(2)/2))/(LN(2)/2)*BL157*BO157*VLOOKUP('Données projet'!$B$11,Paramètres!$A$1:$I$89,3,0)*0.475*44/12</f>
        <v>7.4092152782802252E-9</v>
      </c>
      <c r="BS157" s="22">
        <f t="shared" si="169"/>
        <v>43.89684549436064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304.99999999999983</v>
      </c>
      <c r="BZ157" s="13">
        <f>BY157*VLOOKUP('Données projet'!$B$12,Paramètres!$A$1:$I$89,3,0)*VLOOKUP('Données projet'!$B$12,Paramètres!$A$1:$I$89,5,0)</f>
        <v>275.96399999999983</v>
      </c>
      <c r="CA157" s="13">
        <f t="shared" si="170"/>
        <v>66.113366665488854</v>
      </c>
      <c r="CB157" s="20">
        <f t="shared" si="171"/>
        <v>595.78474694239264</v>
      </c>
      <c r="CC157" s="59">
        <f t="shared" si="119"/>
        <v>889.11808027572602</v>
      </c>
      <c r="CD157" s="59">
        <f ca="1">AVERAGE(OFFSET($CC$3,0,0,'Données projet'!$E$12+1,1))-AVERAGE(OFFSET($H$3,0,0,'Données projet'!$E$12+1,1))</f>
        <v>366.69125512029831</v>
      </c>
      <c r="CE157" s="59">
        <f t="shared" si="148"/>
        <v>513.80016421153414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0.13867774258518958</v>
      </c>
      <c r="CL157" s="21">
        <f>EXP(-LN(2)/25)*CL156+(1-EXP(-LN(2)/25))/(LN(2)/25)*Calculateur!CG157*Calculateur!CI157*VLOOKUP('Données projet'!$B$12,Paramètres!$A$1:$I$89,3,0)*0.475*44/12</f>
        <v>0.23720527684305837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0.37588301942824798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5.6843418860808015E-13</v>
      </c>
      <c r="CU157" s="17">
        <f>CT157*VLOOKUP('Données projet'!$B$13,Paramètres!$A$1:$I$89,3,0)*VLOOKUP('Données projet'!$B$13,Paramètres!$A$1:$I$89,5,0)</f>
        <v>3.8130565371830017E-13</v>
      </c>
      <c r="CV157" s="13">
        <f t="shared" si="173"/>
        <v>4.9019074112354236E-12</v>
      </c>
      <c r="CW157" s="20">
        <f t="shared" si="174"/>
        <v>9.2015960881277352E-12</v>
      </c>
      <c r="CX157" s="59">
        <f t="shared" si="122"/>
        <v>293.33333333334252</v>
      </c>
      <c r="CY157" s="59">
        <f ca="1">AVERAGE(OFFSET($CX$3,0,0,'Données projet'!$E$13+1,1))-AVERAGE(OFFSET($H$3,0,0,'Données projet'!$E$13+1,1))</f>
        <v>294.94331863127815</v>
      </c>
      <c r="CZ157" s="59">
        <f t="shared" si="150"/>
        <v>218.36990036643977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99.080516188099651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99.080516188099651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266.99999999999983</v>
      </c>
      <c r="DP157" s="17">
        <f>DO157*VLOOKUP('Données projet'!$B$14,Paramètres!$A$1:$I$89,3,0)*VLOOKUP('Données projet'!$B$14,Paramètres!$A$1:$I$89,5,0)</f>
        <v>195.76439999999985</v>
      </c>
      <c r="DQ157" s="13">
        <f t="shared" si="176"/>
        <v>48.812154563023455</v>
      </c>
      <c r="DR157" s="20">
        <f t="shared" si="177"/>
        <v>425.9708325305989</v>
      </c>
      <c r="DS157" s="59">
        <f t="shared" si="125"/>
        <v>719.30416586393221</v>
      </c>
      <c r="DT157" s="59">
        <f ca="1">AVERAGE(OFFSET($DS$3,0,0,'Données projet'!$E$14+1,1))-AVERAGE(OFFSET($H$3,0,0,'Données projet'!$E$14+1,1))</f>
        <v>278.45534008146865</v>
      </c>
      <c r="DU157" s="59">
        <f t="shared" si="152"/>
        <v>272.97841038165217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4.9718550240454729</v>
      </c>
      <c r="EB157" s="21">
        <f>EXP(-LN(2)/25)*EB156+(1-EXP(-LN(2)/25))/(LN(2)/25)*Calculateur!DW157*Calculateur!DY157*VLOOKUP('Données projet'!$B$14,Paramètres!$A$1:$I$89,3,0)*0.475*44/12</f>
        <v>0.80031357319301921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5.7721685972384922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5.6843418860808015E-13</v>
      </c>
      <c r="EK157" s="17">
        <f>EJ157*VLOOKUP('Données projet'!$B$15,Paramètres!$A$1:$I$89,3,0)*VLOOKUP('Données projet'!$B$15,Paramètres!$A$1:$I$89,5,0)</f>
        <v>6.1186256061773743E-13</v>
      </c>
      <c r="EL157" s="13">
        <f t="shared" si="179"/>
        <v>7.4445668332430206E-12</v>
      </c>
      <c r="EM157" s="20">
        <f t="shared" si="180"/>
        <v>1.4031614527640822E-11</v>
      </c>
      <c r="EN157" s="59">
        <f t="shared" si="128"/>
        <v>293.33333333334735</v>
      </c>
      <c r="EO157" s="59">
        <f ca="1">AVERAGE(OFFSET($EN$3,0,0,'Données projet'!$E$15+1,1))-AVERAGE(OFFSET($H$3,0,0,'Données projet'!$E$15+1,1))</f>
        <v>449.09332781196957</v>
      </c>
      <c r="EP157" s="59">
        <f t="shared" si="154"/>
        <v>324.85904971519432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128.99161541469576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128.99161541469576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5.6843418860808015E-13</v>
      </c>
      <c r="FF157" s="17">
        <f>FE157*VLOOKUP('Données projet'!$B$16,Paramètres!$A$1:$I$89,3,0)*VLOOKUP('Données projet'!$B$16,Paramètres!$A$1:$I$89,5,0)</f>
        <v>5.763922672485933E-13</v>
      </c>
      <c r="FG157" s="13">
        <f t="shared" si="182"/>
        <v>7.0619171555808457E-12</v>
      </c>
      <c r="FH157" s="20">
        <f t="shared" si="183"/>
        <v>1.3303388911427938E-11</v>
      </c>
      <c r="FI157" s="59">
        <f t="shared" si="131"/>
        <v>293.33333333334662</v>
      </c>
      <c r="FJ157" s="59">
        <f ca="1">AVERAGE(OFFSET($FI$3,0,0,'Données projet'!$E$16+1,1))-AVERAGE(OFFSET($H$3,0,0,'Données projet'!$E$16+1,1))</f>
        <v>419.51168383014721</v>
      </c>
      <c r="FK157" s="59">
        <f t="shared" si="156"/>
        <v>213.44145308833384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121.51384060804678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121.51384060804678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266.99999999999983</v>
      </c>
      <c r="GA157" s="17">
        <f>FZ157*VLOOKUP('Données projet'!$B$17,Paramètres!$A$1:$I$89,3,0)*VLOOKUP('Données projet'!$B$17,Paramètres!$A$1:$I$89,5,0)</f>
        <v>233.2511999999999</v>
      </c>
      <c r="GB157" s="13">
        <f t="shared" si="185"/>
        <v>56.985091661350864</v>
      </c>
      <c r="GC157" s="20">
        <f t="shared" si="186"/>
        <v>505.49487464351915</v>
      </c>
      <c r="GD157" s="59">
        <f t="shared" si="134"/>
        <v>798.82820797685247</v>
      </c>
      <c r="GE157" s="59">
        <f ca="1">AVERAGE(OFFSET($GD$3,0,0,'Données projet'!$E$17+1,1))-AVERAGE(OFFSET($H$3,0,0,'Données projet'!$E$17+1,1))</f>
        <v>324.86930206492627</v>
      </c>
      <c r="GF157" s="59">
        <f t="shared" si="158"/>
        <v>317.03005098025352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7.3015664083953267</v>
      </c>
      <c r="GM157" s="21">
        <f>EXP(-LN(2)/25)*GM156+(1-EXP(-LN(2)/25))/(LN(2)/25)*Calculateur!GH157*Calculateur!GJ157*VLOOKUP('Données projet'!$B$17,Paramètres!$A$1:$I$89,3,0)*0.475*44/12</f>
        <v>1.1753244360400208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8.4768908444353475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5.6843418860808015E-13</v>
      </c>
      <c r="GV157" s="17">
        <f>GU157*VLOOKUP('Données projet'!$B$18,Paramètres!$A$1:$I$89,3,0)*VLOOKUP('Données projet'!$B$18,Paramètres!$A$1:$I$89,5,0)</f>
        <v>5.4092197387944907E-13</v>
      </c>
      <c r="GW157" s="13">
        <f t="shared" si="188"/>
        <v>6.6765148417791561E-12</v>
      </c>
      <c r="GX157" s="20">
        <f t="shared" si="189"/>
        <v>1.2570369120605403E-11</v>
      </c>
      <c r="GY157" s="59">
        <f t="shared" si="137"/>
        <v>293.33333333334588</v>
      </c>
      <c r="GZ157" s="59">
        <f ca="1">AVERAGE(OFFSET($GY$3,0,0,'Données projet'!$E$18+1,1))-AVERAGE(OFFSET($H$3,0,0,'Données projet'!$E$18+1,1))</f>
        <v>401.81944956556271</v>
      </c>
      <c r="HA157" s="59">
        <f t="shared" si="160"/>
        <v>292.20785523952651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114.0360658013978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114.0360658013978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5.1431925385259092E-13</v>
      </c>
      <c r="P158" s="13">
        <f t="shared" si="141"/>
        <v>6.3855359115685756E-12</v>
      </c>
      <c r="Q158" s="20">
        <f t="shared" si="162"/>
        <v>1.2017247746441865E-11</v>
      </c>
      <c r="R158" s="59">
        <f t="shared" si="109"/>
        <v>293.33333333334531</v>
      </c>
      <c r="S158" s="59">
        <f ca="1">AVERAGE(OFFSET($R$3,0,0,'Données projet'!$E$9+1,1))-AVERAGE(OFFSET($H$3,0,0,'Données projet'!$E$9+1,1))</f>
        <v>384.05928630855732</v>
      </c>
      <c r="T158" s="59">
        <f t="shared" si="142"/>
        <v>279.93992813630513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-6.3550942286383367E-14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335.04906256888819</v>
      </c>
      <c r="AO158" s="59">
        <f t="shared" si="144"/>
        <v>440.84111898279554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31.281213424346671</v>
      </c>
      <c r="AV158" s="21">
        <f>EXP(-LN(2)/25)*AV157+(1-EXP(-LN(2)/25))/(LN(2)/25)*Calculateur!AQ158*Calculateur!AS158*VLOOKUP('Données projet'!$B$10,Paramètres!$A$1:$I$89,3,0)*0.475*44/12</f>
        <v>3.600480024264999</v>
      </c>
      <c r="AW158" s="21">
        <f>EXP(-LN(2)/2)*AW157+(1-EXP(-LN(2)/2))/(LN(2)/2)*AQ158*AT158*VLOOKUP('Données projet'!$B$10,Paramètres!$A$1:$I$89,3,0)*0.475*44/12</f>
        <v>3.0341333005268177E-14</v>
      </c>
      <c r="AX158" s="21">
        <f t="shared" si="166"/>
        <v>34.881693448611699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-1.4210854715202004E-13</v>
      </c>
      <c r="BE158" s="13">
        <f>BD158*VLOOKUP('Données projet'!$B$11,Paramètres!$A$1:$I$89,3,0)*VLOOKUP('Données projet'!$B$11,Paramètres!$A$1:$I$89,5,0)</f>
        <v>-8.128608897095547E-14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320.76883487964511</v>
      </c>
      <c r="BJ158" s="59">
        <f t="shared" si="146"/>
        <v>290.51177680335746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37.491666070057398</v>
      </c>
      <c r="BQ158" s="21">
        <f>EXP(-LN(2)/25)*BQ157+(1-EXP(-LN(2)/25))/(LN(2)/25)*Calculateur!BL158*Calculateur!BN158*VLOOKUP('Données projet'!$B$11,Paramètres!$A$1:$I$89,3,0)*0.475*44/12</f>
        <v>5.5006416692249918</v>
      </c>
      <c r="BR158" s="21">
        <f>EXP(-LN(2)/2)*BR157+(1-EXP(-LN(2)/2))/(LN(2)/2)*BL158*BO158*VLOOKUP('Données projet'!$B$11,Paramètres!$A$1:$I$89,3,0)*0.475*44/12</f>
        <v>5.2391063665429205E-9</v>
      </c>
      <c r="BS158" s="22">
        <f t="shared" si="169"/>
        <v>42.992307744521497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304.99999999999983</v>
      </c>
      <c r="BZ158" s="13">
        <f>BY158*VLOOKUP('Données projet'!$B$12,Paramètres!$A$1:$I$89,3,0)*VLOOKUP('Données projet'!$B$12,Paramètres!$A$1:$I$89,5,0)</f>
        <v>275.96399999999983</v>
      </c>
      <c r="CA158" s="13">
        <f t="shared" si="170"/>
        <v>66.113366665488854</v>
      </c>
      <c r="CB158" s="20">
        <f t="shared" si="171"/>
        <v>595.78474694239264</v>
      </c>
      <c r="CC158" s="59">
        <f t="shared" si="119"/>
        <v>889.11808027572602</v>
      </c>
      <c r="CD158" s="59">
        <f ca="1">AVERAGE(OFFSET($CC$3,0,0,'Données projet'!$E$12+1,1))-AVERAGE(OFFSET($H$3,0,0,'Données projet'!$E$12+1,1))</f>
        <v>366.69125512029831</v>
      </c>
      <c r="CE158" s="59">
        <f t="shared" si="148"/>
        <v>513.80016421153414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0.13595835663816491</v>
      </c>
      <c r="CL158" s="21">
        <f>EXP(-LN(2)/25)*CL157+(1-EXP(-LN(2)/25))/(LN(2)/25)*Calculateur!CG158*Calculateur!CI158*VLOOKUP('Données projet'!$B$12,Paramètres!$A$1:$I$89,3,0)*0.475*44/12</f>
        <v>0.23071888607370156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0.36667724271186647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5.6843418860808015E-13</v>
      </c>
      <c r="CU158" s="17">
        <f>CT158*VLOOKUP('Données projet'!$B$13,Paramètres!$A$1:$I$89,3,0)*VLOOKUP('Données projet'!$B$13,Paramètres!$A$1:$I$89,5,0)</f>
        <v>3.8130565371830017E-13</v>
      </c>
      <c r="CV158" s="13">
        <f t="shared" si="173"/>
        <v>4.9019074112354236E-12</v>
      </c>
      <c r="CW158" s="20">
        <f t="shared" si="174"/>
        <v>9.2015960881277352E-12</v>
      </c>
      <c r="CX158" s="59">
        <f t="shared" si="122"/>
        <v>293.33333333334252</v>
      </c>
      <c r="CY158" s="59">
        <f ca="1">AVERAGE(OFFSET($CX$3,0,0,'Données projet'!$E$13+1,1))-AVERAGE(OFFSET($H$3,0,0,'Données projet'!$E$13+1,1))</f>
        <v>294.94331863127815</v>
      </c>
      <c r="CZ158" s="59">
        <f t="shared" si="150"/>
        <v>218.36990036643977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97.137607698798618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97.137607698798618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266.99999999999983</v>
      </c>
      <c r="DP158" s="17">
        <f>DO158*VLOOKUP('Données projet'!$B$14,Paramètres!$A$1:$I$89,3,0)*VLOOKUP('Données projet'!$B$14,Paramètres!$A$1:$I$89,5,0)</f>
        <v>195.76439999999985</v>
      </c>
      <c r="DQ158" s="13">
        <f t="shared" si="176"/>
        <v>48.812154563023455</v>
      </c>
      <c r="DR158" s="20">
        <f t="shared" si="177"/>
        <v>425.9708325305989</v>
      </c>
      <c r="DS158" s="59">
        <f t="shared" si="125"/>
        <v>719.30416586393221</v>
      </c>
      <c r="DT158" s="59">
        <f ca="1">AVERAGE(OFFSET($DS$3,0,0,'Données projet'!$E$14+1,1))-AVERAGE(OFFSET($H$3,0,0,'Données projet'!$E$14+1,1))</f>
        <v>278.45534008146865</v>
      </c>
      <c r="DU158" s="59">
        <f t="shared" si="152"/>
        <v>272.97841038165217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4.8743599795560684</v>
      </c>
      <c r="EB158" s="21">
        <f>EXP(-LN(2)/25)*EB157+(1-EXP(-LN(2)/25))/(LN(2)/25)*Calculateur!DW158*Calculateur!DY158*VLOOKUP('Données projet'!$B$14,Paramètres!$A$1:$I$89,3,0)*0.475*44/12</f>
        <v>0.7784289564473944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5.6527889360034624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5.6843418860808015E-13</v>
      </c>
      <c r="EK158" s="17">
        <f>EJ158*VLOOKUP('Données projet'!$B$15,Paramètres!$A$1:$I$89,3,0)*VLOOKUP('Données projet'!$B$15,Paramètres!$A$1:$I$89,5,0)</f>
        <v>6.1186256061773743E-13</v>
      </c>
      <c r="EL158" s="13">
        <f t="shared" si="179"/>
        <v>7.4445668332430206E-12</v>
      </c>
      <c r="EM158" s="20">
        <f t="shared" si="180"/>
        <v>1.4031614527640822E-11</v>
      </c>
      <c r="EN158" s="59">
        <f t="shared" si="128"/>
        <v>293.33333333334735</v>
      </c>
      <c r="EO158" s="59">
        <f ca="1">AVERAGE(OFFSET($EN$3,0,0,'Données projet'!$E$15+1,1))-AVERAGE(OFFSET($H$3,0,0,'Données projet'!$E$15+1,1))</f>
        <v>449.09332781196957</v>
      </c>
      <c r="EP158" s="59">
        <f t="shared" si="154"/>
        <v>324.85904971519432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126.46216851353026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126.46216851353026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5.6843418860808015E-13</v>
      </c>
      <c r="FF158" s="17">
        <f>FE158*VLOOKUP('Données projet'!$B$16,Paramètres!$A$1:$I$89,3,0)*VLOOKUP('Données projet'!$B$16,Paramètres!$A$1:$I$89,5,0)</f>
        <v>5.763922672485933E-13</v>
      </c>
      <c r="FG158" s="13">
        <f t="shared" si="182"/>
        <v>7.0619171555808457E-12</v>
      </c>
      <c r="FH158" s="20">
        <f t="shared" si="183"/>
        <v>1.3303388911427938E-11</v>
      </c>
      <c r="FI158" s="59">
        <f t="shared" si="131"/>
        <v>293.33333333334662</v>
      </c>
      <c r="FJ158" s="59">
        <f ca="1">AVERAGE(OFFSET($FI$3,0,0,'Données projet'!$E$16+1,1))-AVERAGE(OFFSET($H$3,0,0,'Données projet'!$E$16+1,1))</f>
        <v>419.51168383014721</v>
      </c>
      <c r="FK158" s="59">
        <f t="shared" si="156"/>
        <v>213.44145308833384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119.13102830984739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119.13102830984739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266.99999999999983</v>
      </c>
      <c r="GA158" s="17">
        <f>FZ158*VLOOKUP('Données projet'!$B$17,Paramètres!$A$1:$I$89,3,0)*VLOOKUP('Données projet'!$B$17,Paramètres!$A$1:$I$89,5,0)</f>
        <v>233.2511999999999</v>
      </c>
      <c r="GB158" s="13">
        <f t="shared" si="185"/>
        <v>56.985091661350864</v>
      </c>
      <c r="GC158" s="20">
        <f t="shared" si="186"/>
        <v>505.49487464351915</v>
      </c>
      <c r="GD158" s="59">
        <f t="shared" si="134"/>
        <v>798.82820797685247</v>
      </c>
      <c r="GE158" s="59">
        <f ca="1">AVERAGE(OFFSET($GD$3,0,0,'Données projet'!$E$17+1,1))-AVERAGE(OFFSET($H$3,0,0,'Données projet'!$E$17+1,1))</f>
        <v>324.86930206492627</v>
      </c>
      <c r="GF158" s="59">
        <f t="shared" si="158"/>
        <v>317.03005098025352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7.1583871446424556</v>
      </c>
      <c r="GM158" s="21">
        <f>EXP(-LN(2)/25)*GM157+(1-EXP(-LN(2)/25))/(LN(2)/25)*Calculateur!GH158*Calculateur!GJ158*VLOOKUP('Données projet'!$B$17,Paramètres!$A$1:$I$89,3,0)*0.475*44/12</f>
        <v>1.1431851275288805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8.3015722721713363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5.6843418860808015E-13</v>
      </c>
      <c r="GV158" s="17">
        <f>GU158*VLOOKUP('Données projet'!$B$18,Paramètres!$A$1:$I$89,3,0)*VLOOKUP('Données projet'!$B$18,Paramètres!$A$1:$I$89,5,0)</f>
        <v>5.4092197387944907E-13</v>
      </c>
      <c r="GW158" s="13">
        <f t="shared" si="188"/>
        <v>6.6765148417791561E-12</v>
      </c>
      <c r="GX158" s="20">
        <f t="shared" si="189"/>
        <v>1.2570369120605403E-11</v>
      </c>
      <c r="GY158" s="59">
        <f t="shared" si="137"/>
        <v>293.33333333334588</v>
      </c>
      <c r="GZ158" s="59">
        <f ca="1">AVERAGE(OFFSET($GY$3,0,0,'Données projet'!$E$18+1,1))-AVERAGE(OFFSET($H$3,0,0,'Données projet'!$E$18+1,1))</f>
        <v>401.81944956556271</v>
      </c>
      <c r="HA158" s="59">
        <f t="shared" si="160"/>
        <v>292.20785523952651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111.79988810616453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111.79988810616453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5.1431925385259092E-13</v>
      </c>
      <c r="P159" s="13">
        <f t="shared" si="141"/>
        <v>6.3855359115685756E-12</v>
      </c>
      <c r="Q159" s="20">
        <f t="shared" si="162"/>
        <v>1.2017247746441865E-11</v>
      </c>
      <c r="R159" s="59">
        <f t="shared" si="109"/>
        <v>293.33333333334531</v>
      </c>
      <c r="S159" s="59">
        <f ca="1">AVERAGE(OFFSET($R$3,0,0,'Données projet'!$E$9+1,1))-AVERAGE(OFFSET($H$3,0,0,'Données projet'!$E$9+1,1))</f>
        <v>384.05928630855732</v>
      </c>
      <c r="T159" s="59">
        <f t="shared" si="142"/>
        <v>279.93992813630513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-6.3550942286383367E-14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335.04906256888819</v>
      </c>
      <c r="AO159" s="59">
        <f t="shared" si="144"/>
        <v>440.84111898279554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30.667807908751463</v>
      </c>
      <c r="AV159" s="21">
        <f>EXP(-LN(2)/25)*AV158+(1-EXP(-LN(2)/25))/(LN(2)/25)*Calculateur!AQ159*Calculateur!AS159*VLOOKUP('Données projet'!$B$10,Paramètres!$A$1:$I$89,3,0)*0.475*44/12</f>
        <v>3.502024708660457</v>
      </c>
      <c r="AW159" s="21">
        <f>EXP(-LN(2)/2)*AW158+(1-EXP(-LN(2)/2))/(LN(2)/2)*AQ159*AT159*VLOOKUP('Données projet'!$B$10,Paramètres!$A$1:$I$89,3,0)*0.475*44/12</f>
        <v>2.1454562318264337E-14</v>
      </c>
      <c r="AX159" s="21">
        <f t="shared" si="166"/>
        <v>34.169832617411942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-1.4210854715202004E-13</v>
      </c>
      <c r="BE159" s="13">
        <f>BD159*VLOOKUP('Données projet'!$B$11,Paramètres!$A$1:$I$89,3,0)*VLOOKUP('Données projet'!$B$11,Paramètres!$A$1:$I$89,5,0)</f>
        <v>-8.128608897095547E-14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320.76883487964511</v>
      </c>
      <c r="BJ159" s="59">
        <f t="shared" si="146"/>
        <v>290.51177680335746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36.756477366081882</v>
      </c>
      <c r="BQ159" s="21">
        <f>EXP(-LN(2)/25)*BQ158+(1-EXP(-LN(2)/25))/(LN(2)/25)*Calculateur!BL159*Calculateur!BN159*VLOOKUP('Données projet'!$B$11,Paramètres!$A$1:$I$89,3,0)*0.475*44/12</f>
        <v>5.3502263335138611</v>
      </c>
      <c r="BR159" s="21">
        <f>EXP(-LN(2)/2)*BR158+(1-EXP(-LN(2)/2))/(LN(2)/2)*BL159*BO159*VLOOKUP('Données projet'!$B$11,Paramètres!$A$1:$I$89,3,0)*0.475*44/12</f>
        <v>3.704607639140113E-9</v>
      </c>
      <c r="BS159" s="22">
        <f t="shared" si="169"/>
        <v>42.106703703300347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304.99999999999983</v>
      </c>
      <c r="BZ159" s="13">
        <f>BY159*VLOOKUP('Données projet'!$B$12,Paramètres!$A$1:$I$89,3,0)*VLOOKUP('Données projet'!$B$12,Paramètres!$A$1:$I$89,5,0)</f>
        <v>275.96399999999983</v>
      </c>
      <c r="CA159" s="13">
        <f t="shared" si="170"/>
        <v>66.113366665488854</v>
      </c>
      <c r="CB159" s="20">
        <f t="shared" si="171"/>
        <v>595.78474694239264</v>
      </c>
      <c r="CC159" s="59">
        <f t="shared" si="119"/>
        <v>889.11808027572602</v>
      </c>
      <c r="CD159" s="59">
        <f ca="1">AVERAGE(OFFSET($CC$3,0,0,'Données projet'!$E$12+1,1))-AVERAGE(OFFSET($H$3,0,0,'Données projet'!$E$12+1,1))</f>
        <v>366.69125512029831</v>
      </c>
      <c r="CE159" s="59">
        <f t="shared" si="148"/>
        <v>513.80016421153414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0.13329229619089975</v>
      </c>
      <c r="CL159" s="21">
        <f>EXP(-LN(2)/25)*CL158+(1-EXP(-LN(2)/25))/(LN(2)/25)*Calculateur!CG159*Calculateur!CI159*VLOOKUP('Données projet'!$B$12,Paramètres!$A$1:$I$89,3,0)*0.475*44/12</f>
        <v>0.22440986600103729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0.35770216219193707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5.6843418860808015E-13</v>
      </c>
      <c r="CU159" s="17">
        <f>CT159*VLOOKUP('Données projet'!$B$13,Paramètres!$A$1:$I$89,3,0)*VLOOKUP('Données projet'!$B$13,Paramètres!$A$1:$I$89,5,0)</f>
        <v>3.8130565371830017E-13</v>
      </c>
      <c r="CV159" s="13">
        <f t="shared" si="173"/>
        <v>4.9019074112354236E-12</v>
      </c>
      <c r="CW159" s="20">
        <f t="shared" si="174"/>
        <v>9.2015960881277352E-12</v>
      </c>
      <c r="CX159" s="59">
        <f t="shared" si="122"/>
        <v>293.33333333334252</v>
      </c>
      <c r="CY159" s="59">
        <f ca="1">AVERAGE(OFFSET($CX$3,0,0,'Données projet'!$E$13+1,1))-AVERAGE(OFFSET($H$3,0,0,'Données projet'!$E$13+1,1))</f>
        <v>294.94331863127815</v>
      </c>
      <c r="CZ159" s="59">
        <f t="shared" si="150"/>
        <v>218.36990036643977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95.232798459915614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95.232798459915614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266.99999999999983</v>
      </c>
      <c r="DP159" s="17">
        <f>DO159*VLOOKUP('Données projet'!$B$14,Paramètres!$A$1:$I$89,3,0)*VLOOKUP('Données projet'!$B$14,Paramètres!$A$1:$I$89,5,0)</f>
        <v>195.76439999999985</v>
      </c>
      <c r="DQ159" s="13">
        <f t="shared" si="176"/>
        <v>48.812154563023455</v>
      </c>
      <c r="DR159" s="20">
        <f t="shared" si="177"/>
        <v>425.9708325305989</v>
      </c>
      <c r="DS159" s="59">
        <f t="shared" si="125"/>
        <v>719.30416586393221</v>
      </c>
      <c r="DT159" s="59">
        <f ca="1">AVERAGE(OFFSET($DS$3,0,0,'Données projet'!$E$14+1,1))-AVERAGE(OFFSET($H$3,0,0,'Données projet'!$E$14+1,1))</f>
        <v>278.45534008146865</v>
      </c>
      <c r="DU159" s="59">
        <f t="shared" si="152"/>
        <v>272.97841038165217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4.7787767534229957</v>
      </c>
      <c r="EB159" s="21">
        <f>EXP(-LN(2)/25)*EB158+(1-EXP(-LN(2)/25))/(LN(2)/25)*Calculateur!DW159*Calculateur!DY159*VLOOKUP('Données projet'!$B$14,Paramètres!$A$1:$I$89,3,0)*0.475*44/12</f>
        <v>0.75714277569754074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5.5359195291205365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5.6843418860808015E-13</v>
      </c>
      <c r="EK159" s="17">
        <f>EJ159*VLOOKUP('Données projet'!$B$15,Paramètres!$A$1:$I$89,3,0)*VLOOKUP('Données projet'!$B$15,Paramètres!$A$1:$I$89,5,0)</f>
        <v>6.1186256061773743E-13</v>
      </c>
      <c r="EL159" s="13">
        <f t="shared" si="179"/>
        <v>7.4445668332430206E-12</v>
      </c>
      <c r="EM159" s="20">
        <f t="shared" si="180"/>
        <v>1.4031614527640822E-11</v>
      </c>
      <c r="EN159" s="59">
        <f t="shared" si="128"/>
        <v>293.33333333334735</v>
      </c>
      <c r="EO159" s="59">
        <f ca="1">AVERAGE(OFFSET($EN$3,0,0,'Données projet'!$E$15+1,1))-AVERAGE(OFFSET($H$3,0,0,'Données projet'!$E$15+1,1))</f>
        <v>449.09332781196957</v>
      </c>
      <c r="EP159" s="59">
        <f t="shared" si="154"/>
        <v>324.85904971519432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123.98232252328634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123.98232252328634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5.6843418860808015E-13</v>
      </c>
      <c r="FF159" s="17">
        <f>FE159*VLOOKUP('Données projet'!$B$16,Paramètres!$A$1:$I$89,3,0)*VLOOKUP('Données projet'!$B$16,Paramètres!$A$1:$I$89,5,0)</f>
        <v>5.763922672485933E-13</v>
      </c>
      <c r="FG159" s="13">
        <f t="shared" si="182"/>
        <v>7.0619171555808457E-12</v>
      </c>
      <c r="FH159" s="20">
        <f t="shared" si="183"/>
        <v>1.3303388911427938E-11</v>
      </c>
      <c r="FI159" s="59">
        <f t="shared" si="131"/>
        <v>293.33333333334662</v>
      </c>
      <c r="FJ159" s="59">
        <f ca="1">AVERAGE(OFFSET($FI$3,0,0,'Données projet'!$E$16+1,1))-AVERAGE(OFFSET($H$3,0,0,'Données projet'!$E$16+1,1))</f>
        <v>419.51168383014721</v>
      </c>
      <c r="FK159" s="59">
        <f t="shared" si="156"/>
        <v>213.44145308833384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116.79494150744371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116.79494150744371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266.99999999999983</v>
      </c>
      <c r="GA159" s="17">
        <f>FZ159*VLOOKUP('Données projet'!$B$17,Paramètres!$A$1:$I$89,3,0)*VLOOKUP('Données projet'!$B$17,Paramètres!$A$1:$I$89,5,0)</f>
        <v>233.2511999999999</v>
      </c>
      <c r="GB159" s="13">
        <f t="shared" si="185"/>
        <v>56.985091661350864</v>
      </c>
      <c r="GC159" s="20">
        <f t="shared" si="186"/>
        <v>505.49487464351915</v>
      </c>
      <c r="GD159" s="59">
        <f t="shared" si="134"/>
        <v>798.82820797685247</v>
      </c>
      <c r="GE159" s="59">
        <f ca="1">AVERAGE(OFFSET($GD$3,0,0,'Données projet'!$E$17+1,1))-AVERAGE(OFFSET($H$3,0,0,'Données projet'!$E$17+1,1))</f>
        <v>324.86930206492627</v>
      </c>
      <c r="GF159" s="59">
        <f t="shared" si="158"/>
        <v>317.03005098025352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7.0180155389210501</v>
      </c>
      <c r="GM159" s="21">
        <f>EXP(-LN(2)/25)*GM158+(1-EXP(-LN(2)/25))/(LN(2)/25)*Calculateur!GH159*Calculateur!GJ159*VLOOKUP('Données projet'!$B$17,Paramètres!$A$1:$I$89,3,0)*0.475*44/12</f>
        <v>1.1119246700991101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8.1299402090201607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5.6843418860808015E-13</v>
      </c>
      <c r="GV159" s="17">
        <f>GU159*VLOOKUP('Données projet'!$B$18,Paramètres!$A$1:$I$89,3,0)*VLOOKUP('Données projet'!$B$18,Paramètres!$A$1:$I$89,5,0)</f>
        <v>5.4092197387944907E-13</v>
      </c>
      <c r="GW159" s="13">
        <f t="shared" si="188"/>
        <v>6.6765148417791561E-12</v>
      </c>
      <c r="GX159" s="20">
        <f t="shared" si="189"/>
        <v>1.2570369120605403E-11</v>
      </c>
      <c r="GY159" s="59">
        <f t="shared" si="137"/>
        <v>293.33333333334588</v>
      </c>
      <c r="GZ159" s="59">
        <f ca="1">AVERAGE(OFFSET($GY$3,0,0,'Données projet'!$E$18+1,1))-AVERAGE(OFFSET($H$3,0,0,'Données projet'!$E$18+1,1))</f>
        <v>401.81944956556271</v>
      </c>
      <c r="HA159" s="59">
        <f t="shared" si="160"/>
        <v>292.20785523952651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109.60756049160106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109.60756049160106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5.1431925385259092E-13</v>
      </c>
      <c r="P160" s="13">
        <f t="shared" si="141"/>
        <v>6.3855359115685756E-12</v>
      </c>
      <c r="Q160" s="20">
        <f t="shared" si="162"/>
        <v>1.2017247746441865E-11</v>
      </c>
      <c r="R160" s="59">
        <f t="shared" si="109"/>
        <v>293.33333333334531</v>
      </c>
      <c r="S160" s="59">
        <f ca="1">AVERAGE(OFFSET($R$3,0,0,'Données projet'!$E$9+1,1))-AVERAGE(OFFSET($H$3,0,0,'Données projet'!$E$9+1,1))</f>
        <v>384.05928630855732</v>
      </c>
      <c r="T160" s="59">
        <f t="shared" si="142"/>
        <v>279.93992813630513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-6.3550942286383367E-14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335.04906256888819</v>
      </c>
      <c r="AO160" s="59">
        <f t="shared" si="144"/>
        <v>440.84111898279554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30.066430901176656</v>
      </c>
      <c r="AV160" s="21">
        <f>EXP(-LN(2)/25)*AV159+(1-EXP(-LN(2)/25))/(LN(2)/25)*Calculateur!AQ160*Calculateur!AS160*VLOOKUP('Données projet'!$B$10,Paramètres!$A$1:$I$89,3,0)*0.475*44/12</f>
        <v>3.4062616588386612</v>
      </c>
      <c r="AW160" s="21">
        <f>EXP(-LN(2)/2)*AW159+(1-EXP(-LN(2)/2))/(LN(2)/2)*AQ160*AT160*VLOOKUP('Données projet'!$B$10,Paramètres!$A$1:$I$89,3,0)*0.475*44/12</f>
        <v>1.5170666502634088E-14</v>
      </c>
      <c r="AX160" s="21">
        <f t="shared" si="166"/>
        <v>33.472692560015332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-1.4210854715202004E-13</v>
      </c>
      <c r="BE160" s="13">
        <f>BD160*VLOOKUP('Données projet'!$B$11,Paramètres!$A$1:$I$89,3,0)*VLOOKUP('Données projet'!$B$11,Paramètres!$A$1:$I$89,5,0)</f>
        <v>-8.128608897095547E-14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320.76883487964511</v>
      </c>
      <c r="BJ160" s="59">
        <f t="shared" si="146"/>
        <v>290.51177680335746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36.035705264170495</v>
      </c>
      <c r="BQ160" s="21">
        <f>EXP(-LN(2)/25)*BQ159+(1-EXP(-LN(2)/25))/(LN(2)/25)*Calculateur!BL160*Calculateur!BN160*VLOOKUP('Données projet'!$B$11,Paramètres!$A$1:$I$89,3,0)*0.475*44/12</f>
        <v>5.2039241130677496</v>
      </c>
      <c r="BR160" s="21">
        <f>EXP(-LN(2)/2)*BR159+(1-EXP(-LN(2)/2))/(LN(2)/2)*BL160*BO160*VLOOKUP('Données projet'!$B$11,Paramètres!$A$1:$I$89,3,0)*0.475*44/12</f>
        <v>2.6195531832714607E-9</v>
      </c>
      <c r="BS160" s="22">
        <f t="shared" si="169"/>
        <v>41.239629379857796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304.99999999999983</v>
      </c>
      <c r="BZ160" s="13">
        <f>BY160*VLOOKUP('Données projet'!$B$12,Paramètres!$A$1:$I$89,3,0)*VLOOKUP('Données projet'!$B$12,Paramètres!$A$1:$I$89,5,0)</f>
        <v>275.96399999999983</v>
      </c>
      <c r="CA160" s="13">
        <f t="shared" si="170"/>
        <v>66.113366665488854</v>
      </c>
      <c r="CB160" s="20">
        <f t="shared" si="171"/>
        <v>595.78474694239264</v>
      </c>
      <c r="CC160" s="59">
        <f t="shared" si="119"/>
        <v>889.11808027572602</v>
      </c>
      <c r="CD160" s="59">
        <f ca="1">AVERAGE(OFFSET($CC$3,0,0,'Données projet'!$E$12+1,1))-AVERAGE(OFFSET($H$3,0,0,'Données projet'!$E$12+1,1))</f>
        <v>366.69125512029831</v>
      </c>
      <c r="CE160" s="59">
        <f t="shared" si="148"/>
        <v>513.80016421153414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0.13067851556286914</v>
      </c>
      <c r="CL160" s="21">
        <f>EXP(-LN(2)/25)*CL159+(1-EXP(-LN(2)/25))/(LN(2)/25)*Calculateur!CG160*Calculateur!CI160*VLOOKUP('Données projet'!$B$12,Paramètres!$A$1:$I$89,3,0)*0.475*44/12</f>
        <v>0.21827336641403697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0.34895188197690608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5.6843418860808015E-13</v>
      </c>
      <c r="CU160" s="17">
        <f>CT160*VLOOKUP('Données projet'!$B$13,Paramètres!$A$1:$I$89,3,0)*VLOOKUP('Données projet'!$B$13,Paramètres!$A$1:$I$89,5,0)</f>
        <v>3.8130565371830017E-13</v>
      </c>
      <c r="CV160" s="13">
        <f t="shared" si="173"/>
        <v>4.9019074112354236E-12</v>
      </c>
      <c r="CW160" s="20">
        <f t="shared" si="174"/>
        <v>9.2015960881277352E-12</v>
      </c>
      <c r="CX160" s="59">
        <f t="shared" si="122"/>
        <v>293.33333333334252</v>
      </c>
      <c r="CY160" s="59">
        <f ca="1">AVERAGE(OFFSET($CX$3,0,0,'Données projet'!$E$13+1,1))-AVERAGE(OFFSET($H$3,0,0,'Données projet'!$E$13+1,1))</f>
        <v>294.94331863127815</v>
      </c>
      <c r="CZ160" s="59">
        <f t="shared" si="150"/>
        <v>218.36990036643977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93.365341368388187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93.365341368388187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266.99999999999983</v>
      </c>
      <c r="DP160" s="17">
        <f>DO160*VLOOKUP('Données projet'!$B$14,Paramètres!$A$1:$I$89,3,0)*VLOOKUP('Données projet'!$B$14,Paramètres!$A$1:$I$89,5,0)</f>
        <v>195.76439999999985</v>
      </c>
      <c r="DQ160" s="13">
        <f t="shared" si="176"/>
        <v>48.812154563023455</v>
      </c>
      <c r="DR160" s="20">
        <f t="shared" si="177"/>
        <v>425.9708325305989</v>
      </c>
      <c r="DS160" s="59">
        <f t="shared" si="125"/>
        <v>719.30416586393221</v>
      </c>
      <c r="DT160" s="59">
        <f ca="1">AVERAGE(OFFSET($DS$3,0,0,'Données projet'!$E$14+1,1))-AVERAGE(OFFSET($H$3,0,0,'Données projet'!$E$14+1,1))</f>
        <v>278.45534008146865</v>
      </c>
      <c r="DU160" s="59">
        <f t="shared" si="152"/>
        <v>272.97841038165217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4.6850678560543813</v>
      </c>
      <c r="EB160" s="21">
        <f>EXP(-LN(2)/25)*EB159+(1-EXP(-LN(2)/25))/(LN(2)/25)*Calculateur!DW160*Calculateur!DY160*VLOOKUP('Données projet'!$B$14,Paramètres!$A$1:$I$89,3,0)*0.475*44/12</f>
        <v>0.73643866667968338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5.4215065227340649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5.6843418860808015E-13</v>
      </c>
      <c r="EK160" s="17">
        <f>EJ160*VLOOKUP('Données projet'!$B$15,Paramètres!$A$1:$I$89,3,0)*VLOOKUP('Données projet'!$B$15,Paramètres!$A$1:$I$89,5,0)</f>
        <v>6.1186256061773743E-13</v>
      </c>
      <c r="EL160" s="13">
        <f t="shared" si="179"/>
        <v>7.4445668332430206E-12</v>
      </c>
      <c r="EM160" s="20">
        <f t="shared" si="180"/>
        <v>1.4031614527640822E-11</v>
      </c>
      <c r="EN160" s="59">
        <f t="shared" si="128"/>
        <v>293.33333333334735</v>
      </c>
      <c r="EO160" s="59">
        <f ca="1">AVERAGE(OFFSET($EN$3,0,0,'Données projet'!$E$15+1,1))-AVERAGE(OFFSET($H$3,0,0,'Données projet'!$E$15+1,1))</f>
        <v>449.09332781196957</v>
      </c>
      <c r="EP160" s="59">
        <f t="shared" si="154"/>
        <v>324.85904971519432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121.55110480035441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121.55110480035441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5.6843418860808015E-13</v>
      </c>
      <c r="FF160" s="17">
        <f>FE160*VLOOKUP('Données projet'!$B$16,Paramètres!$A$1:$I$89,3,0)*VLOOKUP('Données projet'!$B$16,Paramètres!$A$1:$I$89,5,0)</f>
        <v>5.763922672485933E-13</v>
      </c>
      <c r="FG160" s="13">
        <f t="shared" si="182"/>
        <v>7.0619171555808457E-12</v>
      </c>
      <c r="FH160" s="20">
        <f t="shared" si="183"/>
        <v>1.3303388911427938E-11</v>
      </c>
      <c r="FI160" s="59">
        <f t="shared" si="131"/>
        <v>293.33333333334662</v>
      </c>
      <c r="FJ160" s="59">
        <f ca="1">AVERAGE(OFFSET($FI$3,0,0,'Données projet'!$E$16+1,1))-AVERAGE(OFFSET($H$3,0,0,'Données projet'!$E$16+1,1))</f>
        <v>419.51168383014721</v>
      </c>
      <c r="FK160" s="59">
        <f t="shared" si="156"/>
        <v>213.44145308833384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114.5046639423629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114.5046639423629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266.99999999999983</v>
      </c>
      <c r="GA160" s="17">
        <f>FZ160*VLOOKUP('Données projet'!$B$17,Paramètres!$A$1:$I$89,3,0)*VLOOKUP('Données projet'!$B$17,Paramètres!$A$1:$I$89,5,0)</f>
        <v>233.2511999999999</v>
      </c>
      <c r="GB160" s="13">
        <f t="shared" si="185"/>
        <v>56.985091661350864</v>
      </c>
      <c r="GC160" s="20">
        <f t="shared" si="186"/>
        <v>505.49487464351915</v>
      </c>
      <c r="GD160" s="59">
        <f t="shared" si="134"/>
        <v>798.82820797685247</v>
      </c>
      <c r="GE160" s="59">
        <f ca="1">AVERAGE(OFFSET($GD$3,0,0,'Données projet'!$E$17+1,1))-AVERAGE(OFFSET($H$3,0,0,'Données projet'!$E$17+1,1))</f>
        <v>324.86930206492627</v>
      </c>
      <c r="GF160" s="59">
        <f t="shared" si="158"/>
        <v>317.03005098025352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6.8803965347696163</v>
      </c>
      <c r="GM160" s="21">
        <f>EXP(-LN(2)/25)*GM159+(1-EXP(-LN(2)/25))/(LN(2)/25)*Calculateur!GH160*Calculateur!GJ160*VLOOKUP('Données projet'!$B$17,Paramètres!$A$1:$I$89,3,0)*0.475*44/12</f>
        <v>1.0815190315216729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7.9619155662912888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5.6843418860808015E-13</v>
      </c>
      <c r="GV160" s="17">
        <f>GU160*VLOOKUP('Données projet'!$B$18,Paramètres!$A$1:$I$89,3,0)*VLOOKUP('Données projet'!$B$18,Paramètres!$A$1:$I$89,5,0)</f>
        <v>5.4092197387944907E-13</v>
      </c>
      <c r="GW160" s="13">
        <f t="shared" si="188"/>
        <v>6.6765148417791561E-12</v>
      </c>
      <c r="GX160" s="20">
        <f t="shared" si="189"/>
        <v>1.2570369120605403E-11</v>
      </c>
      <c r="GY160" s="59">
        <f t="shared" si="137"/>
        <v>293.33333333334588</v>
      </c>
      <c r="GZ160" s="59">
        <f ca="1">AVERAGE(OFFSET($GY$3,0,0,'Données projet'!$E$18+1,1))-AVERAGE(OFFSET($H$3,0,0,'Données projet'!$E$18+1,1))</f>
        <v>401.81944956556271</v>
      </c>
      <c r="HA160" s="59">
        <f t="shared" si="160"/>
        <v>292.20785523952651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107.45822308437138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107.45822308437138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5.1431925385259092E-13</v>
      </c>
      <c r="P161" s="13">
        <f t="shared" si="141"/>
        <v>6.3855359115685756E-12</v>
      </c>
      <c r="Q161" s="20">
        <f t="shared" si="162"/>
        <v>1.2017247746441865E-11</v>
      </c>
      <c r="R161" s="59">
        <f t="shared" si="109"/>
        <v>293.33333333334531</v>
      </c>
      <c r="S161" s="59">
        <f ca="1">AVERAGE(OFFSET($R$3,0,0,'Données projet'!$E$9+1,1))-AVERAGE(OFFSET($H$3,0,0,'Données projet'!$E$9+1,1))</f>
        <v>384.05928630855732</v>
      </c>
      <c r="T161" s="59">
        <f t="shared" si="142"/>
        <v>279.93992813630513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-6.3550942286383367E-14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335.04906256888819</v>
      </c>
      <c r="AO161" s="59">
        <f t="shared" si="144"/>
        <v>440.84111898279554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29.476846529916635</v>
      </c>
      <c r="AV161" s="21">
        <f>EXP(-LN(2)/25)*AV160+(1-EXP(-LN(2)/25))/(LN(2)/25)*Calculateur!AQ161*Calculateur!AS161*VLOOKUP('Données projet'!$B$10,Paramètres!$A$1:$I$89,3,0)*0.475*44/12</f>
        <v>3.3131172546502023</v>
      </c>
      <c r="AW161" s="21">
        <f>EXP(-LN(2)/2)*AW160+(1-EXP(-LN(2)/2))/(LN(2)/2)*AQ161*AT161*VLOOKUP('Données projet'!$B$10,Paramètres!$A$1:$I$89,3,0)*0.475*44/12</f>
        <v>1.0727281159132169E-14</v>
      </c>
      <c r="AX161" s="21">
        <f t="shared" si="166"/>
        <v>32.789963784566851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-1.4210854715202004E-13</v>
      </c>
      <c r="BE161" s="13">
        <f>BD161*VLOOKUP('Données projet'!$B$11,Paramètres!$A$1:$I$89,3,0)*VLOOKUP('Données projet'!$B$11,Paramètres!$A$1:$I$89,5,0)</f>
        <v>-8.128608897095547E-14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320.76883487964511</v>
      </c>
      <c r="BJ161" s="59">
        <f t="shared" si="146"/>
        <v>290.51177680335746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35.329067063550013</v>
      </c>
      <c r="BQ161" s="21">
        <f>EXP(-LN(2)/25)*BQ160+(1-EXP(-LN(2)/25))/(LN(2)/25)*Calculateur!BL161*Calculateur!BN161*VLOOKUP('Données projet'!$B$11,Paramètres!$A$1:$I$89,3,0)*0.475*44/12</f>
        <v>5.0616225345334369</v>
      </c>
      <c r="BR161" s="21">
        <f>EXP(-LN(2)/2)*BR160+(1-EXP(-LN(2)/2))/(LN(2)/2)*BL161*BO161*VLOOKUP('Données projet'!$B$11,Paramètres!$A$1:$I$89,3,0)*0.475*44/12</f>
        <v>1.8523038195700569E-9</v>
      </c>
      <c r="BS161" s="22">
        <f t="shared" si="169"/>
        <v>40.390689599935754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304.99999999999983</v>
      </c>
      <c r="BZ161" s="13">
        <f>BY161*VLOOKUP('Données projet'!$B$12,Paramètres!$A$1:$I$89,3,0)*VLOOKUP('Données projet'!$B$12,Paramètres!$A$1:$I$89,5,0)</f>
        <v>275.96399999999983</v>
      </c>
      <c r="CA161" s="13">
        <f t="shared" si="170"/>
        <v>66.113366665488854</v>
      </c>
      <c r="CB161" s="20">
        <f t="shared" si="171"/>
        <v>595.78474694239264</v>
      </c>
      <c r="CC161" s="59">
        <f t="shared" si="119"/>
        <v>889.11808027572602</v>
      </c>
      <c r="CD161" s="59">
        <f ca="1">AVERAGE(OFFSET($CC$3,0,0,'Données projet'!$E$12+1,1))-AVERAGE(OFFSET($H$3,0,0,'Données projet'!$E$12+1,1))</f>
        <v>366.69125512029831</v>
      </c>
      <c r="CE161" s="59">
        <f t="shared" si="148"/>
        <v>513.80016421153414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0.12811598957870546</v>
      </c>
      <c r="CL161" s="21">
        <f>EXP(-LN(2)/25)*CL160+(1-EXP(-LN(2)/25))/(LN(2)/25)*Calculateur!CG161*Calculateur!CI161*VLOOKUP('Données projet'!$B$12,Paramètres!$A$1:$I$89,3,0)*0.475*44/12</f>
        <v>0.21230466973094766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0.34042065930965315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5.6843418860808015E-13</v>
      </c>
      <c r="CU161" s="17">
        <f>CT161*VLOOKUP('Données projet'!$B$13,Paramètres!$A$1:$I$89,3,0)*VLOOKUP('Données projet'!$B$13,Paramètres!$A$1:$I$89,5,0)</f>
        <v>3.8130565371830017E-13</v>
      </c>
      <c r="CV161" s="13">
        <f t="shared" si="173"/>
        <v>4.9019074112354236E-12</v>
      </c>
      <c r="CW161" s="20">
        <f t="shared" si="174"/>
        <v>9.2015960881277352E-12</v>
      </c>
      <c r="CX161" s="59">
        <f t="shared" si="122"/>
        <v>293.33333333334252</v>
      </c>
      <c r="CY161" s="59">
        <f ca="1">AVERAGE(OFFSET($CX$3,0,0,'Données projet'!$E$13+1,1))-AVERAGE(OFFSET($H$3,0,0,'Données projet'!$E$13+1,1))</f>
        <v>294.94331863127815</v>
      </c>
      <c r="CZ161" s="59">
        <f t="shared" si="150"/>
        <v>218.36990036643977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91.534503971389256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91.534503971389256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266.99999999999983</v>
      </c>
      <c r="DP161" s="17">
        <f>DO161*VLOOKUP('Données projet'!$B$14,Paramètres!$A$1:$I$89,3,0)*VLOOKUP('Données projet'!$B$14,Paramètres!$A$1:$I$89,5,0)</f>
        <v>195.76439999999985</v>
      </c>
      <c r="DQ161" s="13">
        <f t="shared" si="176"/>
        <v>48.812154563023455</v>
      </c>
      <c r="DR161" s="20">
        <f t="shared" si="177"/>
        <v>425.9708325305989</v>
      </c>
      <c r="DS161" s="59">
        <f t="shared" si="125"/>
        <v>719.30416586393221</v>
      </c>
      <c r="DT161" s="59">
        <f ca="1">AVERAGE(OFFSET($DS$3,0,0,'Données projet'!$E$14+1,1))-AVERAGE(OFFSET($H$3,0,0,'Données projet'!$E$14+1,1))</f>
        <v>278.45534008146865</v>
      </c>
      <c r="DU161" s="59">
        <f t="shared" si="152"/>
        <v>272.97841038165217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4.593196533006382</v>
      </c>
      <c r="EB161" s="21">
        <f>EXP(-LN(2)/25)*EB160+(1-EXP(-LN(2)/25))/(LN(2)/25)*Calculateur!DW161*Calculateur!DY161*VLOOKUP('Données projet'!$B$14,Paramètres!$A$1:$I$89,3,0)*0.475*44/12</f>
        <v>0.71630071261170114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5.3094972456180827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5.6843418860808015E-13</v>
      </c>
      <c r="EK161" s="17">
        <f>EJ161*VLOOKUP('Données projet'!$B$15,Paramètres!$A$1:$I$89,3,0)*VLOOKUP('Données projet'!$B$15,Paramètres!$A$1:$I$89,5,0)</f>
        <v>6.1186256061773743E-13</v>
      </c>
      <c r="EL161" s="13">
        <f t="shared" si="179"/>
        <v>7.4445668332430206E-12</v>
      </c>
      <c r="EM161" s="20">
        <f t="shared" si="180"/>
        <v>1.4031614527640822E-11</v>
      </c>
      <c r="EN161" s="59">
        <f t="shared" si="128"/>
        <v>293.33333333334735</v>
      </c>
      <c r="EO161" s="59">
        <f ca="1">AVERAGE(OFFSET($EN$3,0,0,'Données projet'!$E$15+1,1))-AVERAGE(OFFSET($H$3,0,0,'Données projet'!$E$15+1,1))</f>
        <v>449.09332781196957</v>
      </c>
      <c r="EP161" s="59">
        <f t="shared" si="154"/>
        <v>324.85904971519432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119.16756177407278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119.16756177407278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5.6843418860808015E-13</v>
      </c>
      <c r="FF161" s="17">
        <f>FE161*VLOOKUP('Données projet'!$B$16,Paramètres!$A$1:$I$89,3,0)*VLOOKUP('Données projet'!$B$16,Paramètres!$A$1:$I$89,5,0)</f>
        <v>5.763922672485933E-13</v>
      </c>
      <c r="FG161" s="13">
        <f t="shared" si="182"/>
        <v>7.0619171555808457E-12</v>
      </c>
      <c r="FH161" s="20">
        <f t="shared" si="183"/>
        <v>1.3303388911427938E-11</v>
      </c>
      <c r="FI161" s="59">
        <f t="shared" si="131"/>
        <v>293.33333333334662</v>
      </c>
      <c r="FJ161" s="59">
        <f ca="1">AVERAGE(OFFSET($FI$3,0,0,'Données projet'!$E$16+1,1))-AVERAGE(OFFSET($H$3,0,0,'Données projet'!$E$16+1,1))</f>
        <v>419.51168383014721</v>
      </c>
      <c r="FK161" s="59">
        <f t="shared" si="156"/>
        <v>213.44145308833384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112.25929732340194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112.25929732340194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266.99999999999983</v>
      </c>
      <c r="GA161" s="17">
        <f>FZ161*VLOOKUP('Données projet'!$B$17,Paramètres!$A$1:$I$89,3,0)*VLOOKUP('Données projet'!$B$17,Paramètres!$A$1:$I$89,5,0)</f>
        <v>233.2511999999999</v>
      </c>
      <c r="GB161" s="13">
        <f t="shared" si="185"/>
        <v>56.985091661350864</v>
      </c>
      <c r="GC161" s="20">
        <f t="shared" si="186"/>
        <v>505.49487464351915</v>
      </c>
      <c r="GD161" s="59">
        <f t="shared" si="134"/>
        <v>798.82820797685247</v>
      </c>
      <c r="GE161" s="59">
        <f ca="1">AVERAGE(OFFSET($GD$3,0,0,'Données projet'!$E$17+1,1))-AVERAGE(OFFSET($H$3,0,0,'Données projet'!$E$17+1,1))</f>
        <v>324.86930206492627</v>
      </c>
      <c r="GF161" s="59">
        <f t="shared" si="158"/>
        <v>317.03005098025352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6.7454761553502882</v>
      </c>
      <c r="GM161" s="21">
        <f>EXP(-LN(2)/25)*GM160+(1-EXP(-LN(2)/25))/(LN(2)/25)*Calculateur!GH161*Calculateur!GJ161*VLOOKUP('Données projet'!$B$17,Paramètres!$A$1:$I$89,3,0)*0.475*44/12</f>
        <v>1.0519448367300988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7.7974209920803865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5.6843418860808015E-13</v>
      </c>
      <c r="GV161" s="17">
        <f>GU161*VLOOKUP('Données projet'!$B$18,Paramètres!$A$1:$I$89,3,0)*VLOOKUP('Données projet'!$B$18,Paramètres!$A$1:$I$89,5,0)</f>
        <v>5.4092197387944907E-13</v>
      </c>
      <c r="GW161" s="13">
        <f t="shared" si="188"/>
        <v>6.6765148417791561E-12</v>
      </c>
      <c r="GX161" s="20">
        <f t="shared" si="189"/>
        <v>1.2570369120605403E-11</v>
      </c>
      <c r="GY161" s="59">
        <f t="shared" si="137"/>
        <v>293.33333333334588</v>
      </c>
      <c r="GZ161" s="59">
        <f ca="1">AVERAGE(OFFSET($GY$3,0,0,'Données projet'!$E$18+1,1))-AVERAGE(OFFSET($H$3,0,0,'Données projet'!$E$18+1,1))</f>
        <v>401.81944956556271</v>
      </c>
      <c r="HA161" s="59">
        <f t="shared" si="160"/>
        <v>292.20785523952651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105.35103287273111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105.35103287273111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5.1431925385259092E-13</v>
      </c>
      <c r="P162" s="13">
        <f t="shared" si="141"/>
        <v>6.3855359115685756E-12</v>
      </c>
      <c r="Q162" s="20">
        <f t="shared" si="162"/>
        <v>1.2017247746441865E-11</v>
      </c>
      <c r="R162" s="59">
        <f t="shared" si="109"/>
        <v>293.33333333334531</v>
      </c>
      <c r="S162" s="59">
        <f ca="1">AVERAGE(OFFSET($R$3,0,0,'Données projet'!$E$9+1,1))-AVERAGE(OFFSET($H$3,0,0,'Données projet'!$E$9+1,1))</f>
        <v>384.05928630855732</v>
      </c>
      <c r="T162" s="59">
        <f t="shared" si="142"/>
        <v>279.93992813630513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-6.3550942286383367E-14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335.04906256888819</v>
      </c>
      <c r="AO162" s="59">
        <f t="shared" si="144"/>
        <v>440.84111898279554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28.898823548566064</v>
      </c>
      <c r="AV162" s="21">
        <f>EXP(-LN(2)/25)*AV161+(1-EXP(-LN(2)/25))/(LN(2)/25)*Calculateur!AQ162*Calculateur!AS162*VLOOKUP('Données projet'!$B$10,Paramètres!$A$1:$I$89,3,0)*0.475*44/12</f>
        <v>3.2225198890925282</v>
      </c>
      <c r="AW162" s="21">
        <f>EXP(-LN(2)/2)*AW161+(1-EXP(-LN(2)/2))/(LN(2)/2)*AQ162*AT162*VLOOKUP('Données projet'!$B$10,Paramètres!$A$1:$I$89,3,0)*0.475*44/12</f>
        <v>7.5853332513170442E-15</v>
      </c>
      <c r="AX162" s="21">
        <f t="shared" si="166"/>
        <v>32.121343437658602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-1.4210854715202004E-13</v>
      </c>
      <c r="BE162" s="13">
        <f>BD162*VLOOKUP('Données projet'!$B$11,Paramètres!$A$1:$I$89,3,0)*VLOOKUP('Données projet'!$B$11,Paramètres!$A$1:$I$89,5,0)</f>
        <v>-8.128608897095547E-14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320.76883487964511</v>
      </c>
      <c r="BJ162" s="59">
        <f t="shared" si="146"/>
        <v>290.51177680335746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34.63628560703696</v>
      </c>
      <c r="BQ162" s="21">
        <f>EXP(-LN(2)/25)*BQ161+(1-EXP(-LN(2)/25))/(LN(2)/25)*Calculateur!BL162*Calculateur!BN162*VLOOKUP('Données projet'!$B$11,Paramètres!$A$1:$I$89,3,0)*0.475*44/12</f>
        <v>4.9232122001474599</v>
      </c>
      <c r="BR162" s="21">
        <f>EXP(-LN(2)/2)*BR161+(1-EXP(-LN(2)/2))/(LN(2)/2)*BL162*BO162*VLOOKUP('Données projet'!$B$11,Paramètres!$A$1:$I$89,3,0)*0.475*44/12</f>
        <v>1.3097765916357305E-9</v>
      </c>
      <c r="BS162" s="22">
        <f t="shared" si="169"/>
        <v>39.5594978084942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304.99999999999983</v>
      </c>
      <c r="BZ162" s="13">
        <f>BY162*VLOOKUP('Données projet'!$B$12,Paramètres!$A$1:$I$89,3,0)*VLOOKUP('Données projet'!$B$12,Paramètres!$A$1:$I$89,5,0)</f>
        <v>275.96399999999983</v>
      </c>
      <c r="CA162" s="13">
        <f t="shared" si="170"/>
        <v>66.113366665488854</v>
      </c>
      <c r="CB162" s="20">
        <f t="shared" si="171"/>
        <v>595.78474694239264</v>
      </c>
      <c r="CC162" s="59">
        <f t="shared" si="119"/>
        <v>889.11808027572602</v>
      </c>
      <c r="CD162" s="59">
        <f ca="1">AVERAGE(OFFSET($CC$3,0,0,'Données projet'!$E$12+1,1))-AVERAGE(OFFSET($H$3,0,0,'Données projet'!$E$12+1,1))</f>
        <v>366.69125512029831</v>
      </c>
      <c r="CE162" s="59">
        <f t="shared" si="148"/>
        <v>513.80016421153414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0.12560371316610469</v>
      </c>
      <c r="CL162" s="21">
        <f>EXP(-LN(2)/25)*CL161+(1-EXP(-LN(2)/25))/(LN(2)/25)*Calculateur!CG162*Calculateur!CI162*VLOOKUP('Données projet'!$B$12,Paramètres!$A$1:$I$89,3,0)*0.475*44/12</f>
        <v>0.20649918737253756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0.33210290053864222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5.6843418860808015E-13</v>
      </c>
      <c r="CU162" s="17">
        <f>CT162*VLOOKUP('Données projet'!$B$13,Paramètres!$A$1:$I$89,3,0)*VLOOKUP('Données projet'!$B$13,Paramètres!$A$1:$I$89,5,0)</f>
        <v>3.8130565371830017E-13</v>
      </c>
      <c r="CV162" s="13">
        <f t="shared" si="173"/>
        <v>4.9019074112354236E-12</v>
      </c>
      <c r="CW162" s="20">
        <f t="shared" si="174"/>
        <v>9.2015960881277352E-12</v>
      </c>
      <c r="CX162" s="59">
        <f t="shared" si="122"/>
        <v>293.33333333334252</v>
      </c>
      <c r="CY162" s="59">
        <f ca="1">AVERAGE(OFFSET($CX$3,0,0,'Données projet'!$E$13+1,1))-AVERAGE(OFFSET($H$3,0,0,'Données projet'!$E$13+1,1))</f>
        <v>294.94331863127815</v>
      </c>
      <c r="CZ162" s="59">
        <f t="shared" si="150"/>
        <v>218.36990036643977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89.739568179044923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89.739568179044923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266.99999999999983</v>
      </c>
      <c r="DP162" s="17">
        <f>DO162*VLOOKUP('Données projet'!$B$14,Paramètres!$A$1:$I$89,3,0)*VLOOKUP('Données projet'!$B$14,Paramètres!$A$1:$I$89,5,0)</f>
        <v>195.76439999999985</v>
      </c>
      <c r="DQ162" s="13">
        <f t="shared" si="176"/>
        <v>48.812154563023455</v>
      </c>
      <c r="DR162" s="20">
        <f t="shared" si="177"/>
        <v>425.9708325305989</v>
      </c>
      <c r="DS162" s="59">
        <f t="shared" si="125"/>
        <v>719.30416586393221</v>
      </c>
      <c r="DT162" s="59">
        <f ca="1">AVERAGE(OFFSET($DS$3,0,0,'Données projet'!$E$14+1,1))-AVERAGE(OFFSET($H$3,0,0,'Données projet'!$E$14+1,1))</f>
        <v>278.45534008146865</v>
      </c>
      <c r="DU162" s="59">
        <f t="shared" si="152"/>
        <v>272.97841038165217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4.5031267505673798</v>
      </c>
      <c r="EB162" s="21">
        <f>EXP(-LN(2)/25)*EB161+(1-EXP(-LN(2)/25))/(LN(2)/25)*Calculateur!DW162*Calculateur!DY162*VLOOKUP('Données projet'!$B$14,Paramètres!$A$1:$I$89,3,0)*0.475*44/12</f>
        <v>0.69671343195671687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5.1998401825240963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5.6843418860808015E-13</v>
      </c>
      <c r="EK162" s="17">
        <f>EJ162*VLOOKUP('Données projet'!$B$15,Paramètres!$A$1:$I$89,3,0)*VLOOKUP('Données projet'!$B$15,Paramètres!$A$1:$I$89,5,0)</f>
        <v>6.1186256061773743E-13</v>
      </c>
      <c r="EL162" s="13">
        <f t="shared" si="179"/>
        <v>7.4445668332430206E-12</v>
      </c>
      <c r="EM162" s="20">
        <f t="shared" si="180"/>
        <v>1.4031614527640822E-11</v>
      </c>
      <c r="EN162" s="59">
        <f t="shared" si="128"/>
        <v>293.33333333334735</v>
      </c>
      <c r="EO162" s="59">
        <f ca="1">AVERAGE(OFFSET($EN$3,0,0,'Données projet'!$E$15+1,1))-AVERAGE(OFFSET($H$3,0,0,'Données projet'!$E$15+1,1))</f>
        <v>449.09332781196957</v>
      </c>
      <c r="EP162" s="59">
        <f t="shared" si="154"/>
        <v>324.85904971519432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116.83075857271885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116.83075857271885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5.6843418860808015E-13</v>
      </c>
      <c r="FF162" s="17">
        <f>FE162*VLOOKUP('Données projet'!$B$16,Paramètres!$A$1:$I$89,3,0)*VLOOKUP('Données projet'!$B$16,Paramètres!$A$1:$I$89,5,0)</f>
        <v>5.763922672485933E-13</v>
      </c>
      <c r="FG162" s="13">
        <f t="shared" si="182"/>
        <v>7.0619171555808457E-12</v>
      </c>
      <c r="FH162" s="20">
        <f t="shared" si="183"/>
        <v>1.3303388911427938E-11</v>
      </c>
      <c r="FI162" s="59">
        <f t="shared" si="131"/>
        <v>293.33333333334662</v>
      </c>
      <c r="FJ162" s="59">
        <f ca="1">AVERAGE(OFFSET($FI$3,0,0,'Données projet'!$E$16+1,1))-AVERAGE(OFFSET($H$3,0,0,'Données projet'!$E$16+1,1))</f>
        <v>419.51168383014721</v>
      </c>
      <c r="FK162" s="59">
        <f t="shared" si="156"/>
        <v>213.44145308833384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110.0579609743004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110.0579609743004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266.99999999999983</v>
      </c>
      <c r="GA162" s="17">
        <f>FZ162*VLOOKUP('Données projet'!$B$17,Paramètres!$A$1:$I$89,3,0)*VLOOKUP('Données projet'!$B$17,Paramètres!$A$1:$I$89,5,0)</f>
        <v>233.2511999999999</v>
      </c>
      <c r="GB162" s="13">
        <f t="shared" si="185"/>
        <v>56.985091661350864</v>
      </c>
      <c r="GC162" s="20">
        <f t="shared" si="186"/>
        <v>505.49487464351915</v>
      </c>
      <c r="GD162" s="59">
        <f t="shared" si="134"/>
        <v>798.82820797685247</v>
      </c>
      <c r="GE162" s="59">
        <f ca="1">AVERAGE(OFFSET($GD$3,0,0,'Données projet'!$E$17+1,1))-AVERAGE(OFFSET($H$3,0,0,'Données projet'!$E$17+1,1))</f>
        <v>324.86930206492627</v>
      </c>
      <c r="GF162" s="59">
        <f t="shared" si="158"/>
        <v>317.03005098025352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6.6132014822780674</v>
      </c>
      <c r="GM162" s="21">
        <f>EXP(-LN(2)/25)*GM161+(1-EXP(-LN(2)/25))/(LN(2)/25)*Calculateur!GH162*Calculateur!GJ162*VLOOKUP('Données projet'!$B$17,Paramètres!$A$1:$I$89,3,0)*0.475*44/12</f>
        <v>1.0231793498503394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7.636380832128407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5.6843418860808015E-13</v>
      </c>
      <c r="GV162" s="17">
        <f>GU162*VLOOKUP('Données projet'!$B$18,Paramètres!$A$1:$I$89,3,0)*VLOOKUP('Données projet'!$B$18,Paramètres!$A$1:$I$89,5,0)</f>
        <v>5.4092197387944907E-13</v>
      </c>
      <c r="GW162" s="13">
        <f t="shared" si="188"/>
        <v>6.6765148417791561E-12</v>
      </c>
      <c r="GX162" s="20">
        <f t="shared" si="189"/>
        <v>1.2570369120605403E-11</v>
      </c>
      <c r="GY162" s="59">
        <f t="shared" si="137"/>
        <v>293.33333333334588</v>
      </c>
      <c r="GZ162" s="59">
        <f ca="1">AVERAGE(OFFSET($GY$3,0,0,'Données projet'!$E$18+1,1))-AVERAGE(OFFSET($H$3,0,0,'Données projet'!$E$18+1,1))</f>
        <v>401.81944956556271</v>
      </c>
      <c r="HA162" s="59">
        <f t="shared" si="160"/>
        <v>292.20785523952651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103.28516337588198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103.28516337588198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5.1431925385259092E-13</v>
      </c>
      <c r="P163" s="13">
        <f t="shared" si="141"/>
        <v>6.3855359115685756E-12</v>
      </c>
      <c r="Q163" s="20">
        <f t="shared" si="162"/>
        <v>1.2017247746441865E-11</v>
      </c>
      <c r="R163" s="59">
        <f t="shared" si="109"/>
        <v>293.33333333334531</v>
      </c>
      <c r="S163" s="59">
        <f ca="1">AVERAGE(OFFSET($R$3,0,0,'Données projet'!$E$9+1,1))-AVERAGE(OFFSET($H$3,0,0,'Données projet'!$E$9+1,1))</f>
        <v>384.05928630855732</v>
      </c>
      <c r="T163" s="59">
        <f t="shared" si="142"/>
        <v>279.93992813630513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-6.3550942286383367E-14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335.04906256888819</v>
      </c>
      <c r="AO163" s="59">
        <f t="shared" si="144"/>
        <v>440.84111898279554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28.332135245320572</v>
      </c>
      <c r="AV163" s="21">
        <f>EXP(-LN(2)/25)*AV162+(1-EXP(-LN(2)/25))/(LN(2)/25)*Calculateur!AQ163*Calculateur!AS163*VLOOKUP('Données projet'!$B$10,Paramètres!$A$1:$I$89,3,0)*0.475*44/12</f>
        <v>3.1343999132603373</v>
      </c>
      <c r="AW163" s="21">
        <f>EXP(-LN(2)/2)*AW162+(1-EXP(-LN(2)/2))/(LN(2)/2)*AQ163*AT163*VLOOKUP('Données projet'!$B$10,Paramètres!$A$1:$I$89,3,0)*0.475*44/12</f>
        <v>5.3636405795660843E-15</v>
      </c>
      <c r="AX163" s="21">
        <f t="shared" si="166"/>
        <v>31.466535158580918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-1.4210854715202004E-13</v>
      </c>
      <c r="BE163" s="13">
        <f>BD163*VLOOKUP('Données projet'!$B$11,Paramètres!$A$1:$I$89,3,0)*VLOOKUP('Données projet'!$B$11,Paramètres!$A$1:$I$89,5,0)</f>
        <v>-8.128608897095547E-14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320.76883487964511</v>
      </c>
      <c r="BJ163" s="59">
        <f t="shared" si="146"/>
        <v>290.51177680335746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33.957089172331159</v>
      </c>
      <c r="BQ163" s="21">
        <f>EXP(-LN(2)/25)*BQ162+(1-EXP(-LN(2)/25))/(LN(2)/25)*Calculateur!BL163*Calculateur!BN163*VLOOKUP('Données projet'!$B$11,Paramètres!$A$1:$I$89,3,0)*0.475*44/12</f>
        <v>4.7885867036339498</v>
      </c>
      <c r="BR163" s="21">
        <f>EXP(-LN(2)/2)*BR162+(1-EXP(-LN(2)/2))/(LN(2)/2)*BL163*BO163*VLOOKUP('Données projet'!$B$11,Paramètres!$A$1:$I$89,3,0)*0.475*44/12</f>
        <v>9.2615190978502856E-10</v>
      </c>
      <c r="BS163" s="22">
        <f t="shared" si="169"/>
        <v>38.745675876891255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304.99999999999983</v>
      </c>
      <c r="BZ163" s="13">
        <f>BY163*VLOOKUP('Données projet'!$B$12,Paramètres!$A$1:$I$89,3,0)*VLOOKUP('Données projet'!$B$12,Paramètres!$A$1:$I$89,5,0)</f>
        <v>275.96399999999983</v>
      </c>
      <c r="CA163" s="13">
        <f t="shared" si="170"/>
        <v>66.113366665488854</v>
      </c>
      <c r="CB163" s="20">
        <f t="shared" si="171"/>
        <v>595.78474694239264</v>
      </c>
      <c r="CC163" s="59">
        <f t="shared" si="119"/>
        <v>889.11808027572602</v>
      </c>
      <c r="CD163" s="59">
        <f ca="1">AVERAGE(OFFSET($CC$3,0,0,'Données projet'!$E$12+1,1))-AVERAGE(OFFSET($H$3,0,0,'Données projet'!$E$12+1,1))</f>
        <v>366.69125512029831</v>
      </c>
      <c r="CE163" s="59">
        <f t="shared" si="148"/>
        <v>513.80016421153414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0.12314070096161774</v>
      </c>
      <c r="CL163" s="21">
        <f>EXP(-LN(2)/25)*CL162+(1-EXP(-LN(2)/25))/(LN(2)/25)*Calculateur!CG163*Calculateur!CI163*VLOOKUP('Données projet'!$B$12,Paramètres!$A$1:$I$89,3,0)*0.475*44/12</f>
        <v>0.20085245623451523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0.32399315719613297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5.6843418860808015E-13</v>
      </c>
      <c r="CU163" s="17">
        <f>CT163*VLOOKUP('Données projet'!$B$13,Paramètres!$A$1:$I$89,3,0)*VLOOKUP('Données projet'!$B$13,Paramètres!$A$1:$I$89,5,0)</f>
        <v>3.8130565371830017E-13</v>
      </c>
      <c r="CV163" s="13">
        <f t="shared" si="173"/>
        <v>4.9019074112354236E-12</v>
      </c>
      <c r="CW163" s="20">
        <f t="shared" si="174"/>
        <v>9.2015960881277352E-12</v>
      </c>
      <c r="CX163" s="59">
        <f t="shared" si="122"/>
        <v>293.33333333334252</v>
      </c>
      <c r="CY163" s="59">
        <f ca="1">AVERAGE(OFFSET($CX$3,0,0,'Données projet'!$E$13+1,1))-AVERAGE(OFFSET($H$3,0,0,'Données projet'!$E$13+1,1))</f>
        <v>294.94331863127815</v>
      </c>
      <c r="CZ163" s="59">
        <f t="shared" si="150"/>
        <v>218.36990036643977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87.979829982785731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87.979829982785731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266.99999999999983</v>
      </c>
      <c r="DP163" s="17">
        <f>DO163*VLOOKUP('Données projet'!$B$14,Paramètres!$A$1:$I$89,3,0)*VLOOKUP('Données projet'!$B$14,Paramètres!$A$1:$I$89,5,0)</f>
        <v>195.76439999999985</v>
      </c>
      <c r="DQ163" s="13">
        <f t="shared" si="176"/>
        <v>48.812154563023455</v>
      </c>
      <c r="DR163" s="20">
        <f t="shared" si="177"/>
        <v>425.9708325305989</v>
      </c>
      <c r="DS163" s="59">
        <f t="shared" si="125"/>
        <v>719.30416586393221</v>
      </c>
      <c r="DT163" s="59">
        <f ca="1">AVERAGE(OFFSET($DS$3,0,0,'Données projet'!$E$14+1,1))-AVERAGE(OFFSET($H$3,0,0,'Données projet'!$E$14+1,1))</f>
        <v>278.45534008146865</v>
      </c>
      <c r="DU163" s="59">
        <f t="shared" si="152"/>
        <v>272.97841038165217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4.4148231816248638</v>
      </c>
      <c r="EB163" s="21">
        <f>EXP(-LN(2)/25)*EB162+(1-EXP(-LN(2)/25))/(LN(2)/25)*Calculateur!DW163*Calculateur!DY163*VLOOKUP('Données projet'!$B$14,Paramètres!$A$1:$I$89,3,0)*0.475*44/12</f>
        <v>0.6776617665212934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5.0924849481461569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5.6843418860808015E-13</v>
      </c>
      <c r="EK163" s="17">
        <f>EJ163*VLOOKUP('Données projet'!$B$15,Paramètres!$A$1:$I$89,3,0)*VLOOKUP('Données projet'!$B$15,Paramètres!$A$1:$I$89,5,0)</f>
        <v>6.1186256061773743E-13</v>
      </c>
      <c r="EL163" s="13">
        <f t="shared" si="179"/>
        <v>7.4445668332430206E-12</v>
      </c>
      <c r="EM163" s="20">
        <f t="shared" si="180"/>
        <v>1.4031614527640822E-11</v>
      </c>
      <c r="EN163" s="59">
        <f t="shared" si="128"/>
        <v>293.33333333334735</v>
      </c>
      <c r="EO163" s="59">
        <f ca="1">AVERAGE(OFFSET($EN$3,0,0,'Données projet'!$E$15+1,1))-AVERAGE(OFFSET($H$3,0,0,'Données projet'!$E$15+1,1))</f>
        <v>449.09332781196957</v>
      </c>
      <c r="EP163" s="59">
        <f t="shared" si="154"/>
        <v>324.85904971519432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114.53977865683424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114.53977865683424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5.6843418860808015E-13</v>
      </c>
      <c r="FF163" s="17">
        <f>FE163*VLOOKUP('Données projet'!$B$16,Paramètres!$A$1:$I$89,3,0)*VLOOKUP('Données projet'!$B$16,Paramètres!$A$1:$I$89,5,0)</f>
        <v>5.763922672485933E-13</v>
      </c>
      <c r="FG163" s="13">
        <f t="shared" si="182"/>
        <v>7.0619171555808457E-12</v>
      </c>
      <c r="FH163" s="20">
        <f t="shared" si="183"/>
        <v>1.3303388911427938E-11</v>
      </c>
      <c r="FI163" s="59">
        <f t="shared" si="131"/>
        <v>293.33333333334662</v>
      </c>
      <c r="FJ163" s="59">
        <f ca="1">AVERAGE(OFFSET($FI$3,0,0,'Données projet'!$E$16+1,1))-AVERAGE(OFFSET($H$3,0,0,'Données projet'!$E$16+1,1))</f>
        <v>419.51168383014721</v>
      </c>
      <c r="FK163" s="59">
        <f t="shared" si="156"/>
        <v>213.44145308833384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107.89979148832215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107.89979148832215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266.99999999999983</v>
      </c>
      <c r="GA163" s="17">
        <f>FZ163*VLOOKUP('Données projet'!$B$17,Paramètres!$A$1:$I$89,3,0)*VLOOKUP('Données projet'!$B$17,Paramètres!$A$1:$I$89,5,0)</f>
        <v>233.2511999999999</v>
      </c>
      <c r="GB163" s="13">
        <f t="shared" si="185"/>
        <v>56.985091661350864</v>
      </c>
      <c r="GC163" s="20">
        <f t="shared" si="186"/>
        <v>505.49487464351915</v>
      </c>
      <c r="GD163" s="59">
        <f t="shared" si="134"/>
        <v>798.82820797685247</v>
      </c>
      <c r="GE163" s="59">
        <f ca="1">AVERAGE(OFFSET($GD$3,0,0,'Données projet'!$E$17+1,1))-AVERAGE(OFFSET($H$3,0,0,'Données projet'!$E$17+1,1))</f>
        <v>324.86930206492627</v>
      </c>
      <c r="GF163" s="59">
        <f t="shared" si="158"/>
        <v>317.03005098025352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6.4835206348652079</v>
      </c>
      <c r="GM163" s="21">
        <f>EXP(-LN(2)/25)*GM162+(1-EXP(-LN(2)/25))/(LN(2)/25)*Calculateur!GH163*Calculateur!GJ163*VLOOKUP('Données projet'!$B$17,Paramètres!$A$1:$I$89,3,0)*0.475*44/12</f>
        <v>0.9952004567220184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7.478721091587226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5.6843418860808015E-13</v>
      </c>
      <c r="GV163" s="17">
        <f>GU163*VLOOKUP('Données projet'!$B$18,Paramètres!$A$1:$I$89,3,0)*VLOOKUP('Données projet'!$B$18,Paramètres!$A$1:$I$89,5,0)</f>
        <v>5.4092197387944907E-13</v>
      </c>
      <c r="GW163" s="13">
        <f t="shared" si="188"/>
        <v>6.6765148417791561E-12</v>
      </c>
      <c r="GX163" s="20">
        <f t="shared" si="189"/>
        <v>1.2570369120605403E-11</v>
      </c>
      <c r="GY163" s="59">
        <f t="shared" si="137"/>
        <v>293.33333333334588</v>
      </c>
      <c r="GZ163" s="59">
        <f ca="1">AVERAGE(OFFSET($GY$3,0,0,'Données projet'!$E$18+1,1))-AVERAGE(OFFSET($H$3,0,0,'Données projet'!$E$18+1,1))</f>
        <v>401.81944956556271</v>
      </c>
      <c r="HA163" s="59">
        <f t="shared" si="160"/>
        <v>292.20785523952651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101.25980431981009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101.25980431981009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5.1431925385259092E-13</v>
      </c>
      <c r="P164" s="13">
        <f t="shared" si="141"/>
        <v>6.3855359115685756E-12</v>
      </c>
      <c r="Q164" s="20">
        <f t="shared" si="162"/>
        <v>1.2017247746441865E-11</v>
      </c>
      <c r="R164" s="59">
        <f t="shared" si="109"/>
        <v>293.33333333334531</v>
      </c>
      <c r="S164" s="59">
        <f ca="1">AVERAGE(OFFSET($R$3,0,0,'Données projet'!$E$9+1,1))-AVERAGE(OFFSET($H$3,0,0,'Données projet'!$E$9+1,1))</f>
        <v>384.05928630855732</v>
      </c>
      <c r="T164" s="59">
        <f t="shared" si="142"/>
        <v>279.93992813630513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-6.3550942286383367E-14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335.04906256888819</v>
      </c>
      <c r="AO164" s="59">
        <f t="shared" si="144"/>
        <v>440.84111898279554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27.776559354055987</v>
      </c>
      <c r="AV164" s="21">
        <f>EXP(-LN(2)/25)*AV163+(1-EXP(-LN(2)/25))/(LN(2)/25)*Calculateur!AQ164*Calculateur!AS164*VLOOKUP('Données projet'!$B$10,Paramètres!$A$1:$I$89,3,0)*0.475*44/12</f>
        <v>3.0486895828013059</v>
      </c>
      <c r="AW164" s="21">
        <f>EXP(-LN(2)/2)*AW163+(1-EXP(-LN(2)/2))/(LN(2)/2)*AQ164*AT164*VLOOKUP('Données projet'!$B$10,Paramètres!$A$1:$I$89,3,0)*0.475*44/12</f>
        <v>3.7926666256585221E-15</v>
      </c>
      <c r="AX164" s="21">
        <f t="shared" si="166"/>
        <v>30.825248936857296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-1.4210854715202004E-13</v>
      </c>
      <c r="BE164" s="13">
        <f>BD164*VLOOKUP('Données projet'!$B$11,Paramètres!$A$1:$I$89,3,0)*VLOOKUP('Données projet'!$B$11,Paramètres!$A$1:$I$89,5,0)</f>
        <v>-8.128608897095547E-14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320.76883487964511</v>
      </c>
      <c r="BJ164" s="59">
        <f t="shared" si="146"/>
        <v>290.51177680335746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33.291211365441022</v>
      </c>
      <c r="BQ164" s="21">
        <f>EXP(-LN(2)/25)*BQ163+(1-EXP(-LN(2)/25))/(LN(2)/25)*Calculateur!BL164*Calculateur!BN164*VLOOKUP('Données projet'!$B$11,Paramètres!$A$1:$I$89,3,0)*0.475*44/12</f>
        <v>4.657642548402249</v>
      </c>
      <c r="BR164" s="21">
        <f>EXP(-LN(2)/2)*BR163+(1-EXP(-LN(2)/2))/(LN(2)/2)*BL164*BO164*VLOOKUP('Données projet'!$B$11,Paramètres!$A$1:$I$89,3,0)*0.475*44/12</f>
        <v>6.5488829581786537E-10</v>
      </c>
      <c r="BS164" s="22">
        <f t="shared" si="169"/>
        <v>37.948853914498159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304.99999999999983</v>
      </c>
      <c r="BZ164" s="13">
        <f>BY164*VLOOKUP('Données projet'!$B$12,Paramètres!$A$1:$I$89,3,0)*VLOOKUP('Données projet'!$B$12,Paramètres!$A$1:$I$89,5,0)</f>
        <v>275.96399999999983</v>
      </c>
      <c r="CA164" s="13">
        <f t="shared" si="170"/>
        <v>66.113366665488854</v>
      </c>
      <c r="CB164" s="20">
        <f t="shared" si="171"/>
        <v>595.78474694239264</v>
      </c>
      <c r="CC164" s="59">
        <f t="shared" si="119"/>
        <v>889.11808027572602</v>
      </c>
      <c r="CD164" s="59">
        <f ca="1">AVERAGE(OFFSET($CC$3,0,0,'Données projet'!$E$12+1,1))-AVERAGE(OFFSET($H$3,0,0,'Données projet'!$E$12+1,1))</f>
        <v>366.69125512029831</v>
      </c>
      <c r="CE164" s="59">
        <f t="shared" si="148"/>
        <v>513.80016421153414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0.12072598692417166</v>
      </c>
      <c r="CL164" s="21">
        <f>EXP(-LN(2)/25)*CL163+(1-EXP(-LN(2)/25))/(LN(2)/25)*Calculateur!CG164*Calculateur!CI164*VLOOKUP('Données projet'!$B$12,Paramètres!$A$1:$I$89,3,0)*0.475*44/12</f>
        <v>0.1953601352564108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0.31608612218058246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5.6843418860808015E-13</v>
      </c>
      <c r="CU164" s="17">
        <f>CT164*VLOOKUP('Données projet'!$B$13,Paramètres!$A$1:$I$89,3,0)*VLOOKUP('Données projet'!$B$13,Paramètres!$A$1:$I$89,5,0)</f>
        <v>3.8130565371830017E-13</v>
      </c>
      <c r="CV164" s="13">
        <f t="shared" si="173"/>
        <v>4.9019074112354236E-12</v>
      </c>
      <c r="CW164" s="20">
        <f t="shared" si="174"/>
        <v>9.2015960881277352E-12</v>
      </c>
      <c r="CX164" s="59">
        <f t="shared" si="122"/>
        <v>293.33333333334252</v>
      </c>
      <c r="CY164" s="59">
        <f ca="1">AVERAGE(OFFSET($CX$3,0,0,'Données projet'!$E$13+1,1))-AVERAGE(OFFSET($H$3,0,0,'Données projet'!$E$13+1,1))</f>
        <v>294.94331863127815</v>
      </c>
      <c r="CZ164" s="59">
        <f t="shared" si="150"/>
        <v>218.36990036643977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86.254599179220875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86.254599179220875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266.99999999999983</v>
      </c>
      <c r="DP164" s="17">
        <f>DO164*VLOOKUP('Données projet'!$B$14,Paramètres!$A$1:$I$89,3,0)*VLOOKUP('Données projet'!$B$14,Paramètres!$A$1:$I$89,5,0)</f>
        <v>195.76439999999985</v>
      </c>
      <c r="DQ164" s="13">
        <f t="shared" si="176"/>
        <v>48.812154563023455</v>
      </c>
      <c r="DR164" s="20">
        <f t="shared" si="177"/>
        <v>425.9708325305989</v>
      </c>
      <c r="DS164" s="59">
        <f t="shared" si="125"/>
        <v>719.30416586393221</v>
      </c>
      <c r="DT164" s="59">
        <f ca="1">AVERAGE(OFFSET($DS$3,0,0,'Données projet'!$E$14+1,1))-AVERAGE(OFFSET($H$3,0,0,'Données projet'!$E$14+1,1))</f>
        <v>278.45534008146865</v>
      </c>
      <c r="DU164" s="59">
        <f t="shared" si="152"/>
        <v>272.97841038165217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4.3282511918094517</v>
      </c>
      <c r="EB164" s="21">
        <f>EXP(-LN(2)/25)*EB163+(1-EXP(-LN(2)/25))/(LN(2)/25)*Calculateur!DW164*Calculateur!DY164*VLOOKUP('Données projet'!$B$14,Paramètres!$A$1:$I$89,3,0)*0.475*44/12</f>
        <v>0.6591310698790851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4.9873822616885368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5.6843418860808015E-13</v>
      </c>
      <c r="EK164" s="17">
        <f>EJ164*VLOOKUP('Données projet'!$B$15,Paramètres!$A$1:$I$89,3,0)*VLOOKUP('Données projet'!$B$15,Paramètres!$A$1:$I$89,5,0)</f>
        <v>6.1186256061773743E-13</v>
      </c>
      <c r="EL164" s="13">
        <f t="shared" si="179"/>
        <v>7.4445668332430206E-12</v>
      </c>
      <c r="EM164" s="20">
        <f t="shared" si="180"/>
        <v>1.4031614527640822E-11</v>
      </c>
      <c r="EN164" s="59">
        <f t="shared" si="128"/>
        <v>293.33333333334735</v>
      </c>
      <c r="EO164" s="59">
        <f ca="1">AVERAGE(OFFSET($EN$3,0,0,'Données projet'!$E$15+1,1))-AVERAGE(OFFSET($H$3,0,0,'Données projet'!$E$15+1,1))</f>
        <v>449.09332781196957</v>
      </c>
      <c r="EP164" s="59">
        <f t="shared" si="154"/>
        <v>324.85904971519432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112.29372345974036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112.29372345974036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5.6843418860808015E-13</v>
      </c>
      <c r="FF164" s="17">
        <f>FE164*VLOOKUP('Données projet'!$B$16,Paramètres!$A$1:$I$89,3,0)*VLOOKUP('Données projet'!$B$16,Paramètres!$A$1:$I$89,5,0)</f>
        <v>5.763922672485933E-13</v>
      </c>
      <c r="FG164" s="13">
        <f t="shared" si="182"/>
        <v>7.0619171555808457E-12</v>
      </c>
      <c r="FH164" s="20">
        <f t="shared" si="183"/>
        <v>1.3303388911427938E-11</v>
      </c>
      <c r="FI164" s="59">
        <f t="shared" si="131"/>
        <v>293.33333333334662</v>
      </c>
      <c r="FJ164" s="59">
        <f ca="1">AVERAGE(OFFSET($FI$3,0,0,'Données projet'!$E$16+1,1))-AVERAGE(OFFSET($H$3,0,0,'Données projet'!$E$16+1,1))</f>
        <v>419.51168383014721</v>
      </c>
      <c r="FK164" s="59">
        <f t="shared" si="156"/>
        <v>213.44145308833384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105.78394238961053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105.78394238961053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266.99999999999983</v>
      </c>
      <c r="GA164" s="17">
        <f>FZ164*VLOOKUP('Données projet'!$B$17,Paramètres!$A$1:$I$89,3,0)*VLOOKUP('Données projet'!$B$17,Paramètres!$A$1:$I$89,5,0)</f>
        <v>233.2511999999999</v>
      </c>
      <c r="GB164" s="13">
        <f t="shared" si="185"/>
        <v>56.985091661350864</v>
      </c>
      <c r="GC164" s="20">
        <f t="shared" si="186"/>
        <v>505.49487464351915</v>
      </c>
      <c r="GD164" s="59">
        <f t="shared" si="134"/>
        <v>798.82820797685247</v>
      </c>
      <c r="GE164" s="59">
        <f ca="1">AVERAGE(OFFSET($GD$3,0,0,'Données projet'!$E$17+1,1))-AVERAGE(OFFSET($H$3,0,0,'Données projet'!$E$17+1,1))</f>
        <v>324.86930206492627</v>
      </c>
      <c r="GF164" s="59">
        <f t="shared" si="158"/>
        <v>317.03005098025352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6.3563827497726084</v>
      </c>
      <c r="GM164" s="21">
        <f>EXP(-LN(2)/25)*GM163+(1-EXP(-LN(2)/25))/(LN(2)/25)*Calculateur!GH164*Calculateur!GJ164*VLOOKUP('Données projet'!$B$17,Paramètres!$A$1:$I$89,3,0)*0.475*44/12</f>
        <v>0.96798664789763733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7.324369397670246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5.6843418860808015E-13</v>
      </c>
      <c r="GV164" s="17">
        <f>GU164*VLOOKUP('Données projet'!$B$18,Paramètres!$A$1:$I$89,3,0)*VLOOKUP('Données projet'!$B$18,Paramètres!$A$1:$I$89,5,0)</f>
        <v>5.4092197387944907E-13</v>
      </c>
      <c r="GW164" s="13">
        <f t="shared" si="188"/>
        <v>6.6765148417791561E-12</v>
      </c>
      <c r="GX164" s="20">
        <f t="shared" si="189"/>
        <v>1.2570369120605403E-11</v>
      </c>
      <c r="GY164" s="59">
        <f t="shared" si="137"/>
        <v>293.33333333334588</v>
      </c>
      <c r="GZ164" s="59">
        <f ca="1">AVERAGE(OFFSET($GY$3,0,0,'Données projet'!$E$18+1,1))-AVERAGE(OFFSET($H$3,0,0,'Données projet'!$E$18+1,1))</f>
        <v>401.81944956556271</v>
      </c>
      <c r="HA164" s="59">
        <f t="shared" si="160"/>
        <v>292.20785523952651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99.274161319480712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99.274161319480712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5.1431925385259092E-13</v>
      </c>
      <c r="P165" s="13">
        <f t="shared" si="141"/>
        <v>6.3855359115685756E-12</v>
      </c>
      <c r="Q165" s="20">
        <f t="shared" si="162"/>
        <v>1.2017247746441865E-11</v>
      </c>
      <c r="R165" s="59">
        <f t="shared" si="109"/>
        <v>293.33333333334531</v>
      </c>
      <c r="S165" s="59">
        <f ca="1">AVERAGE(OFFSET($R$3,0,0,'Données projet'!$E$9+1,1))-AVERAGE(OFFSET($H$3,0,0,'Données projet'!$E$9+1,1))</f>
        <v>384.05928630855732</v>
      </c>
      <c r="T165" s="59">
        <f t="shared" si="142"/>
        <v>279.93992813630513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-6.3550942286383367E-14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335.04906256888819</v>
      </c>
      <c r="AO165" s="59">
        <f t="shared" si="144"/>
        <v>440.84111898279554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27.23187796715127</v>
      </c>
      <c r="AV165" s="21">
        <f>EXP(-LN(2)/25)*AV164+(1-EXP(-LN(2)/25))/(LN(2)/25)*Calculateur!AQ165*Calculateur!AS165*VLOOKUP('Données projet'!$B$10,Paramètres!$A$1:$I$89,3,0)*0.475*44/12</f>
        <v>2.965323005835987</v>
      </c>
      <c r="AW165" s="21">
        <f>EXP(-LN(2)/2)*AW164+(1-EXP(-LN(2)/2))/(LN(2)/2)*AQ165*AT165*VLOOKUP('Données projet'!$B$10,Paramètres!$A$1:$I$89,3,0)*0.475*44/12</f>
        <v>2.6818202897830422E-15</v>
      </c>
      <c r="AX165" s="21">
        <f t="shared" si="166"/>
        <v>30.197200972987261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-1.4210854715202004E-13</v>
      </c>
      <c r="BE165" s="13">
        <f>BD165*VLOOKUP('Données projet'!$B$11,Paramètres!$A$1:$I$89,3,0)*VLOOKUP('Données projet'!$B$11,Paramètres!$A$1:$I$89,5,0)</f>
        <v>-8.128608897095547E-14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320.76883487964511</v>
      </c>
      <c r="BJ165" s="59">
        <f t="shared" si="146"/>
        <v>290.51177680335746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32.638391016198639</v>
      </c>
      <c r="BQ165" s="21">
        <f>EXP(-LN(2)/25)*BQ164+(1-EXP(-LN(2)/25))/(LN(2)/25)*Calculateur!BL165*Calculateur!BN165*VLOOKUP('Données projet'!$B$11,Paramètres!$A$1:$I$89,3,0)*0.475*44/12</f>
        <v>4.5302790679814127</v>
      </c>
      <c r="BR165" s="21">
        <f>EXP(-LN(2)/2)*BR164+(1-EXP(-LN(2)/2))/(LN(2)/2)*BL165*BO165*VLOOKUP('Données projet'!$B$11,Paramètres!$A$1:$I$89,3,0)*0.475*44/12</f>
        <v>4.6307595489251438E-10</v>
      </c>
      <c r="BS165" s="22">
        <f t="shared" si="169"/>
        <v>37.168670084643125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304.99999999999983</v>
      </c>
      <c r="BZ165" s="13">
        <f>BY165*VLOOKUP('Données projet'!$B$12,Paramètres!$A$1:$I$89,3,0)*VLOOKUP('Données projet'!$B$12,Paramètres!$A$1:$I$89,5,0)</f>
        <v>275.96399999999983</v>
      </c>
      <c r="CA165" s="13">
        <f t="shared" si="170"/>
        <v>66.113366665488854</v>
      </c>
      <c r="CB165" s="20">
        <f t="shared" si="171"/>
        <v>595.78474694239264</v>
      </c>
      <c r="CC165" s="59">
        <f t="shared" si="119"/>
        <v>889.11808027572602</v>
      </c>
      <c r="CD165" s="59">
        <f ca="1">AVERAGE(OFFSET($CC$3,0,0,'Données projet'!$E$12+1,1))-AVERAGE(OFFSET($H$3,0,0,'Données projet'!$E$12+1,1))</f>
        <v>366.69125512029831</v>
      </c>
      <c r="CE165" s="59">
        <f t="shared" si="148"/>
        <v>513.80016421153414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0.11835862395616976</v>
      </c>
      <c r="CL165" s="21">
        <f>EXP(-LN(2)/25)*CL164+(1-EXP(-LN(2)/25))/(LN(2)/25)*Calculateur!CG165*Calculateur!CI165*VLOOKUP('Données projet'!$B$12,Paramètres!$A$1:$I$89,3,0)*0.475*44/12</f>
        <v>0.19001800208428124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0.30837662604045102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5.6843418860808015E-13</v>
      </c>
      <c r="CU165" s="17">
        <f>CT165*VLOOKUP('Données projet'!$B$13,Paramètres!$A$1:$I$89,3,0)*VLOOKUP('Données projet'!$B$13,Paramètres!$A$1:$I$89,5,0)</f>
        <v>3.8130565371830017E-13</v>
      </c>
      <c r="CV165" s="13">
        <f t="shared" si="173"/>
        <v>4.9019074112354236E-12</v>
      </c>
      <c r="CW165" s="20">
        <f t="shared" si="174"/>
        <v>9.2015960881277352E-12</v>
      </c>
      <c r="CX165" s="59">
        <f t="shared" si="122"/>
        <v>293.33333333334252</v>
      </c>
      <c r="CY165" s="59">
        <f ca="1">AVERAGE(OFFSET($CX$3,0,0,'Données projet'!$E$13+1,1))-AVERAGE(OFFSET($H$3,0,0,'Données projet'!$E$13+1,1))</f>
        <v>294.94331863127815</v>
      </c>
      <c r="CZ165" s="59">
        <f t="shared" si="150"/>
        <v>218.36990036643977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84.563199099427038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84.563199099427038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266.99999999999983</v>
      </c>
      <c r="DP165" s="17">
        <f>DO165*VLOOKUP('Données projet'!$B$14,Paramètres!$A$1:$I$89,3,0)*VLOOKUP('Données projet'!$B$14,Paramètres!$A$1:$I$89,5,0)</f>
        <v>195.76439999999985</v>
      </c>
      <c r="DQ165" s="13">
        <f t="shared" si="176"/>
        <v>48.812154563023455</v>
      </c>
      <c r="DR165" s="20">
        <f t="shared" si="177"/>
        <v>425.9708325305989</v>
      </c>
      <c r="DS165" s="59">
        <f t="shared" si="125"/>
        <v>719.30416586393221</v>
      </c>
      <c r="DT165" s="59">
        <f ca="1">AVERAGE(OFFSET($DS$3,0,0,'Données projet'!$E$14+1,1))-AVERAGE(OFFSET($H$3,0,0,'Données projet'!$E$14+1,1))</f>
        <v>278.45534008146865</v>
      </c>
      <c r="DU165" s="59">
        <f t="shared" si="152"/>
        <v>272.97841038165217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4.2433768259106195</v>
      </c>
      <c r="EB165" s="21">
        <f>EXP(-LN(2)/25)*EB164+(1-EXP(-LN(2)/25))/(LN(2)/25)*Calculateur!DW165*Calculateur!DY165*VLOOKUP('Données projet'!$B$14,Paramètres!$A$1:$I$89,3,0)*0.475*44/12</f>
        <v>0.64110709611104499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4.8844839220216647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5.6843418860808015E-13</v>
      </c>
      <c r="EK165" s="17">
        <f>EJ165*VLOOKUP('Données projet'!$B$15,Paramètres!$A$1:$I$89,3,0)*VLOOKUP('Données projet'!$B$15,Paramètres!$A$1:$I$89,5,0)</f>
        <v>6.1186256061773743E-13</v>
      </c>
      <c r="EL165" s="13">
        <f t="shared" si="179"/>
        <v>7.4445668332430206E-12</v>
      </c>
      <c r="EM165" s="20">
        <f t="shared" si="180"/>
        <v>1.4031614527640822E-11</v>
      </c>
      <c r="EN165" s="59">
        <f t="shared" si="128"/>
        <v>293.33333333334735</v>
      </c>
      <c r="EO165" s="59">
        <f ca="1">AVERAGE(OFFSET($EN$3,0,0,'Données projet'!$E$15+1,1))-AVERAGE(OFFSET($H$3,0,0,'Données projet'!$E$15+1,1))</f>
        <v>449.09332781196957</v>
      </c>
      <c r="EP165" s="59">
        <f t="shared" si="154"/>
        <v>324.85904971519432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110.0917120351031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110.0917120351031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5.6843418860808015E-13</v>
      </c>
      <c r="FF165" s="17">
        <f>FE165*VLOOKUP('Données projet'!$B$16,Paramètres!$A$1:$I$89,3,0)*VLOOKUP('Données projet'!$B$16,Paramètres!$A$1:$I$89,5,0)</f>
        <v>5.763922672485933E-13</v>
      </c>
      <c r="FG165" s="13">
        <f t="shared" si="182"/>
        <v>7.0619171555808457E-12</v>
      </c>
      <c r="FH165" s="20">
        <f t="shared" si="183"/>
        <v>1.3303388911427938E-11</v>
      </c>
      <c r="FI165" s="59">
        <f t="shared" si="131"/>
        <v>293.33333333334662</v>
      </c>
      <c r="FJ165" s="59">
        <f ca="1">AVERAGE(OFFSET($FI$3,0,0,'Données projet'!$E$16+1,1))-AVERAGE(OFFSET($H$3,0,0,'Données projet'!$E$16+1,1))</f>
        <v>419.51168383014721</v>
      </c>
      <c r="FK165" s="59">
        <f t="shared" si="156"/>
        <v>213.44145308833384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103.70958380118412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103.70958380118412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266.99999999999983</v>
      </c>
      <c r="GA165" s="17">
        <f>FZ165*VLOOKUP('Données projet'!$B$17,Paramètres!$A$1:$I$89,3,0)*VLOOKUP('Données projet'!$B$17,Paramètres!$A$1:$I$89,5,0)</f>
        <v>233.2511999999999</v>
      </c>
      <c r="GB165" s="13">
        <f t="shared" si="185"/>
        <v>56.985091661350864</v>
      </c>
      <c r="GC165" s="20">
        <f t="shared" si="186"/>
        <v>505.49487464351915</v>
      </c>
      <c r="GD165" s="59">
        <f t="shared" si="134"/>
        <v>798.82820797685247</v>
      </c>
      <c r="GE165" s="59">
        <f ca="1">AVERAGE(OFFSET($GD$3,0,0,'Données projet'!$E$17+1,1))-AVERAGE(OFFSET($H$3,0,0,'Données projet'!$E$17+1,1))</f>
        <v>324.86930206492627</v>
      </c>
      <c r="GF165" s="59">
        <f t="shared" si="158"/>
        <v>317.03005098025352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6.2317379610602215</v>
      </c>
      <c r="GM165" s="21">
        <f>EXP(-LN(2)/25)*GM164+(1-EXP(-LN(2)/25))/(LN(2)/25)*Calculateur!GH165*Calculateur!GJ165*VLOOKUP('Données projet'!$B$17,Paramètres!$A$1:$I$89,3,0)*0.475*44/12</f>
        <v>0.941517002106671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7.173254963166892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5.6843418860808015E-13</v>
      </c>
      <c r="GV165" s="17">
        <f>GU165*VLOOKUP('Données projet'!$B$18,Paramètres!$A$1:$I$89,3,0)*VLOOKUP('Données projet'!$B$18,Paramètres!$A$1:$I$89,5,0)</f>
        <v>5.4092197387944907E-13</v>
      </c>
      <c r="GW165" s="13">
        <f t="shared" si="188"/>
        <v>6.6765148417791561E-12</v>
      </c>
      <c r="GX165" s="20">
        <f t="shared" si="189"/>
        <v>1.2570369120605403E-11</v>
      </c>
      <c r="GY165" s="59">
        <f t="shared" si="137"/>
        <v>293.33333333334588</v>
      </c>
      <c r="GZ165" s="59">
        <f ca="1">AVERAGE(OFFSET($GY$3,0,0,'Données projet'!$E$18+1,1))-AVERAGE(OFFSET($H$3,0,0,'Données projet'!$E$18+1,1))</f>
        <v>401.81944956556271</v>
      </c>
      <c r="HA165" s="59">
        <f t="shared" si="160"/>
        <v>292.20785523952651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97.327455567265162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97.327455567265162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5.1431925385259092E-13</v>
      </c>
      <c r="P166" s="13">
        <f t="shared" si="141"/>
        <v>6.3855359115685756E-12</v>
      </c>
      <c r="Q166" s="20">
        <f t="shared" si="162"/>
        <v>1.2017247746441865E-11</v>
      </c>
      <c r="R166" s="59">
        <f t="shared" si="109"/>
        <v>293.33333333334531</v>
      </c>
      <c r="S166" s="59">
        <f ca="1">AVERAGE(OFFSET($R$3,0,0,'Données projet'!$E$9+1,1))-AVERAGE(OFFSET($H$3,0,0,'Données projet'!$E$9+1,1))</f>
        <v>384.05928630855732</v>
      </c>
      <c r="T166" s="59">
        <f t="shared" si="142"/>
        <v>279.93992813630513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-6.3550942286383367E-14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335.04906256888819</v>
      </c>
      <c r="AO166" s="59">
        <f t="shared" si="144"/>
        <v>440.84111898279554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26.697877450020911</v>
      </c>
      <c r="AV166" s="21">
        <f>EXP(-LN(2)/25)*AV165+(1-EXP(-LN(2)/25))/(LN(2)/25)*Calculateur!AQ166*Calculateur!AS166*VLOOKUP('Données projet'!$B$10,Paramètres!$A$1:$I$89,3,0)*0.475*44/12</f>
        <v>2.8842360923018422</v>
      </c>
      <c r="AW166" s="21">
        <f>EXP(-LN(2)/2)*AW165+(1-EXP(-LN(2)/2))/(LN(2)/2)*AQ166*AT166*VLOOKUP('Données projet'!$B$10,Paramètres!$A$1:$I$89,3,0)*0.475*44/12</f>
        <v>1.8963333128292611E-15</v>
      </c>
      <c r="AX166" s="21">
        <f t="shared" si="166"/>
        <v>29.582113542322755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-1.4210854715202004E-13</v>
      </c>
      <c r="BE166" s="13">
        <f>BD166*VLOOKUP('Données projet'!$B$11,Paramètres!$A$1:$I$89,3,0)*VLOOKUP('Données projet'!$B$11,Paramètres!$A$1:$I$89,5,0)</f>
        <v>-8.128608897095547E-14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320.76883487964511</v>
      </c>
      <c r="BJ166" s="59">
        <f t="shared" si="146"/>
        <v>290.51177680335746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31.998372075823806</v>
      </c>
      <c r="BQ166" s="21">
        <f>EXP(-LN(2)/25)*BQ165+(1-EXP(-LN(2)/25))/(LN(2)/25)*Calculateur!BL166*Calculateur!BN166*VLOOKUP('Données projet'!$B$11,Paramètres!$A$1:$I$89,3,0)*0.475*44/12</f>
        <v>4.4063983486304386</v>
      </c>
      <c r="BR166" s="21">
        <f>EXP(-LN(2)/2)*BR165+(1-EXP(-LN(2)/2))/(LN(2)/2)*BL166*BO166*VLOOKUP('Données projet'!$B$11,Paramètres!$A$1:$I$89,3,0)*0.475*44/12</f>
        <v>3.2744414790893274E-10</v>
      </c>
      <c r="BS166" s="22">
        <f t="shared" si="169"/>
        <v>36.404770424781688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304.99999999999983</v>
      </c>
      <c r="BZ166" s="13">
        <f>BY166*VLOOKUP('Données projet'!$B$12,Paramètres!$A$1:$I$89,3,0)*VLOOKUP('Données projet'!$B$12,Paramètres!$A$1:$I$89,5,0)</f>
        <v>275.96399999999983</v>
      </c>
      <c r="CA166" s="13">
        <f t="shared" si="170"/>
        <v>66.113366665488854</v>
      </c>
      <c r="CB166" s="20">
        <f t="shared" si="171"/>
        <v>595.78474694239264</v>
      </c>
      <c r="CC166" s="59">
        <f t="shared" si="119"/>
        <v>889.11808027572602</v>
      </c>
      <c r="CD166" s="59">
        <f ca="1">AVERAGE(OFFSET($CC$3,0,0,'Données projet'!$E$12+1,1))-AVERAGE(OFFSET($H$3,0,0,'Données projet'!$E$12+1,1))</f>
        <v>366.69125512029831</v>
      </c>
      <c r="CE166" s="59">
        <f t="shared" si="148"/>
        <v>513.80016421153414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0.11603768353202155</v>
      </c>
      <c r="CL166" s="21">
        <f>EXP(-LN(2)/25)*CL165+(1-EXP(-LN(2)/25))/(LN(2)/25)*Calculateur!CG166*Calculateur!CI166*VLOOKUP('Données projet'!$B$12,Paramètres!$A$1:$I$89,3,0)*0.475*44/12</f>
        <v>0.18482194982467412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0.30085963335669569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5.6843418860808015E-13</v>
      </c>
      <c r="CU166" s="17">
        <f>CT166*VLOOKUP('Données projet'!$B$13,Paramètres!$A$1:$I$89,3,0)*VLOOKUP('Données projet'!$B$13,Paramètres!$A$1:$I$89,5,0)</f>
        <v>3.8130565371830017E-13</v>
      </c>
      <c r="CV166" s="13">
        <f t="shared" si="173"/>
        <v>4.9019074112354236E-12</v>
      </c>
      <c r="CW166" s="20">
        <f t="shared" si="174"/>
        <v>9.2015960881277352E-12</v>
      </c>
      <c r="CX166" s="59">
        <f t="shared" si="122"/>
        <v>293.33333333334252</v>
      </c>
      <c r="CY166" s="59">
        <f ca="1">AVERAGE(OFFSET($CX$3,0,0,'Données projet'!$E$13+1,1))-AVERAGE(OFFSET($H$3,0,0,'Données projet'!$E$13+1,1))</f>
        <v>294.94331863127815</v>
      </c>
      <c r="CZ166" s="59">
        <f t="shared" si="150"/>
        <v>218.36990036643977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82.90496634354578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82.90496634354578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266.99999999999983</v>
      </c>
      <c r="DP166" s="17">
        <f>DO166*VLOOKUP('Données projet'!$B$14,Paramètres!$A$1:$I$89,3,0)*VLOOKUP('Données projet'!$B$14,Paramètres!$A$1:$I$89,5,0)</f>
        <v>195.76439999999985</v>
      </c>
      <c r="DQ166" s="13">
        <f t="shared" si="176"/>
        <v>48.812154563023455</v>
      </c>
      <c r="DR166" s="20">
        <f t="shared" si="177"/>
        <v>425.9708325305989</v>
      </c>
      <c r="DS166" s="59">
        <f t="shared" si="125"/>
        <v>719.30416586393221</v>
      </c>
      <c r="DT166" s="59">
        <f ca="1">AVERAGE(OFFSET($DS$3,0,0,'Données projet'!$E$14+1,1))-AVERAGE(OFFSET($H$3,0,0,'Données projet'!$E$14+1,1))</f>
        <v>278.45534008146865</v>
      </c>
      <c r="DU166" s="59">
        <f t="shared" si="152"/>
        <v>272.97841038165217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4.1601667945588119</v>
      </c>
      <c r="EB166" s="21">
        <f>EXP(-LN(2)/25)*EB165+(1-EXP(-LN(2)/25))/(LN(2)/25)*Calculateur!DW166*Calculateur!DY166*VLOOKUP('Données projet'!$B$14,Paramètres!$A$1:$I$89,3,0)*0.475*44/12</f>
        <v>0.6235759888535316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4.7837427834123432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5.6843418860808015E-13</v>
      </c>
      <c r="EK166" s="17">
        <f>EJ166*VLOOKUP('Données projet'!$B$15,Paramètres!$A$1:$I$89,3,0)*VLOOKUP('Données projet'!$B$15,Paramètres!$A$1:$I$89,5,0)</f>
        <v>6.1186256061773743E-13</v>
      </c>
      <c r="EL166" s="13">
        <f t="shared" si="179"/>
        <v>7.4445668332430206E-12</v>
      </c>
      <c r="EM166" s="20">
        <f t="shared" si="180"/>
        <v>1.4031614527640822E-11</v>
      </c>
      <c r="EN166" s="59">
        <f t="shared" si="128"/>
        <v>293.33333333334735</v>
      </c>
      <c r="EO166" s="59">
        <f ca="1">AVERAGE(OFFSET($EN$3,0,0,'Données projet'!$E$15+1,1))-AVERAGE(OFFSET($H$3,0,0,'Données projet'!$E$15+1,1))</f>
        <v>449.09332781196957</v>
      </c>
      <c r="EP166" s="59">
        <f t="shared" si="154"/>
        <v>324.85904971519432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107.93288071140863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107.93288071140863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5.6843418860808015E-13</v>
      </c>
      <c r="FF166" s="17">
        <f>FE166*VLOOKUP('Données projet'!$B$16,Paramètres!$A$1:$I$89,3,0)*VLOOKUP('Données projet'!$B$16,Paramètres!$A$1:$I$89,5,0)</f>
        <v>5.763922672485933E-13</v>
      </c>
      <c r="FG166" s="13">
        <f t="shared" si="182"/>
        <v>7.0619171555808457E-12</v>
      </c>
      <c r="FH166" s="20">
        <f t="shared" si="183"/>
        <v>1.3303388911427938E-11</v>
      </c>
      <c r="FI166" s="59">
        <f t="shared" si="131"/>
        <v>293.33333333334662</v>
      </c>
      <c r="FJ166" s="59">
        <f ca="1">AVERAGE(OFFSET($FI$3,0,0,'Données projet'!$E$16+1,1))-AVERAGE(OFFSET($H$3,0,0,'Données projet'!$E$16+1,1))</f>
        <v>419.51168383014721</v>
      </c>
      <c r="FK166" s="59">
        <f t="shared" si="156"/>
        <v>213.44145308833384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101.67590211944295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101.67590211944295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266.99999999999983</v>
      </c>
      <c r="GA166" s="17">
        <f>FZ166*VLOOKUP('Données projet'!$B$17,Paramètres!$A$1:$I$89,3,0)*VLOOKUP('Données projet'!$B$17,Paramètres!$A$1:$I$89,5,0)</f>
        <v>233.2511999999999</v>
      </c>
      <c r="GB166" s="13">
        <f t="shared" si="185"/>
        <v>56.985091661350864</v>
      </c>
      <c r="GC166" s="20">
        <f t="shared" si="186"/>
        <v>505.49487464351915</v>
      </c>
      <c r="GD166" s="59">
        <f t="shared" si="134"/>
        <v>798.82820797685247</v>
      </c>
      <c r="GE166" s="59">
        <f ca="1">AVERAGE(OFFSET($GD$3,0,0,'Données projet'!$E$17+1,1))-AVERAGE(OFFSET($H$3,0,0,'Données projet'!$E$17+1,1))</f>
        <v>324.86930206492627</v>
      </c>
      <c r="GF166" s="59">
        <f t="shared" si="158"/>
        <v>317.03005098025352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6.1095373806286704</v>
      </c>
      <c r="GM166" s="21">
        <f>EXP(-LN(2)/25)*GM165+(1-EXP(-LN(2)/25))/(LN(2)/25)*Calculateur!GH166*Calculateur!GJ166*VLOOKUP('Données projet'!$B$17,Paramètres!$A$1:$I$89,3,0)*0.475*44/12</f>
        <v>0.91577117017183685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7.0253085508005073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5.6843418860808015E-13</v>
      </c>
      <c r="GV166" s="17">
        <f>GU166*VLOOKUP('Données projet'!$B$18,Paramètres!$A$1:$I$89,3,0)*VLOOKUP('Données projet'!$B$18,Paramètres!$A$1:$I$89,5,0)</f>
        <v>5.4092197387944907E-13</v>
      </c>
      <c r="GW166" s="13">
        <f t="shared" si="188"/>
        <v>6.6765148417791561E-12</v>
      </c>
      <c r="GX166" s="20">
        <f t="shared" si="189"/>
        <v>1.2570369120605403E-11</v>
      </c>
      <c r="GY166" s="59">
        <f t="shared" si="137"/>
        <v>293.33333333334588</v>
      </c>
      <c r="GZ166" s="59">
        <f ca="1">AVERAGE(OFFSET($GY$3,0,0,'Données projet'!$E$18+1,1))-AVERAGE(OFFSET($H$3,0,0,'Données projet'!$E$18+1,1))</f>
        <v>401.81944956556271</v>
      </c>
      <c r="HA166" s="59">
        <f t="shared" si="160"/>
        <v>292.20785523952651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95.41892352747729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95.41892352747729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5.1431925385259092E-13</v>
      </c>
      <c r="P167" s="13">
        <f t="shared" si="141"/>
        <v>6.3855359115685756E-12</v>
      </c>
      <c r="Q167" s="20">
        <f t="shared" si="162"/>
        <v>1.2017247746441865E-11</v>
      </c>
      <c r="R167" s="59">
        <f t="shared" si="109"/>
        <v>293.33333333334531</v>
      </c>
      <c r="S167" s="59">
        <f ca="1">AVERAGE(OFFSET($R$3,0,0,'Données projet'!$E$9+1,1))-AVERAGE(OFFSET($H$3,0,0,'Données projet'!$E$9+1,1))</f>
        <v>384.05928630855732</v>
      </c>
      <c r="T167" s="59">
        <f t="shared" si="142"/>
        <v>279.93992813630513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-6.3550942286383367E-14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335.04906256888819</v>
      </c>
      <c r="AO167" s="59">
        <f t="shared" si="144"/>
        <v>440.84111898279554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26.174348357323325</v>
      </c>
      <c r="AV167" s="21">
        <f>EXP(-LN(2)/25)*AV166+(1-EXP(-LN(2)/25))/(LN(2)/25)*Calculateur!AQ167*Calculateur!AS167*VLOOKUP('Données projet'!$B$10,Paramètres!$A$1:$I$89,3,0)*0.475*44/12</f>
        <v>2.8053665046824641</v>
      </c>
      <c r="AW167" s="21">
        <f>EXP(-LN(2)/2)*AW166+(1-EXP(-LN(2)/2))/(LN(2)/2)*AQ167*AT167*VLOOKUP('Données projet'!$B$10,Paramètres!$A$1:$I$89,3,0)*0.475*44/12</f>
        <v>1.3409101448915211E-15</v>
      </c>
      <c r="AX167" s="21">
        <f t="shared" si="166"/>
        <v>28.979714862005789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-1.4210854715202004E-13</v>
      </c>
      <c r="BE167" s="13">
        <f>BD167*VLOOKUP('Données projet'!$B$11,Paramètres!$A$1:$I$89,3,0)*VLOOKUP('Données projet'!$B$11,Paramètres!$A$1:$I$89,5,0)</f>
        <v>-8.128608897095547E-14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320.76883487964511</v>
      </c>
      <c r="BJ167" s="59">
        <f t="shared" si="146"/>
        <v>290.51177680335746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31.370903516496714</v>
      </c>
      <c r="BQ167" s="21">
        <f>EXP(-LN(2)/25)*BQ166+(1-EXP(-LN(2)/25))/(LN(2)/25)*Calculateur!BL167*Calculateur!BN167*VLOOKUP('Données projet'!$B$11,Paramètres!$A$1:$I$89,3,0)*0.475*44/12</f>
        <v>4.2859051540647206</v>
      </c>
      <c r="BR167" s="21">
        <f>EXP(-LN(2)/2)*BR166+(1-EXP(-LN(2)/2))/(LN(2)/2)*BL167*BO167*VLOOKUP('Données projet'!$B$11,Paramètres!$A$1:$I$89,3,0)*0.475*44/12</f>
        <v>2.3153797744625722E-10</v>
      </c>
      <c r="BS167" s="22">
        <f t="shared" si="169"/>
        <v>35.656808670792969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304.99999999999983</v>
      </c>
      <c r="BZ167" s="13">
        <f>BY167*VLOOKUP('Données projet'!$B$12,Paramètres!$A$1:$I$89,3,0)*VLOOKUP('Données projet'!$B$12,Paramètres!$A$1:$I$89,5,0)</f>
        <v>275.96399999999983</v>
      </c>
      <c r="CA167" s="13">
        <f t="shared" si="170"/>
        <v>66.113366665488854</v>
      </c>
      <c r="CB167" s="20">
        <f t="shared" si="171"/>
        <v>595.78474694239264</v>
      </c>
      <c r="CC167" s="59">
        <f t="shared" si="119"/>
        <v>889.11808027572602</v>
      </c>
      <c r="CD167" s="59">
        <f ca="1">AVERAGE(OFFSET($CC$3,0,0,'Données projet'!$E$12+1,1))-AVERAGE(OFFSET($H$3,0,0,'Données projet'!$E$12+1,1))</f>
        <v>366.69125512029831</v>
      </c>
      <c r="CE167" s="59">
        <f t="shared" si="148"/>
        <v>513.80016421153414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0.11376225533395702</v>
      </c>
      <c r="CL167" s="21">
        <f>EXP(-LN(2)/25)*CL166+(1-EXP(-LN(2)/25))/(LN(2)/25)*Calculateur!CG167*Calculateur!CI167*VLOOKUP('Données projet'!$B$12,Paramètres!$A$1:$I$89,3,0)*0.475*44/12</f>
        <v>0.17976798388735449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0.2935302392213115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5.6843418860808015E-13</v>
      </c>
      <c r="CU167" s="17">
        <f>CT167*VLOOKUP('Données projet'!$B$13,Paramètres!$A$1:$I$89,3,0)*VLOOKUP('Données projet'!$B$13,Paramètres!$A$1:$I$89,5,0)</f>
        <v>3.8130565371830017E-13</v>
      </c>
      <c r="CV167" s="13">
        <f t="shared" si="173"/>
        <v>4.9019074112354236E-12</v>
      </c>
      <c r="CW167" s="20">
        <f t="shared" si="174"/>
        <v>9.2015960881277352E-12</v>
      </c>
      <c r="CX167" s="59">
        <f t="shared" si="122"/>
        <v>293.33333333334252</v>
      </c>
      <c r="CY167" s="59">
        <f ca="1">AVERAGE(OFFSET($CX$3,0,0,'Données projet'!$E$13+1,1))-AVERAGE(OFFSET($H$3,0,0,'Données projet'!$E$13+1,1))</f>
        <v>294.94331863127815</v>
      </c>
      <c r="CZ167" s="59">
        <f t="shared" si="150"/>
        <v>218.36990036643977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81.279250520585236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81.279250520585236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266.99999999999983</v>
      </c>
      <c r="DP167" s="17">
        <f>DO167*VLOOKUP('Données projet'!$B$14,Paramètres!$A$1:$I$89,3,0)*VLOOKUP('Données projet'!$B$14,Paramètres!$A$1:$I$89,5,0)</f>
        <v>195.76439999999985</v>
      </c>
      <c r="DQ167" s="13">
        <f t="shared" si="176"/>
        <v>48.812154563023455</v>
      </c>
      <c r="DR167" s="20">
        <f t="shared" si="177"/>
        <v>425.9708325305989</v>
      </c>
      <c r="DS167" s="59">
        <f t="shared" si="125"/>
        <v>719.30416586393221</v>
      </c>
      <c r="DT167" s="59">
        <f ca="1">AVERAGE(OFFSET($DS$3,0,0,'Données projet'!$E$14+1,1))-AVERAGE(OFFSET($H$3,0,0,'Données projet'!$E$14+1,1))</f>
        <v>278.45534008146865</v>
      </c>
      <c r="DU167" s="59">
        <f t="shared" si="152"/>
        <v>272.97841038165217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4.0785884611687058</v>
      </c>
      <c r="EB167" s="21">
        <f>EXP(-LN(2)/25)*EB166+(1-EXP(-LN(2)/25))/(LN(2)/25)*Calculateur!DW167*Calculateur!DY167*VLOOKUP('Données projet'!$B$14,Paramètres!$A$1:$I$89,3,0)*0.475*44/12</f>
        <v>0.60652427064589576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4.685112731814602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5.6843418860808015E-13</v>
      </c>
      <c r="EK167" s="17">
        <f>EJ167*VLOOKUP('Données projet'!$B$15,Paramètres!$A$1:$I$89,3,0)*VLOOKUP('Données projet'!$B$15,Paramètres!$A$1:$I$89,5,0)</f>
        <v>6.1186256061773743E-13</v>
      </c>
      <c r="EL167" s="13">
        <f t="shared" si="179"/>
        <v>7.4445668332430206E-12</v>
      </c>
      <c r="EM167" s="20">
        <f t="shared" si="180"/>
        <v>1.4031614527640822E-11</v>
      </c>
      <c r="EN167" s="59">
        <f t="shared" si="128"/>
        <v>293.33333333334735</v>
      </c>
      <c r="EO167" s="59">
        <f ca="1">AVERAGE(OFFSET($EN$3,0,0,'Données projet'!$E$15+1,1))-AVERAGE(OFFSET($H$3,0,0,'Données projet'!$E$15+1,1))</f>
        <v>449.09332781196957</v>
      </c>
      <c r="EP167" s="59">
        <f t="shared" si="154"/>
        <v>324.85904971519432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105.81638275321471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105.81638275321471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5.6843418860808015E-13</v>
      </c>
      <c r="FF167" s="17">
        <f>FE167*VLOOKUP('Données projet'!$B$16,Paramètres!$A$1:$I$89,3,0)*VLOOKUP('Données projet'!$B$16,Paramètres!$A$1:$I$89,5,0)</f>
        <v>5.763922672485933E-13</v>
      </c>
      <c r="FG167" s="13">
        <f t="shared" si="182"/>
        <v>7.0619171555808457E-12</v>
      </c>
      <c r="FH167" s="20">
        <f t="shared" si="183"/>
        <v>1.3303388911427938E-11</v>
      </c>
      <c r="FI167" s="59">
        <f t="shared" si="131"/>
        <v>293.33333333334662</v>
      </c>
      <c r="FJ167" s="59">
        <f ca="1">AVERAGE(OFFSET($FI$3,0,0,'Données projet'!$E$16+1,1))-AVERAGE(OFFSET($H$3,0,0,'Données projet'!$E$16+1,1))</f>
        <v>419.51168383014721</v>
      </c>
      <c r="FK167" s="59">
        <f t="shared" si="156"/>
        <v>213.44145308833384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99.682099695057374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99.682099695057374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266.99999999999983</v>
      </c>
      <c r="GA167" s="17">
        <f>FZ167*VLOOKUP('Données projet'!$B$17,Paramètres!$A$1:$I$89,3,0)*VLOOKUP('Données projet'!$B$17,Paramètres!$A$1:$I$89,5,0)</f>
        <v>233.2511999999999</v>
      </c>
      <c r="GB167" s="13">
        <f t="shared" si="185"/>
        <v>56.985091661350864</v>
      </c>
      <c r="GC167" s="20">
        <f t="shared" si="186"/>
        <v>505.49487464351915</v>
      </c>
      <c r="GD167" s="59">
        <f t="shared" si="134"/>
        <v>798.82820797685247</v>
      </c>
      <c r="GE167" s="59">
        <f ca="1">AVERAGE(OFFSET($GD$3,0,0,'Données projet'!$E$17+1,1))-AVERAGE(OFFSET($H$3,0,0,'Données projet'!$E$17+1,1))</f>
        <v>324.86930206492627</v>
      </c>
      <c r="GF167" s="59">
        <f t="shared" si="158"/>
        <v>317.03005098025352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5.9897330790443881</v>
      </c>
      <c r="GM167" s="21">
        <f>EXP(-LN(2)/25)*GM166+(1-EXP(-LN(2)/25))/(LN(2)/25)*Calculateur!GH167*Calculateur!GJ167*VLOOKUP('Données projet'!$B$17,Paramètres!$A$1:$I$89,3,0)*0.475*44/12</f>
        <v>0.89072935936517517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6.8804624384095634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5.6843418860808015E-13</v>
      </c>
      <c r="GV167" s="17">
        <f>GU167*VLOOKUP('Données projet'!$B$18,Paramètres!$A$1:$I$89,3,0)*VLOOKUP('Données projet'!$B$18,Paramètres!$A$1:$I$89,5,0)</f>
        <v>5.4092197387944907E-13</v>
      </c>
      <c r="GW167" s="13">
        <f t="shared" si="188"/>
        <v>6.6765148417791561E-12</v>
      </c>
      <c r="GX167" s="20">
        <f t="shared" si="189"/>
        <v>1.2570369120605403E-11</v>
      </c>
      <c r="GY167" s="59">
        <f t="shared" si="137"/>
        <v>293.33333333334588</v>
      </c>
      <c r="GZ167" s="59">
        <f ca="1">AVERAGE(OFFSET($GY$3,0,0,'Données projet'!$E$18+1,1))-AVERAGE(OFFSET($H$3,0,0,'Données projet'!$E$18+1,1))</f>
        <v>401.81944956556271</v>
      </c>
      <c r="HA167" s="59">
        <f t="shared" si="160"/>
        <v>292.20785523952651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93.547816636900066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93.547816636900066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5.1431925385259092E-13</v>
      </c>
      <c r="P168" s="13">
        <f t="shared" si="141"/>
        <v>6.3855359115685756E-12</v>
      </c>
      <c r="Q168" s="20">
        <f t="shared" si="162"/>
        <v>1.2017247746441865E-11</v>
      </c>
      <c r="R168" s="59">
        <f t="shared" si="109"/>
        <v>293.33333333334531</v>
      </c>
      <c r="S168" s="59">
        <f ca="1">AVERAGE(OFFSET($R$3,0,0,'Données projet'!$E$9+1,1))-AVERAGE(OFFSET($H$3,0,0,'Données projet'!$E$9+1,1))</f>
        <v>384.05928630855732</v>
      </c>
      <c r="T168" s="59">
        <f t="shared" si="142"/>
        <v>279.93992813630513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-6.3550942286383367E-14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335.04906256888819</v>
      </c>
      <c r="AO168" s="59">
        <f t="shared" si="144"/>
        <v>440.84111898279554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25.661085350812321</v>
      </c>
      <c r="AV168" s="21">
        <f>EXP(-LN(2)/25)*AV167+(1-EXP(-LN(2)/25))/(LN(2)/25)*Calculateur!AQ168*Calculateur!AS168*VLOOKUP('Données projet'!$B$10,Paramètres!$A$1:$I$89,3,0)*0.475*44/12</f>
        <v>2.7286536100841094</v>
      </c>
      <c r="AW168" s="21">
        <f>EXP(-LN(2)/2)*AW167+(1-EXP(-LN(2)/2))/(LN(2)/2)*AQ168*AT168*VLOOKUP('Données projet'!$B$10,Paramètres!$A$1:$I$89,3,0)*0.475*44/12</f>
        <v>9.4816665641463053E-16</v>
      </c>
      <c r="AX168" s="21">
        <f t="shared" si="166"/>
        <v>28.38973896089643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-1.4210854715202004E-13</v>
      </c>
      <c r="BE168" s="13">
        <f>BD168*VLOOKUP('Données projet'!$B$11,Paramètres!$A$1:$I$89,3,0)*VLOOKUP('Données projet'!$B$11,Paramètres!$A$1:$I$89,5,0)</f>
        <v>-8.128608897095547E-14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320.76883487964511</v>
      </c>
      <c r="BJ168" s="59">
        <f t="shared" si="146"/>
        <v>290.51177680335746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30.755739232899998</v>
      </c>
      <c r="BQ168" s="21">
        <f>EXP(-LN(2)/25)*BQ167+(1-EXP(-LN(2)/25))/(LN(2)/25)*Calculateur!BL168*Calculateur!BN168*VLOOKUP('Données projet'!$B$11,Paramètres!$A$1:$I$89,3,0)*0.475*44/12</f>
        <v>4.1687068522408639</v>
      </c>
      <c r="BR168" s="21">
        <f>EXP(-LN(2)/2)*BR167+(1-EXP(-LN(2)/2))/(LN(2)/2)*BL168*BO168*VLOOKUP('Données projet'!$B$11,Paramètres!$A$1:$I$89,3,0)*0.475*44/12</f>
        <v>1.637220739544664E-10</v>
      </c>
      <c r="BS168" s="22">
        <f t="shared" si="169"/>
        <v>34.924446085304588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304.99999999999983</v>
      </c>
      <c r="BZ168" s="13">
        <f>BY168*VLOOKUP('Données projet'!$B$12,Paramètres!$A$1:$I$89,3,0)*VLOOKUP('Données projet'!$B$12,Paramètres!$A$1:$I$89,5,0)</f>
        <v>275.96399999999983</v>
      </c>
      <c r="CA168" s="13">
        <f t="shared" si="170"/>
        <v>66.113366665488854</v>
      </c>
      <c r="CB168" s="20">
        <f t="shared" si="171"/>
        <v>595.78474694239264</v>
      </c>
      <c r="CC168" s="59">
        <f t="shared" si="119"/>
        <v>889.11808027572602</v>
      </c>
      <c r="CD168" s="59">
        <f ca="1">AVERAGE(OFFSET($CC$3,0,0,'Données projet'!$E$12+1,1))-AVERAGE(OFFSET($H$3,0,0,'Données projet'!$E$12+1,1))</f>
        <v>366.69125512029831</v>
      </c>
      <c r="CE168" s="59">
        <f t="shared" si="148"/>
        <v>513.80016421153414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0.11153144689498237</v>
      </c>
      <c r="CL168" s="21">
        <f>EXP(-LN(2)/25)*CL167+(1-EXP(-LN(2)/25))/(LN(2)/25)*Calculateur!CG168*Calculateur!CI168*VLOOKUP('Données projet'!$B$12,Paramètres!$A$1:$I$89,3,0)*0.475*44/12</f>
        <v>0.17485221891436736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0.28638366580934971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5.6843418860808015E-13</v>
      </c>
      <c r="CU168" s="17">
        <f>CT168*VLOOKUP('Données projet'!$B$13,Paramètres!$A$1:$I$89,3,0)*VLOOKUP('Données projet'!$B$13,Paramètres!$A$1:$I$89,5,0)</f>
        <v>3.8130565371830017E-13</v>
      </c>
      <c r="CV168" s="13">
        <f t="shared" si="173"/>
        <v>4.9019074112354236E-12</v>
      </c>
      <c r="CW168" s="20">
        <f t="shared" si="174"/>
        <v>9.2015960881277352E-12</v>
      </c>
      <c r="CX168" s="59">
        <f t="shared" si="122"/>
        <v>293.33333333334252</v>
      </c>
      <c r="CY168" s="59">
        <f ca="1">AVERAGE(OFFSET($CX$3,0,0,'Données projet'!$E$13+1,1))-AVERAGE(OFFSET($H$3,0,0,'Données projet'!$E$13+1,1))</f>
        <v>294.94331863127815</v>
      </c>
      <c r="CZ168" s="59">
        <f t="shared" si="150"/>
        <v>218.36990036643977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79.685413993324204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79.685413993324204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266.99999999999983</v>
      </c>
      <c r="DP168" s="17">
        <f>DO168*VLOOKUP('Données projet'!$B$14,Paramètres!$A$1:$I$89,3,0)*VLOOKUP('Données projet'!$B$14,Paramètres!$A$1:$I$89,5,0)</f>
        <v>195.76439999999985</v>
      </c>
      <c r="DQ168" s="13">
        <f t="shared" si="176"/>
        <v>48.812154563023455</v>
      </c>
      <c r="DR168" s="20">
        <f t="shared" si="177"/>
        <v>425.9708325305989</v>
      </c>
      <c r="DS168" s="59">
        <f t="shared" si="125"/>
        <v>719.30416586393221</v>
      </c>
      <c r="DT168" s="59">
        <f ca="1">AVERAGE(OFFSET($DS$3,0,0,'Données projet'!$E$14+1,1))-AVERAGE(OFFSET($H$3,0,0,'Données projet'!$E$14+1,1))</f>
        <v>278.45534008146865</v>
      </c>
      <c r="DU168" s="59">
        <f t="shared" si="152"/>
        <v>272.97841038165217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3.9986098291385095</v>
      </c>
      <c r="EB168" s="21">
        <f>EXP(-LN(2)/25)*EB167+(1-EXP(-LN(2)/25))/(LN(2)/25)*Calculateur!DW168*Calculateur!DY168*VLOOKUP('Données projet'!$B$14,Paramètres!$A$1:$I$89,3,0)*0.475*44/12</f>
        <v>0.58993883256935853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4.5885486617078683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5.6843418860808015E-13</v>
      </c>
      <c r="EK168" s="17">
        <f>EJ168*VLOOKUP('Données projet'!$B$15,Paramètres!$A$1:$I$89,3,0)*VLOOKUP('Données projet'!$B$15,Paramètres!$A$1:$I$89,5,0)</f>
        <v>6.1186256061773743E-13</v>
      </c>
      <c r="EL168" s="13">
        <f t="shared" si="179"/>
        <v>7.4445668332430206E-12</v>
      </c>
      <c r="EM168" s="20">
        <f t="shared" si="180"/>
        <v>1.4031614527640822E-11</v>
      </c>
      <c r="EN168" s="59">
        <f t="shared" si="128"/>
        <v>293.33333333334735</v>
      </c>
      <c r="EO168" s="59">
        <f ca="1">AVERAGE(OFFSET($EN$3,0,0,'Données projet'!$E$15+1,1))-AVERAGE(OFFSET($H$3,0,0,'Données projet'!$E$15+1,1))</f>
        <v>449.09332781196957</v>
      </c>
      <c r="EP168" s="59">
        <f t="shared" si="154"/>
        <v>324.85904971519432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103.7413880290447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103.7413880290447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5.6843418860808015E-13</v>
      </c>
      <c r="FF168" s="17">
        <f>FE168*VLOOKUP('Données projet'!$B$16,Paramètres!$A$1:$I$89,3,0)*VLOOKUP('Données projet'!$B$16,Paramètres!$A$1:$I$89,5,0)</f>
        <v>5.763922672485933E-13</v>
      </c>
      <c r="FG168" s="13">
        <f t="shared" si="182"/>
        <v>7.0619171555808457E-12</v>
      </c>
      <c r="FH168" s="20">
        <f t="shared" si="183"/>
        <v>1.3303388911427938E-11</v>
      </c>
      <c r="FI168" s="59">
        <f t="shared" si="131"/>
        <v>293.33333333334662</v>
      </c>
      <c r="FJ168" s="59">
        <f ca="1">AVERAGE(OFFSET($FI$3,0,0,'Données projet'!$E$16+1,1))-AVERAGE(OFFSET($H$3,0,0,'Données projet'!$E$16+1,1))</f>
        <v>419.51168383014721</v>
      </c>
      <c r="FK168" s="59">
        <f t="shared" si="156"/>
        <v>213.44145308833384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97.727394520114601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97.727394520114601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266.99999999999983</v>
      </c>
      <c r="GA168" s="17">
        <f>FZ168*VLOOKUP('Données projet'!$B$17,Paramètres!$A$1:$I$89,3,0)*VLOOKUP('Données projet'!$B$17,Paramètres!$A$1:$I$89,5,0)</f>
        <v>233.2511999999999</v>
      </c>
      <c r="GB168" s="13">
        <f t="shared" si="185"/>
        <v>56.985091661350864</v>
      </c>
      <c r="GC168" s="20">
        <f t="shared" si="186"/>
        <v>505.49487464351915</v>
      </c>
      <c r="GD168" s="59">
        <f t="shared" si="134"/>
        <v>798.82820797685247</v>
      </c>
      <c r="GE168" s="59">
        <f ca="1">AVERAGE(OFFSET($GD$3,0,0,'Données projet'!$E$17+1,1))-AVERAGE(OFFSET($H$3,0,0,'Données projet'!$E$17+1,1))</f>
        <v>324.86930206492627</v>
      </c>
      <c r="GF168" s="59">
        <f t="shared" si="158"/>
        <v>317.03005098025352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5.8722780667407646</v>
      </c>
      <c r="GM168" s="21">
        <f>EXP(-LN(2)/25)*GM167+(1-EXP(-LN(2)/25))/(LN(2)/25)*Calculateur!GH168*Calculateur!GJ168*VLOOKUP('Données projet'!$B$17,Paramètres!$A$1:$I$89,3,0)*0.475*44/12</f>
        <v>0.86637231819191318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6.7386503849326775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5.6843418860808015E-13</v>
      </c>
      <c r="GV168" s="17">
        <f>GU168*VLOOKUP('Données projet'!$B$18,Paramètres!$A$1:$I$89,3,0)*VLOOKUP('Données projet'!$B$18,Paramètres!$A$1:$I$89,5,0)</f>
        <v>5.4092197387944907E-13</v>
      </c>
      <c r="GW168" s="13">
        <f t="shared" si="188"/>
        <v>6.6765148417791561E-12</v>
      </c>
      <c r="GX168" s="20">
        <f t="shared" si="189"/>
        <v>1.2570369120605403E-11</v>
      </c>
      <c r="GY168" s="59">
        <f t="shared" si="137"/>
        <v>293.33333333334588</v>
      </c>
      <c r="GZ168" s="59">
        <f ca="1">AVERAGE(OFFSET($GY$3,0,0,'Données projet'!$E$18+1,1))-AVERAGE(OFFSET($H$3,0,0,'Données projet'!$E$18+1,1))</f>
        <v>401.81944956556271</v>
      </c>
      <c r="HA168" s="59">
        <f t="shared" si="160"/>
        <v>292.20785523952651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91.713401011184544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91.713401011184544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5.1431925385259092E-13</v>
      </c>
      <c r="P169" s="13">
        <f t="shared" si="141"/>
        <v>6.3855359115685756E-12</v>
      </c>
      <c r="Q169" s="20">
        <f t="shared" si="162"/>
        <v>1.2017247746441865E-11</v>
      </c>
      <c r="R169" s="59">
        <f t="shared" si="109"/>
        <v>293.33333333334531</v>
      </c>
      <c r="S169" s="59">
        <f ca="1">AVERAGE(OFFSET($R$3,0,0,'Données projet'!$E$9+1,1))-AVERAGE(OFFSET($H$3,0,0,'Données projet'!$E$9+1,1))</f>
        <v>384.05928630855732</v>
      </c>
      <c r="T169" s="59">
        <f t="shared" si="142"/>
        <v>279.93992813630513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-6.3550942286383367E-14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335.04906256888819</v>
      </c>
      <c r="AO169" s="59">
        <f t="shared" si="144"/>
        <v>440.84111898279554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25.157887118799476</v>
      </c>
      <c r="AV169" s="21">
        <f>EXP(-LN(2)/25)*AV168+(1-EXP(-LN(2)/25))/(LN(2)/25)*Calculateur!AQ169*Calculateur!AS169*VLOOKUP('Données projet'!$B$10,Paramètres!$A$1:$I$89,3,0)*0.475*44/12</f>
        <v>2.6540384336227025</v>
      </c>
      <c r="AW169" s="21">
        <f>EXP(-LN(2)/2)*AW168+(1-EXP(-LN(2)/2))/(LN(2)/2)*AQ169*AT169*VLOOKUP('Données projet'!$B$10,Paramètres!$A$1:$I$89,3,0)*0.475*44/12</f>
        <v>6.7045507244576054E-16</v>
      </c>
      <c r="AX169" s="21">
        <f t="shared" si="166"/>
        <v>27.811925552422178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-1.4210854715202004E-13</v>
      </c>
      <c r="BE169" s="13">
        <f>BD169*VLOOKUP('Données projet'!$B$11,Paramètres!$A$1:$I$89,3,0)*VLOOKUP('Données projet'!$B$11,Paramètres!$A$1:$I$89,5,0)</f>
        <v>-8.128608897095547E-14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320.76883487964511</v>
      </c>
      <c r="BJ169" s="59">
        <f t="shared" si="146"/>
        <v>290.51177680335746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30.152637945691449</v>
      </c>
      <c r="BQ169" s="21">
        <f>EXP(-LN(2)/25)*BQ168+(1-EXP(-LN(2)/25))/(LN(2)/25)*Calculateur!BL169*Calculateur!BN169*VLOOKUP('Données projet'!$B$11,Paramètres!$A$1:$I$89,3,0)*0.475*44/12</f>
        <v>4.0547133441435719</v>
      </c>
      <c r="BR169" s="21">
        <f>EXP(-LN(2)/2)*BR168+(1-EXP(-LN(2)/2))/(LN(2)/2)*BL169*BO169*VLOOKUP('Données projet'!$B$11,Paramètres!$A$1:$I$89,3,0)*0.475*44/12</f>
        <v>1.1576898872312863E-10</v>
      </c>
      <c r="BS169" s="22">
        <f t="shared" si="169"/>
        <v>34.207351289950786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304.99999999999983</v>
      </c>
      <c r="BZ169" s="13">
        <f>BY169*VLOOKUP('Données projet'!$B$12,Paramètres!$A$1:$I$89,3,0)*VLOOKUP('Données projet'!$B$12,Paramètres!$A$1:$I$89,5,0)</f>
        <v>275.96399999999983</v>
      </c>
      <c r="CA169" s="13">
        <f t="shared" si="170"/>
        <v>66.113366665488854</v>
      </c>
      <c r="CB169" s="20">
        <f t="shared" si="171"/>
        <v>595.78474694239264</v>
      </c>
      <c r="CC169" s="59">
        <f t="shared" si="119"/>
        <v>889.11808027572602</v>
      </c>
      <c r="CD169" s="59">
        <f ca="1">AVERAGE(OFFSET($CC$3,0,0,'Données projet'!$E$12+1,1))-AVERAGE(OFFSET($H$3,0,0,'Données projet'!$E$12+1,1))</f>
        <v>366.69125512029831</v>
      </c>
      <c r="CE169" s="59">
        <f t="shared" si="148"/>
        <v>513.80016421153414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0.10934438324883722</v>
      </c>
      <c r="CL169" s="21">
        <f>EXP(-LN(2)/25)*CL168+(1-EXP(-LN(2)/25))/(LN(2)/25)*Calculateur!CG169*Calculateur!CI169*VLOOKUP('Données projet'!$B$12,Paramètres!$A$1:$I$89,3,0)*0.475*44/12</f>
        <v>0.17007087579307542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0.27941525904191267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5.6843418860808015E-13</v>
      </c>
      <c r="CU169" s="17">
        <f>CT169*VLOOKUP('Données projet'!$B$13,Paramètres!$A$1:$I$89,3,0)*VLOOKUP('Données projet'!$B$13,Paramètres!$A$1:$I$89,5,0)</f>
        <v>3.8130565371830017E-13</v>
      </c>
      <c r="CV169" s="13">
        <f t="shared" si="173"/>
        <v>4.9019074112354236E-12</v>
      </c>
      <c r="CW169" s="20">
        <f t="shared" si="174"/>
        <v>9.2015960881277352E-12</v>
      </c>
      <c r="CX169" s="59">
        <f t="shared" si="122"/>
        <v>293.33333333334252</v>
      </c>
      <c r="CY169" s="59">
        <f ca="1">AVERAGE(OFFSET($CX$3,0,0,'Données projet'!$E$13+1,1))-AVERAGE(OFFSET($H$3,0,0,'Données projet'!$E$13+1,1))</f>
        <v>294.94331863127815</v>
      </c>
      <c r="CZ169" s="59">
        <f t="shared" si="150"/>
        <v>218.36990036643977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78.122831628218478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78.122831628218478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266.99999999999983</v>
      </c>
      <c r="DP169" s="17">
        <f>DO169*VLOOKUP('Données projet'!$B$14,Paramètres!$A$1:$I$89,3,0)*VLOOKUP('Données projet'!$B$14,Paramètres!$A$1:$I$89,5,0)</f>
        <v>195.76439999999985</v>
      </c>
      <c r="DQ169" s="13">
        <f t="shared" si="176"/>
        <v>48.812154563023455</v>
      </c>
      <c r="DR169" s="20">
        <f t="shared" si="177"/>
        <v>425.9708325305989</v>
      </c>
      <c r="DS169" s="59">
        <f t="shared" si="125"/>
        <v>719.30416586393221</v>
      </c>
      <c r="DT169" s="59">
        <f ca="1">AVERAGE(OFFSET($DS$3,0,0,'Données projet'!$E$14+1,1))-AVERAGE(OFFSET($H$3,0,0,'Données projet'!$E$14+1,1))</f>
        <v>278.45534008146865</v>
      </c>
      <c r="DU169" s="59">
        <f t="shared" si="152"/>
        <v>272.97841038165217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3.9201995293002767</v>
      </c>
      <c r="EB169" s="21">
        <f>EXP(-LN(2)/25)*EB168+(1-EXP(-LN(2)/25))/(LN(2)/25)*Calculateur!DW169*Calculateur!DY169*VLOOKUP('Données projet'!$B$14,Paramètres!$A$1:$I$89,3,0)*0.475*44/12</f>
        <v>0.57380692416921453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4.494006453469491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5.6843418860808015E-13</v>
      </c>
      <c r="EK169" s="17">
        <f>EJ169*VLOOKUP('Données projet'!$B$15,Paramètres!$A$1:$I$89,3,0)*VLOOKUP('Données projet'!$B$15,Paramètres!$A$1:$I$89,5,0)</f>
        <v>6.1186256061773743E-13</v>
      </c>
      <c r="EL169" s="13">
        <f t="shared" si="179"/>
        <v>7.4445668332430206E-12</v>
      </c>
      <c r="EM169" s="20">
        <f t="shared" si="180"/>
        <v>1.4031614527640822E-11</v>
      </c>
      <c r="EN169" s="59">
        <f t="shared" si="128"/>
        <v>293.33333333334735</v>
      </c>
      <c r="EO169" s="59">
        <f ca="1">AVERAGE(OFFSET($EN$3,0,0,'Données projet'!$E$15+1,1))-AVERAGE(OFFSET($H$3,0,0,'Données projet'!$E$15+1,1))</f>
        <v>449.09332781196957</v>
      </c>
      <c r="EP169" s="59">
        <f t="shared" si="154"/>
        <v>324.85904971519432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101.70708268579385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101.70708268579385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5.6843418860808015E-13</v>
      </c>
      <c r="FF169" s="17">
        <f>FE169*VLOOKUP('Données projet'!$B$16,Paramètres!$A$1:$I$89,3,0)*VLOOKUP('Données projet'!$B$16,Paramètres!$A$1:$I$89,5,0)</f>
        <v>5.763922672485933E-13</v>
      </c>
      <c r="FG169" s="13">
        <f t="shared" si="182"/>
        <v>7.0619171555808457E-12</v>
      </c>
      <c r="FH169" s="20">
        <f t="shared" si="183"/>
        <v>1.3303388911427938E-11</v>
      </c>
      <c r="FI169" s="59">
        <f t="shared" si="131"/>
        <v>293.33333333334662</v>
      </c>
      <c r="FJ169" s="59">
        <f ca="1">AVERAGE(OFFSET($FI$3,0,0,'Données projet'!$E$16+1,1))-AVERAGE(OFFSET($H$3,0,0,'Données projet'!$E$16+1,1))</f>
        <v>419.51168383014721</v>
      </c>
      <c r="FK169" s="59">
        <f t="shared" si="156"/>
        <v>213.44145308833384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95.811019921400032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95.811019921400032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266.99999999999983</v>
      </c>
      <c r="GA169" s="17">
        <f>FZ169*VLOOKUP('Données projet'!$B$17,Paramètres!$A$1:$I$89,3,0)*VLOOKUP('Données projet'!$B$17,Paramètres!$A$1:$I$89,5,0)</f>
        <v>233.2511999999999</v>
      </c>
      <c r="GB169" s="13">
        <f t="shared" si="185"/>
        <v>56.985091661350864</v>
      </c>
      <c r="GC169" s="20">
        <f t="shared" si="186"/>
        <v>505.49487464351915</v>
      </c>
      <c r="GD169" s="59">
        <f t="shared" si="134"/>
        <v>798.82820797685247</v>
      </c>
      <c r="GE169" s="59">
        <f ca="1">AVERAGE(OFFSET($GD$3,0,0,'Données projet'!$E$17+1,1))-AVERAGE(OFFSET($H$3,0,0,'Données projet'!$E$17+1,1))</f>
        <v>324.86930206492627</v>
      </c>
      <c r="GF169" s="59">
        <f t="shared" si="158"/>
        <v>317.03005098025352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5.7571262755879316</v>
      </c>
      <c r="GM169" s="21">
        <f>EXP(-LN(2)/25)*GM168+(1-EXP(-LN(2)/25))/(LN(2)/25)*Calculateur!GH169*Calculateur!GJ169*VLOOKUP('Données projet'!$B$17,Paramètres!$A$1:$I$89,3,0)*0.475*44/12</f>
        <v>0.8426813215904152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6.599807597178347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5.6843418860808015E-13</v>
      </c>
      <c r="GV169" s="17">
        <f>GU169*VLOOKUP('Données projet'!$B$18,Paramètres!$A$1:$I$89,3,0)*VLOOKUP('Données projet'!$B$18,Paramètres!$A$1:$I$89,5,0)</f>
        <v>5.4092197387944907E-13</v>
      </c>
      <c r="GW169" s="13">
        <f t="shared" si="188"/>
        <v>6.6765148417791561E-12</v>
      </c>
      <c r="GX169" s="20">
        <f t="shared" si="189"/>
        <v>1.2570369120605403E-11</v>
      </c>
      <c r="GY169" s="59">
        <f t="shared" si="137"/>
        <v>293.33333333334588</v>
      </c>
      <c r="GZ169" s="59">
        <f ca="1">AVERAGE(OFFSET($GY$3,0,0,'Données projet'!$E$18+1,1))-AVERAGE(OFFSET($H$3,0,0,'Données projet'!$E$18+1,1))</f>
        <v>401.81944956556271</v>
      </c>
      <c r="HA169" s="59">
        <f t="shared" si="160"/>
        <v>292.20785523952651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89.914957157006256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89.914957157006256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5.1431925385259092E-13</v>
      </c>
      <c r="P170" s="13">
        <f t="shared" si="141"/>
        <v>6.3855359115685756E-12</v>
      </c>
      <c r="Q170" s="20">
        <f t="shared" si="162"/>
        <v>1.2017247746441865E-11</v>
      </c>
      <c r="R170" s="59">
        <f t="shared" si="109"/>
        <v>293.33333333334531</v>
      </c>
      <c r="S170" s="59">
        <f ca="1">AVERAGE(OFFSET($R$3,0,0,'Données projet'!$E$9+1,1))-AVERAGE(OFFSET($H$3,0,0,'Données projet'!$E$9+1,1))</f>
        <v>384.05928630855732</v>
      </c>
      <c r="T170" s="59">
        <f t="shared" si="142"/>
        <v>279.93992813630513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-6.3550942286383367E-14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335.04906256888819</v>
      </c>
      <c r="AO170" s="59">
        <f t="shared" si="144"/>
        <v>440.84111898279554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24.664556297195787</v>
      </c>
      <c r="AV170" s="21">
        <f>EXP(-LN(2)/25)*AV169+(1-EXP(-LN(2)/25))/(LN(2)/25)*Calculateur!AQ170*Calculateur!AS170*VLOOKUP('Données projet'!$B$10,Paramètres!$A$1:$I$89,3,0)*0.475*44/12</f>
        <v>2.5814636130854742</v>
      </c>
      <c r="AW170" s="21">
        <f>EXP(-LN(2)/2)*AW169+(1-EXP(-LN(2)/2))/(LN(2)/2)*AQ170*AT170*VLOOKUP('Données projet'!$B$10,Paramètres!$A$1:$I$89,3,0)*0.475*44/12</f>
        <v>4.7408332820731527E-16</v>
      </c>
      <c r="AX170" s="21">
        <f t="shared" si="166"/>
        <v>27.246019910281262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-1.4210854715202004E-13</v>
      </c>
      <c r="BE170" s="13">
        <f>BD170*VLOOKUP('Données projet'!$B$11,Paramètres!$A$1:$I$89,3,0)*VLOOKUP('Données projet'!$B$11,Paramètres!$A$1:$I$89,5,0)</f>
        <v>-8.128608897095547E-14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320.76883487964511</v>
      </c>
      <c r="BJ170" s="59">
        <f t="shared" si="146"/>
        <v>290.51177680335746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29.561363106869596</v>
      </c>
      <c r="BQ170" s="21">
        <f>EXP(-LN(2)/25)*BQ169+(1-EXP(-LN(2)/25))/(LN(2)/25)*Calculateur!BL170*Calculateur!BN170*VLOOKUP('Données projet'!$B$11,Paramètres!$A$1:$I$89,3,0)*0.475*44/12</f>
        <v>3.9438369945198581</v>
      </c>
      <c r="BR170" s="21">
        <f>EXP(-LN(2)/2)*BR169+(1-EXP(-LN(2)/2))/(LN(2)/2)*BL170*BO170*VLOOKUP('Données projet'!$B$11,Paramètres!$A$1:$I$89,3,0)*0.475*44/12</f>
        <v>8.1861036977233211E-11</v>
      </c>
      <c r="BS170" s="22">
        <f t="shared" si="169"/>
        <v>33.505200101471317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304.99999999999983</v>
      </c>
      <c r="BZ170" s="13">
        <f>BY170*VLOOKUP('Données projet'!$B$12,Paramètres!$A$1:$I$89,3,0)*VLOOKUP('Données projet'!$B$12,Paramètres!$A$1:$I$89,5,0)</f>
        <v>275.96399999999983</v>
      </c>
      <c r="CA170" s="13">
        <f t="shared" si="170"/>
        <v>66.113366665488854</v>
      </c>
      <c r="CB170" s="20">
        <f t="shared" si="171"/>
        <v>595.78474694239264</v>
      </c>
      <c r="CC170" s="59">
        <f t="shared" si="119"/>
        <v>889.11808027572602</v>
      </c>
      <c r="CD170" s="59">
        <f ca="1">AVERAGE(OFFSET($CC$3,0,0,'Données projet'!$E$12+1,1))-AVERAGE(OFFSET($H$3,0,0,'Données projet'!$E$12+1,1))</f>
        <v>366.69125512029831</v>
      </c>
      <c r="CE170" s="59">
        <f t="shared" si="148"/>
        <v>513.80016421153414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0.10720020658681587</v>
      </c>
      <c r="CL170" s="21">
        <f>EXP(-LN(2)/25)*CL169+(1-EXP(-LN(2)/25))/(LN(2)/25)*Calculateur!CG170*Calculateur!CI170*VLOOKUP('Données projet'!$B$12,Paramètres!$A$1:$I$89,3,0)*0.475*44/12</f>
        <v>0.16542027875087512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0.27262048533769101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5.6843418860808015E-13</v>
      </c>
      <c r="CU170" s="17">
        <f>CT170*VLOOKUP('Données projet'!$B$13,Paramètres!$A$1:$I$89,3,0)*VLOOKUP('Données projet'!$B$13,Paramètres!$A$1:$I$89,5,0)</f>
        <v>3.8130565371830017E-13</v>
      </c>
      <c r="CV170" s="13">
        <f t="shared" si="173"/>
        <v>4.9019074112354236E-12</v>
      </c>
      <c r="CW170" s="20">
        <f t="shared" si="174"/>
        <v>9.2015960881277352E-12</v>
      </c>
      <c r="CX170" s="59">
        <f t="shared" si="122"/>
        <v>293.33333333334252</v>
      </c>
      <c r="CY170" s="59">
        <f ca="1">AVERAGE(OFFSET($CX$3,0,0,'Données projet'!$E$13+1,1))-AVERAGE(OFFSET($H$3,0,0,'Données projet'!$E$13+1,1))</f>
        <v>294.94331863127815</v>
      </c>
      <c r="CZ170" s="59">
        <f t="shared" si="150"/>
        <v>218.36990036643977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76.590890550211341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76.590890550211341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266.99999999999983</v>
      </c>
      <c r="DP170" s="17">
        <f>DO170*VLOOKUP('Données projet'!$B$14,Paramètres!$A$1:$I$89,3,0)*VLOOKUP('Données projet'!$B$14,Paramètres!$A$1:$I$89,5,0)</f>
        <v>195.76439999999985</v>
      </c>
      <c r="DQ170" s="13">
        <f t="shared" si="176"/>
        <v>48.812154563023455</v>
      </c>
      <c r="DR170" s="20">
        <f t="shared" si="177"/>
        <v>425.9708325305989</v>
      </c>
      <c r="DS170" s="59">
        <f t="shared" si="125"/>
        <v>719.30416586393221</v>
      </c>
      <c r="DT170" s="59">
        <f ca="1">AVERAGE(OFFSET($DS$3,0,0,'Données projet'!$E$14+1,1))-AVERAGE(OFFSET($H$3,0,0,'Données projet'!$E$14+1,1))</f>
        <v>278.45534008146865</v>
      </c>
      <c r="DU170" s="59">
        <f t="shared" si="152"/>
        <v>272.97841038165217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3.843326807616311</v>
      </c>
      <c r="EB170" s="21">
        <f>EXP(-LN(2)/25)*EB169+(1-EXP(-LN(2)/25))/(LN(2)/25)*Calculateur!DW170*Calculateur!DY170*VLOOKUP('Données projet'!$B$14,Paramètres!$A$1:$I$89,3,0)*0.475*44/12</f>
        <v>0.55811614365261264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4.4014429512689235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5.6843418860808015E-13</v>
      </c>
      <c r="EK170" s="17">
        <f>EJ170*VLOOKUP('Données projet'!$B$15,Paramètres!$A$1:$I$89,3,0)*VLOOKUP('Données projet'!$B$15,Paramètres!$A$1:$I$89,5,0)</f>
        <v>6.1186256061773743E-13</v>
      </c>
      <c r="EL170" s="13">
        <f t="shared" si="179"/>
        <v>7.4445668332430206E-12</v>
      </c>
      <c r="EM170" s="20">
        <f t="shared" si="180"/>
        <v>1.4031614527640822E-11</v>
      </c>
      <c r="EN170" s="59">
        <f t="shared" si="128"/>
        <v>293.33333333334735</v>
      </c>
      <c r="EO170" s="59">
        <f ca="1">AVERAGE(OFFSET($EN$3,0,0,'Données projet'!$E$15+1,1))-AVERAGE(OFFSET($H$3,0,0,'Données projet'!$E$15+1,1))</f>
        <v>449.09332781196957</v>
      </c>
      <c r="EP170" s="59">
        <f t="shared" si="154"/>
        <v>324.85904971519432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99.71266882952041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99.71266882952041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5.6843418860808015E-13</v>
      </c>
      <c r="FF170" s="17">
        <f>FE170*VLOOKUP('Données projet'!$B$16,Paramètres!$A$1:$I$89,3,0)*VLOOKUP('Données projet'!$B$16,Paramètres!$A$1:$I$89,5,0)</f>
        <v>5.763922672485933E-13</v>
      </c>
      <c r="FG170" s="13">
        <f t="shared" si="182"/>
        <v>7.0619171555808457E-12</v>
      </c>
      <c r="FH170" s="20">
        <f t="shared" si="183"/>
        <v>1.3303388911427938E-11</v>
      </c>
      <c r="FI170" s="59">
        <f t="shared" si="131"/>
        <v>293.33333333334662</v>
      </c>
      <c r="FJ170" s="59">
        <f ca="1">AVERAGE(OFFSET($FI$3,0,0,'Données projet'!$E$16+1,1))-AVERAGE(OFFSET($H$3,0,0,'Données projet'!$E$16+1,1))</f>
        <v>419.51168383014721</v>
      </c>
      <c r="FK170" s="59">
        <f t="shared" si="156"/>
        <v>213.44145308833384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93.932224259693157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93.932224259693157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266.99999999999983</v>
      </c>
      <c r="GA170" s="17">
        <f>FZ170*VLOOKUP('Données projet'!$B$17,Paramètres!$A$1:$I$89,3,0)*VLOOKUP('Données projet'!$B$17,Paramètres!$A$1:$I$89,5,0)</f>
        <v>233.2511999999999</v>
      </c>
      <c r="GB170" s="13">
        <f t="shared" si="185"/>
        <v>56.985091661350864</v>
      </c>
      <c r="GC170" s="20">
        <f t="shared" si="186"/>
        <v>505.49487464351915</v>
      </c>
      <c r="GD170" s="59">
        <f t="shared" si="134"/>
        <v>798.82820797685247</v>
      </c>
      <c r="GE170" s="59">
        <f ca="1">AVERAGE(OFFSET($GD$3,0,0,'Données projet'!$E$17+1,1))-AVERAGE(OFFSET($H$3,0,0,'Données projet'!$E$17+1,1))</f>
        <v>324.86930206492627</v>
      </c>
      <c r="GF170" s="59">
        <f t="shared" si="158"/>
        <v>317.03005098025352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5.6442325408239489</v>
      </c>
      <c r="GM170" s="21">
        <f>EXP(-LN(2)/25)*GM169+(1-EXP(-LN(2)/25))/(LN(2)/25)*Calculateur!GH170*Calculateur!GJ170*VLOOKUP('Données projet'!$B$17,Paramètres!$A$1:$I$89,3,0)*0.475*44/12</f>
        <v>0.81963815653684058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6.4638706973607896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5.6843418860808015E-13</v>
      </c>
      <c r="GV170" s="17">
        <f>GU170*VLOOKUP('Données projet'!$B$18,Paramètres!$A$1:$I$89,3,0)*VLOOKUP('Données projet'!$B$18,Paramètres!$A$1:$I$89,5,0)</f>
        <v>5.4092197387944907E-13</v>
      </c>
      <c r="GW170" s="13">
        <f t="shared" si="188"/>
        <v>6.6765148417791561E-12</v>
      </c>
      <c r="GX170" s="20">
        <f t="shared" si="189"/>
        <v>1.2570369120605403E-11</v>
      </c>
      <c r="GY170" s="59">
        <f t="shared" si="137"/>
        <v>293.33333333334588</v>
      </c>
      <c r="GZ170" s="59">
        <f ca="1">AVERAGE(OFFSET($GY$3,0,0,'Données projet'!$E$18+1,1))-AVERAGE(OFFSET($H$3,0,0,'Données projet'!$E$18+1,1))</f>
        <v>401.81944956556271</v>
      </c>
      <c r="HA170" s="59">
        <f t="shared" si="160"/>
        <v>292.20785523952651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88.151779689865961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88.151779689865961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5.1431925385259092E-13</v>
      </c>
      <c r="P171" s="13">
        <f t="shared" si="141"/>
        <v>6.3855359115685756E-12</v>
      </c>
      <c r="Q171" s="20">
        <f t="shared" si="162"/>
        <v>1.2017247746441865E-11</v>
      </c>
      <c r="R171" s="59">
        <f t="shared" si="109"/>
        <v>293.33333333334531</v>
      </c>
      <c r="S171" s="59">
        <f ca="1">AVERAGE(OFFSET($R$3,0,0,'Données projet'!$E$9+1,1))-AVERAGE(OFFSET($H$3,0,0,'Données projet'!$E$9+1,1))</f>
        <v>384.05928630855732</v>
      </c>
      <c r="T171" s="59">
        <f t="shared" si="142"/>
        <v>279.93992813630513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-6.3550942286383367E-14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335.04906256888819</v>
      </c>
      <c r="AO171" s="59">
        <f t="shared" si="144"/>
        <v>440.84111898279554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24.180899392101658</v>
      </c>
      <c r="AV171" s="21">
        <f>EXP(-LN(2)/25)*AV170+(1-EXP(-LN(2)/25))/(LN(2)/25)*Calculateur!AQ171*Calculateur!AS171*VLOOKUP('Données projet'!$B$10,Paramètres!$A$1:$I$89,3,0)*0.475*44/12</f>
        <v>2.5108733548323805</v>
      </c>
      <c r="AW171" s="21">
        <f>EXP(-LN(2)/2)*AW170+(1-EXP(-LN(2)/2))/(LN(2)/2)*AQ171*AT171*VLOOKUP('Données projet'!$B$10,Paramètres!$A$1:$I$89,3,0)*0.475*44/12</f>
        <v>3.3522753622288027E-16</v>
      </c>
      <c r="AX171" s="21">
        <f t="shared" si="166"/>
        <v>26.691772746934038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-1.4210854715202004E-13</v>
      </c>
      <c r="BE171" s="13">
        <f>BD171*VLOOKUP('Données projet'!$B$11,Paramètres!$A$1:$I$89,3,0)*VLOOKUP('Données projet'!$B$11,Paramètres!$A$1:$I$89,5,0)</f>
        <v>-8.128608897095547E-14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320.76883487964511</v>
      </c>
      <c r="BJ171" s="59">
        <f t="shared" si="146"/>
        <v>290.51177680335746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28.981682806995</v>
      </c>
      <c r="BQ171" s="21">
        <f>EXP(-LN(2)/25)*BQ170+(1-EXP(-LN(2)/25))/(LN(2)/25)*Calculateur!BL171*Calculateur!BN171*VLOOKUP('Données projet'!$B$11,Paramètres!$A$1:$I$89,3,0)*0.475*44/12</f>
        <v>3.8359925645073387</v>
      </c>
      <c r="BR171" s="21">
        <f>EXP(-LN(2)/2)*BR170+(1-EXP(-LN(2)/2))/(LN(2)/2)*BL171*BO171*VLOOKUP('Données projet'!$B$11,Paramètres!$A$1:$I$89,3,0)*0.475*44/12</f>
        <v>5.7884494361564324E-11</v>
      </c>
      <c r="BS171" s="22">
        <f t="shared" si="169"/>
        <v>32.817675371560227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304.99999999999983</v>
      </c>
      <c r="BZ171" s="13">
        <f>BY171*VLOOKUP('Données projet'!$B$12,Paramètres!$A$1:$I$89,3,0)*VLOOKUP('Données projet'!$B$12,Paramètres!$A$1:$I$89,5,0)</f>
        <v>275.96399999999983</v>
      </c>
      <c r="CA171" s="13">
        <f t="shared" si="170"/>
        <v>66.113366665488854</v>
      </c>
      <c r="CB171" s="20">
        <f t="shared" si="171"/>
        <v>595.78474694239264</v>
      </c>
      <c r="CC171" s="59">
        <f t="shared" si="119"/>
        <v>889.11808027572602</v>
      </c>
      <c r="CD171" s="59">
        <f ca="1">AVERAGE(OFFSET($CC$3,0,0,'Données projet'!$E$12+1,1))-AVERAGE(OFFSET($H$3,0,0,'Données projet'!$E$12+1,1))</f>
        <v>366.69125512029831</v>
      </c>
      <c r="CE171" s="59">
        <f t="shared" si="148"/>
        <v>513.80016421153414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0.10509807592131813</v>
      </c>
      <c r="CL171" s="21">
        <f>EXP(-LN(2)/25)*CL170+(1-EXP(-LN(2)/25))/(LN(2)/25)*Calculateur!CG171*Calculateur!CI171*VLOOKUP('Données projet'!$B$12,Paramètres!$A$1:$I$89,3,0)*0.475*44/12</f>
        <v>0.16089685252935804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0.26599492845067618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5.6843418860808015E-13</v>
      </c>
      <c r="CU171" s="17">
        <f>CT171*VLOOKUP('Données projet'!$B$13,Paramètres!$A$1:$I$89,3,0)*VLOOKUP('Données projet'!$B$13,Paramètres!$A$1:$I$89,5,0)</f>
        <v>3.8130565371830017E-13</v>
      </c>
      <c r="CV171" s="13">
        <f t="shared" si="173"/>
        <v>4.9019074112354236E-12</v>
      </c>
      <c r="CW171" s="20">
        <f t="shared" si="174"/>
        <v>9.2015960881277352E-12</v>
      </c>
      <c r="CX171" s="59">
        <f t="shared" si="122"/>
        <v>293.33333333334252</v>
      </c>
      <c r="CY171" s="59">
        <f ca="1">AVERAGE(OFFSET($CX$3,0,0,'Données projet'!$E$13+1,1))-AVERAGE(OFFSET($H$3,0,0,'Données projet'!$E$13+1,1))</f>
        <v>294.94331863127815</v>
      </c>
      <c r="CZ171" s="59">
        <f t="shared" si="150"/>
        <v>218.36990036643977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75.088989902352125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75.088989902352125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266.99999999999983</v>
      </c>
      <c r="DP171" s="17">
        <f>DO171*VLOOKUP('Données projet'!$B$14,Paramètres!$A$1:$I$89,3,0)*VLOOKUP('Données projet'!$B$14,Paramètres!$A$1:$I$89,5,0)</f>
        <v>195.76439999999985</v>
      </c>
      <c r="DQ171" s="13">
        <f t="shared" si="176"/>
        <v>48.812154563023455</v>
      </c>
      <c r="DR171" s="20">
        <f t="shared" si="177"/>
        <v>425.9708325305989</v>
      </c>
      <c r="DS171" s="59">
        <f t="shared" si="125"/>
        <v>719.30416586393221</v>
      </c>
      <c r="DT171" s="59">
        <f ca="1">AVERAGE(OFFSET($DS$3,0,0,'Données projet'!$E$14+1,1))-AVERAGE(OFFSET($H$3,0,0,'Données projet'!$E$14+1,1))</f>
        <v>278.45534008146865</v>
      </c>
      <c r="DU171" s="59">
        <f t="shared" si="152"/>
        <v>272.97841038165217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3.7679615131168376</v>
      </c>
      <c r="EB171" s="21">
        <f>EXP(-LN(2)/25)*EB170+(1-EXP(-LN(2)/25))/(LN(2)/25)*Calculateur!DW171*Calculateur!DY171*VLOOKUP('Données projet'!$B$14,Paramètres!$A$1:$I$89,3,0)*0.475*44/12</f>
        <v>0.54285442835437958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4.3108159414712173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5.6843418860808015E-13</v>
      </c>
      <c r="EK171" s="17">
        <f>EJ171*VLOOKUP('Données projet'!$B$15,Paramètres!$A$1:$I$89,3,0)*VLOOKUP('Données projet'!$B$15,Paramètres!$A$1:$I$89,5,0)</f>
        <v>6.1186256061773743E-13</v>
      </c>
      <c r="EL171" s="13">
        <f t="shared" si="179"/>
        <v>7.4445668332430206E-12</v>
      </c>
      <c r="EM171" s="20">
        <f t="shared" si="180"/>
        <v>1.4031614527640822E-11</v>
      </c>
      <c r="EN171" s="59">
        <f t="shared" si="128"/>
        <v>293.33333333334735</v>
      </c>
      <c r="EO171" s="59">
        <f ca="1">AVERAGE(OFFSET($EN$3,0,0,'Données projet'!$E$15+1,1))-AVERAGE(OFFSET($H$3,0,0,'Données projet'!$E$15+1,1))</f>
        <v>449.09332781196957</v>
      </c>
      <c r="EP171" s="59">
        <f t="shared" si="154"/>
        <v>324.85904971519432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97.757364212496157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97.757364212496157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5.6843418860808015E-13</v>
      </c>
      <c r="FF171" s="17">
        <f>FE171*VLOOKUP('Données projet'!$B$16,Paramètres!$A$1:$I$89,3,0)*VLOOKUP('Données projet'!$B$16,Paramètres!$A$1:$I$89,5,0)</f>
        <v>5.763922672485933E-13</v>
      </c>
      <c r="FG171" s="13">
        <f t="shared" si="182"/>
        <v>7.0619171555808457E-12</v>
      </c>
      <c r="FH171" s="20">
        <f t="shared" si="183"/>
        <v>1.3303388911427938E-11</v>
      </c>
      <c r="FI171" s="59">
        <f t="shared" si="131"/>
        <v>293.33333333334662</v>
      </c>
      <c r="FJ171" s="59">
        <f ca="1">AVERAGE(OFFSET($FI$3,0,0,'Données projet'!$E$16+1,1))-AVERAGE(OFFSET($H$3,0,0,'Données projet'!$E$16+1,1))</f>
        <v>419.51168383014721</v>
      </c>
      <c r="FK171" s="59">
        <f t="shared" si="156"/>
        <v>213.44145308833384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92.090270634960163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92.090270634960163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266.99999999999983</v>
      </c>
      <c r="GA171" s="17">
        <f>FZ171*VLOOKUP('Données projet'!$B$17,Paramètres!$A$1:$I$89,3,0)*VLOOKUP('Données projet'!$B$17,Paramètres!$A$1:$I$89,5,0)</f>
        <v>233.2511999999999</v>
      </c>
      <c r="GB171" s="13">
        <f t="shared" si="185"/>
        <v>56.985091661350864</v>
      </c>
      <c r="GC171" s="20">
        <f t="shared" si="186"/>
        <v>505.49487464351915</v>
      </c>
      <c r="GD171" s="59">
        <f t="shared" si="134"/>
        <v>798.82820797685247</v>
      </c>
      <c r="GE171" s="59">
        <f ca="1">AVERAGE(OFFSET($GD$3,0,0,'Données projet'!$E$17+1,1))-AVERAGE(OFFSET($H$3,0,0,'Données projet'!$E$17+1,1))</f>
        <v>324.86930206492627</v>
      </c>
      <c r="GF171" s="59">
        <f t="shared" si="158"/>
        <v>317.03005098025352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5.5335525833403088</v>
      </c>
      <c r="GM171" s="21">
        <f>EXP(-LN(2)/25)*GM170+(1-EXP(-LN(2)/25))/(LN(2)/25)*Calculateur!GH171*Calculateur!GJ171*VLOOKUP('Données projet'!$B$17,Paramètres!$A$1:$I$89,3,0)*0.475*44/12</f>
        <v>0.79722510804344338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6.3307776913837523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5.6843418860808015E-13</v>
      </c>
      <c r="GV171" s="17">
        <f>GU171*VLOOKUP('Données projet'!$B$18,Paramètres!$A$1:$I$89,3,0)*VLOOKUP('Données projet'!$B$18,Paramètres!$A$1:$I$89,5,0)</f>
        <v>5.4092197387944907E-13</v>
      </c>
      <c r="GW171" s="13">
        <f t="shared" si="188"/>
        <v>6.6765148417791561E-12</v>
      </c>
      <c r="GX171" s="20">
        <f t="shared" si="189"/>
        <v>1.2570369120605403E-11</v>
      </c>
      <c r="GY171" s="59">
        <f t="shared" si="137"/>
        <v>293.33333333334588</v>
      </c>
      <c r="GZ171" s="59">
        <f ca="1">AVERAGE(OFFSET($GY$3,0,0,'Données projet'!$E$18+1,1))-AVERAGE(OFFSET($H$3,0,0,'Données projet'!$E$18+1,1))</f>
        <v>401.81944956556271</v>
      </c>
      <c r="HA171" s="59">
        <f t="shared" si="160"/>
        <v>292.20785523952651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86.423177057424226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86.423177057424226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5.1431925385259092E-13</v>
      </c>
      <c r="P172" s="13">
        <f t="shared" si="141"/>
        <v>6.3855359115685756E-12</v>
      </c>
      <c r="Q172" s="20">
        <f t="shared" si="162"/>
        <v>1.2017247746441865E-11</v>
      </c>
      <c r="R172" s="59">
        <f t="shared" si="109"/>
        <v>293.33333333334531</v>
      </c>
      <c r="S172" s="59">
        <f ca="1">AVERAGE(OFFSET($R$3,0,0,'Données projet'!$E$9+1,1))-AVERAGE(OFFSET($H$3,0,0,'Données projet'!$E$9+1,1))</f>
        <v>384.05928630855732</v>
      </c>
      <c r="T172" s="59">
        <f t="shared" si="142"/>
        <v>279.93992813630513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-6.3550942286383367E-14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335.04906256888819</v>
      </c>
      <c r="AO172" s="59">
        <f t="shared" si="144"/>
        <v>440.84111898279554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23.706726703914843</v>
      </c>
      <c r="AV172" s="21">
        <f>EXP(-LN(2)/25)*AV171+(1-EXP(-LN(2)/25))/(LN(2)/25)*Calculateur!AQ172*Calculateur!AS172*VLOOKUP('Données projet'!$B$10,Paramètres!$A$1:$I$89,3,0)*0.475*44/12</f>
        <v>2.4422133909033978</v>
      </c>
      <c r="AW172" s="21">
        <f>EXP(-LN(2)/2)*AW171+(1-EXP(-LN(2)/2))/(LN(2)/2)*AQ172*AT172*VLOOKUP('Données projet'!$B$10,Paramètres!$A$1:$I$89,3,0)*0.475*44/12</f>
        <v>2.3704166410365763E-16</v>
      </c>
      <c r="AX172" s="21">
        <f t="shared" si="166"/>
        <v>26.14894009481824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-1.4210854715202004E-13</v>
      </c>
      <c r="BE172" s="13">
        <f>BD172*VLOOKUP('Données projet'!$B$11,Paramètres!$A$1:$I$89,3,0)*VLOOKUP('Données projet'!$B$11,Paramètres!$A$1:$I$89,5,0)</f>
        <v>-8.128608897095547E-14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320.76883487964511</v>
      </c>
      <c r="BJ172" s="59">
        <f t="shared" si="146"/>
        <v>290.51177680335746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28.413369684230872</v>
      </c>
      <c r="BQ172" s="21">
        <f>EXP(-LN(2)/25)*BQ171+(1-EXP(-LN(2)/25))/(LN(2)/25)*Calculateur!BL172*Calculateur!BN172*VLOOKUP('Données projet'!$B$11,Paramètres!$A$1:$I$89,3,0)*0.475*44/12</f>
        <v>3.7310971461048039</v>
      </c>
      <c r="BR172" s="21">
        <f>EXP(-LN(2)/2)*BR171+(1-EXP(-LN(2)/2))/(LN(2)/2)*BL172*BO172*VLOOKUP('Données projet'!$B$11,Paramètres!$A$1:$I$89,3,0)*0.475*44/12</f>
        <v>4.0930518488616612E-11</v>
      </c>
      <c r="BS172" s="22">
        <f t="shared" si="169"/>
        <v>32.144466830376601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304.99999999999983</v>
      </c>
      <c r="BZ172" s="13">
        <f>BY172*VLOOKUP('Données projet'!$B$12,Paramètres!$A$1:$I$89,3,0)*VLOOKUP('Données projet'!$B$12,Paramètres!$A$1:$I$89,5,0)</f>
        <v>275.96399999999983</v>
      </c>
      <c r="CA172" s="13">
        <f t="shared" si="170"/>
        <v>66.113366665488854</v>
      </c>
      <c r="CB172" s="20">
        <f t="shared" si="171"/>
        <v>595.78474694239264</v>
      </c>
      <c r="CC172" s="59">
        <f t="shared" si="119"/>
        <v>889.11808027572602</v>
      </c>
      <c r="CD172" s="59">
        <f ca="1">AVERAGE(OFFSET($CC$3,0,0,'Données projet'!$E$12+1,1))-AVERAGE(OFFSET($H$3,0,0,'Données projet'!$E$12+1,1))</f>
        <v>366.69125512029831</v>
      </c>
      <c r="CE172" s="59">
        <f t="shared" si="148"/>
        <v>513.80016421153414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0.10303716675599769</v>
      </c>
      <c r="CL172" s="21">
        <f>EXP(-LN(2)/25)*CL171+(1-EXP(-LN(2)/25))/(LN(2)/25)*Calculateur!CG172*Calculateur!CI172*VLOOKUP('Données projet'!$B$12,Paramètres!$A$1:$I$89,3,0)*0.475*44/12</f>
        <v>0.156497119635745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0.2595342863917427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5.6843418860808015E-13</v>
      </c>
      <c r="CU172" s="17">
        <f>CT172*VLOOKUP('Données projet'!$B$13,Paramètres!$A$1:$I$89,3,0)*VLOOKUP('Données projet'!$B$13,Paramètres!$A$1:$I$89,5,0)</f>
        <v>3.8130565371830017E-13</v>
      </c>
      <c r="CV172" s="13">
        <f t="shared" si="173"/>
        <v>4.9019074112354236E-12</v>
      </c>
      <c r="CW172" s="20">
        <f t="shared" si="174"/>
        <v>9.2015960881277352E-12</v>
      </c>
      <c r="CX172" s="59">
        <f t="shared" si="122"/>
        <v>293.33333333334252</v>
      </c>
      <c r="CY172" s="59">
        <f ca="1">AVERAGE(OFFSET($CX$3,0,0,'Données projet'!$E$13+1,1))-AVERAGE(OFFSET($H$3,0,0,'Données projet'!$E$13+1,1))</f>
        <v>294.94331863127815</v>
      </c>
      <c r="CZ172" s="59">
        <f t="shared" si="150"/>
        <v>218.36990036643977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73.616540610128496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73.616540610128496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266.99999999999983</v>
      </c>
      <c r="DP172" s="17">
        <f>DO172*VLOOKUP('Données projet'!$B$14,Paramètres!$A$1:$I$89,3,0)*VLOOKUP('Données projet'!$B$14,Paramètres!$A$1:$I$89,5,0)</f>
        <v>195.76439999999985</v>
      </c>
      <c r="DQ172" s="13">
        <f t="shared" si="176"/>
        <v>48.812154563023455</v>
      </c>
      <c r="DR172" s="20">
        <f t="shared" si="177"/>
        <v>425.9708325305989</v>
      </c>
      <c r="DS172" s="59">
        <f t="shared" si="125"/>
        <v>719.30416586393221</v>
      </c>
      <c r="DT172" s="59">
        <f ca="1">AVERAGE(OFFSET($DS$3,0,0,'Données projet'!$E$14+1,1))-AVERAGE(OFFSET($H$3,0,0,'Données projet'!$E$14+1,1))</f>
        <v>278.45534008146865</v>
      </c>
      <c r="DU172" s="59">
        <f t="shared" si="152"/>
        <v>272.97841038165217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3.6940740860742083</v>
      </c>
      <c r="EB172" s="21">
        <f>EXP(-LN(2)/25)*EB171+(1-EXP(-LN(2)/25))/(LN(2)/25)*Calculateur!DW172*Calculateur!DY172*VLOOKUP('Données projet'!$B$14,Paramètres!$A$1:$I$89,3,0)*0.475*44/12</f>
        <v>0.52801004546355534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4.2220841315377635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5.6843418860808015E-13</v>
      </c>
      <c r="EK172" s="17">
        <f>EJ172*VLOOKUP('Données projet'!$B$15,Paramètres!$A$1:$I$89,3,0)*VLOOKUP('Données projet'!$B$15,Paramètres!$A$1:$I$89,5,0)</f>
        <v>6.1186256061773743E-13</v>
      </c>
      <c r="EL172" s="13">
        <f t="shared" si="179"/>
        <v>7.4445668332430206E-12</v>
      </c>
      <c r="EM172" s="20">
        <f t="shared" si="180"/>
        <v>1.4031614527640822E-11</v>
      </c>
      <c r="EN172" s="59">
        <f t="shared" si="128"/>
        <v>293.33333333334735</v>
      </c>
      <c r="EO172" s="59">
        <f ca="1">AVERAGE(OFFSET($EN$3,0,0,'Données projet'!$E$15+1,1))-AVERAGE(OFFSET($H$3,0,0,'Données projet'!$E$15+1,1))</f>
        <v>449.09332781196957</v>
      </c>
      <c r="EP172" s="59">
        <f t="shared" si="154"/>
        <v>324.85904971519432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95.840401926393682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95.840401926393682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5.6843418860808015E-13</v>
      </c>
      <c r="FF172" s="17">
        <f>FE172*VLOOKUP('Données projet'!$B$16,Paramètres!$A$1:$I$89,3,0)*VLOOKUP('Données projet'!$B$16,Paramètres!$A$1:$I$89,5,0)</f>
        <v>5.763922672485933E-13</v>
      </c>
      <c r="FG172" s="13">
        <f t="shared" si="182"/>
        <v>7.0619171555808457E-12</v>
      </c>
      <c r="FH172" s="20">
        <f t="shared" si="183"/>
        <v>1.3303388911427938E-11</v>
      </c>
      <c r="FI172" s="59">
        <f t="shared" si="131"/>
        <v>293.33333333334662</v>
      </c>
      <c r="FJ172" s="59">
        <f ca="1">AVERAGE(OFFSET($FI$3,0,0,'Données projet'!$E$16+1,1))-AVERAGE(OFFSET($H$3,0,0,'Données projet'!$E$16+1,1))</f>
        <v>419.51168383014721</v>
      </c>
      <c r="FK172" s="59">
        <f t="shared" si="156"/>
        <v>213.44145308833384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90.284436597327399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90.284436597327399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266.99999999999983</v>
      </c>
      <c r="GA172" s="17">
        <f>FZ172*VLOOKUP('Données projet'!$B$17,Paramètres!$A$1:$I$89,3,0)*VLOOKUP('Données projet'!$B$17,Paramètres!$A$1:$I$89,5,0)</f>
        <v>233.2511999999999</v>
      </c>
      <c r="GB172" s="13">
        <f t="shared" si="185"/>
        <v>56.985091661350864</v>
      </c>
      <c r="GC172" s="20">
        <f t="shared" si="186"/>
        <v>505.49487464351915</v>
      </c>
      <c r="GD172" s="59">
        <f t="shared" si="134"/>
        <v>798.82820797685247</v>
      </c>
      <c r="GE172" s="59">
        <f ca="1">AVERAGE(OFFSET($GD$3,0,0,'Données projet'!$E$17+1,1))-AVERAGE(OFFSET($H$3,0,0,'Données projet'!$E$17+1,1))</f>
        <v>324.86930206492627</v>
      </c>
      <c r="GF172" s="59">
        <f t="shared" si="158"/>
        <v>317.03005098025352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5.4250429923148147</v>
      </c>
      <c r="GM172" s="21">
        <f>EXP(-LN(2)/25)*GM171+(1-EXP(-LN(2)/25))/(LN(2)/25)*Calculateur!GH172*Calculateur!GJ172*VLOOKUP('Données projet'!$B$17,Paramètres!$A$1:$I$89,3,0)*0.475*44/12</f>
        <v>0.77542494553974906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6.2004679378545635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5.6843418860808015E-13</v>
      </c>
      <c r="GV172" s="17">
        <f>GU172*VLOOKUP('Données projet'!$B$18,Paramètres!$A$1:$I$89,3,0)*VLOOKUP('Données projet'!$B$18,Paramètres!$A$1:$I$89,5,0)</f>
        <v>5.4092197387944907E-13</v>
      </c>
      <c r="GW172" s="13">
        <f t="shared" si="188"/>
        <v>6.6765148417791561E-12</v>
      </c>
      <c r="GX172" s="20">
        <f t="shared" si="189"/>
        <v>1.2570369120605403E-11</v>
      </c>
      <c r="GY172" s="59">
        <f t="shared" si="137"/>
        <v>293.33333333334588</v>
      </c>
      <c r="GZ172" s="59">
        <f ca="1">AVERAGE(OFFSET($GY$3,0,0,'Données projet'!$E$18+1,1))-AVERAGE(OFFSET($H$3,0,0,'Données projet'!$E$18+1,1))</f>
        <v>401.81944956556271</v>
      </c>
      <c r="HA172" s="59">
        <f t="shared" si="160"/>
        <v>292.20785523952651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84.728471268261174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84.728471268261174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5.1431925385259092E-13</v>
      </c>
      <c r="P173" s="13">
        <f t="shared" si="141"/>
        <v>6.3855359115685756E-12</v>
      </c>
      <c r="Q173" s="20">
        <f t="shared" si="162"/>
        <v>1.2017247746441865E-11</v>
      </c>
      <c r="R173" s="59">
        <f t="shared" si="109"/>
        <v>293.33333333334531</v>
      </c>
      <c r="S173" s="59">
        <f ca="1">AVERAGE(OFFSET($R$3,0,0,'Données projet'!$E$9+1,1))-AVERAGE(OFFSET($H$3,0,0,'Données projet'!$E$9+1,1))</f>
        <v>384.05928630855732</v>
      </c>
      <c r="T173" s="59">
        <f t="shared" si="142"/>
        <v>279.93992813630513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-6.3550942286383367E-14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335.04906256888819</v>
      </c>
      <c r="AO173" s="59">
        <f t="shared" si="144"/>
        <v>440.84111898279554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23.241852252926588</v>
      </c>
      <c r="AV173" s="21">
        <f>EXP(-LN(2)/25)*AV172+(1-EXP(-LN(2)/25))/(LN(2)/25)*Calculateur!AQ173*Calculateur!AS173*VLOOKUP('Données projet'!$B$10,Paramètres!$A$1:$I$89,3,0)*0.475*44/12</f>
        <v>2.3754309372987241</v>
      </c>
      <c r="AW173" s="21">
        <f>EXP(-LN(2)/2)*AW172+(1-EXP(-LN(2)/2))/(LN(2)/2)*AQ173*AT173*VLOOKUP('Données projet'!$B$10,Paramètres!$A$1:$I$89,3,0)*0.475*44/12</f>
        <v>1.6761376811144013E-16</v>
      </c>
      <c r="AX173" s="21">
        <f t="shared" si="166"/>
        <v>25.617283190225312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-1.4210854715202004E-13</v>
      </c>
      <c r="BE173" s="13">
        <f>BD173*VLOOKUP('Données projet'!$B$11,Paramètres!$A$1:$I$89,3,0)*VLOOKUP('Données projet'!$B$11,Paramètres!$A$1:$I$89,5,0)</f>
        <v>-8.128608897095547E-14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320.76883487964511</v>
      </c>
      <c r="BJ173" s="59">
        <f t="shared" si="146"/>
        <v>290.51177680335746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27.856200835167375</v>
      </c>
      <c r="BQ173" s="21">
        <f>EXP(-LN(2)/25)*BQ172+(1-EXP(-LN(2)/25))/(LN(2)/25)*Calculateur!BL173*Calculateur!BN173*VLOOKUP('Données projet'!$B$11,Paramètres!$A$1:$I$89,3,0)*0.475*44/12</f>
        <v>3.6290700984346969</v>
      </c>
      <c r="BR173" s="21">
        <f>EXP(-LN(2)/2)*BR172+(1-EXP(-LN(2)/2))/(LN(2)/2)*BL173*BO173*VLOOKUP('Données projet'!$B$11,Paramètres!$A$1:$I$89,3,0)*0.475*44/12</f>
        <v>2.8942247180782165E-11</v>
      </c>
      <c r="BS173" s="22">
        <f t="shared" si="169"/>
        <v>31.485270933631014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304.99999999999983</v>
      </c>
      <c r="BZ173" s="13">
        <f>BY173*VLOOKUP('Données projet'!$B$12,Paramètres!$A$1:$I$89,3,0)*VLOOKUP('Données projet'!$B$12,Paramètres!$A$1:$I$89,5,0)</f>
        <v>275.96399999999983</v>
      </c>
      <c r="CA173" s="13">
        <f t="shared" si="170"/>
        <v>66.113366665488854</v>
      </c>
      <c r="CB173" s="20">
        <f t="shared" si="171"/>
        <v>595.78474694239264</v>
      </c>
      <c r="CC173" s="59">
        <f t="shared" si="119"/>
        <v>889.11808027572602</v>
      </c>
      <c r="CD173" s="59">
        <f ca="1">AVERAGE(OFFSET($CC$3,0,0,'Données projet'!$E$12+1,1))-AVERAGE(OFFSET($H$3,0,0,'Données projet'!$E$12+1,1))</f>
        <v>366.69125512029831</v>
      </c>
      <c r="CE173" s="59">
        <f t="shared" si="148"/>
        <v>513.80016421153414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0.10101667076237873</v>
      </c>
      <c r="CL173" s="21">
        <f>EXP(-LN(2)/25)*CL172+(1-EXP(-LN(2)/25))/(LN(2)/25)*Calculateur!CG173*Calculateur!CI173*VLOOKUP('Données projet'!$B$12,Paramètres!$A$1:$I$89,3,0)*0.475*44/12</f>
        <v>0.15221769766947971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0.25323436843185843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5.6843418860808015E-13</v>
      </c>
      <c r="CU173" s="17">
        <f>CT173*VLOOKUP('Données projet'!$B$13,Paramètres!$A$1:$I$89,3,0)*VLOOKUP('Données projet'!$B$13,Paramètres!$A$1:$I$89,5,0)</f>
        <v>3.8130565371830017E-13</v>
      </c>
      <c r="CV173" s="13">
        <f t="shared" si="173"/>
        <v>4.9019074112354236E-12</v>
      </c>
      <c r="CW173" s="20">
        <f t="shared" si="174"/>
        <v>9.2015960881277352E-12</v>
      </c>
      <c r="CX173" s="59">
        <f t="shared" si="122"/>
        <v>293.33333333334252</v>
      </c>
      <c r="CY173" s="59">
        <f ca="1">AVERAGE(OFFSET($CX$3,0,0,'Données projet'!$E$13+1,1))-AVERAGE(OFFSET($H$3,0,0,'Données projet'!$E$13+1,1))</f>
        <v>294.94331863127815</v>
      </c>
      <c r="CZ173" s="59">
        <f t="shared" si="150"/>
        <v>218.36990036643977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72.172965150419984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72.172965150419984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266.99999999999983</v>
      </c>
      <c r="DP173" s="17">
        <f>DO173*VLOOKUP('Données projet'!$B$14,Paramètres!$A$1:$I$89,3,0)*VLOOKUP('Données projet'!$B$14,Paramètres!$A$1:$I$89,5,0)</f>
        <v>195.76439999999985</v>
      </c>
      <c r="DQ173" s="13">
        <f t="shared" si="176"/>
        <v>48.812154563023455</v>
      </c>
      <c r="DR173" s="20">
        <f t="shared" si="177"/>
        <v>425.9708325305989</v>
      </c>
      <c r="DS173" s="59">
        <f t="shared" si="125"/>
        <v>719.30416586393221</v>
      </c>
      <c r="DT173" s="59">
        <f ca="1">AVERAGE(OFFSET($DS$3,0,0,'Données projet'!$E$14+1,1))-AVERAGE(OFFSET($H$3,0,0,'Données projet'!$E$14+1,1))</f>
        <v>278.45534008146865</v>
      </c>
      <c r="DU173" s="59">
        <f t="shared" si="152"/>
        <v>272.97841038165217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3.6216355464090042</v>
      </c>
      <c r="EB173" s="21">
        <f>EXP(-LN(2)/25)*EB172+(1-EXP(-LN(2)/25))/(LN(2)/25)*Calculateur!DW173*Calculateur!DY173*VLOOKUP('Données projet'!$B$14,Paramètres!$A$1:$I$89,3,0)*0.475*44/12</f>
        <v>0.51357158300351291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4.1352071294125174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5.6843418860808015E-13</v>
      </c>
      <c r="EK173" s="17">
        <f>EJ173*VLOOKUP('Données projet'!$B$15,Paramètres!$A$1:$I$89,3,0)*VLOOKUP('Données projet'!$B$15,Paramètres!$A$1:$I$89,5,0)</f>
        <v>6.1186256061773743E-13</v>
      </c>
      <c r="EL173" s="13">
        <f t="shared" si="179"/>
        <v>7.4445668332430206E-12</v>
      </c>
      <c r="EM173" s="20">
        <f t="shared" si="180"/>
        <v>1.4031614527640822E-11</v>
      </c>
      <c r="EN173" s="59">
        <f t="shared" si="128"/>
        <v>293.33333333334735</v>
      </c>
      <c r="EO173" s="59">
        <f ca="1">AVERAGE(OFFSET($EN$3,0,0,'Données projet'!$E$15+1,1))-AVERAGE(OFFSET($H$3,0,0,'Données projet'!$E$15+1,1))</f>
        <v>449.09332781196957</v>
      </c>
      <c r="EP173" s="59">
        <f t="shared" si="154"/>
        <v>324.85904971519432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93.961030101490138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93.961030101490138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5.6843418860808015E-13</v>
      </c>
      <c r="FF173" s="17">
        <f>FE173*VLOOKUP('Données projet'!$B$16,Paramètres!$A$1:$I$89,3,0)*VLOOKUP('Données projet'!$B$16,Paramètres!$A$1:$I$89,5,0)</f>
        <v>5.763922672485933E-13</v>
      </c>
      <c r="FG173" s="13">
        <f t="shared" si="182"/>
        <v>7.0619171555808457E-12</v>
      </c>
      <c r="FH173" s="20">
        <f t="shared" si="183"/>
        <v>1.3303388911427938E-11</v>
      </c>
      <c r="FI173" s="59">
        <f t="shared" si="131"/>
        <v>293.33333333334662</v>
      </c>
      <c r="FJ173" s="59">
        <f ca="1">AVERAGE(OFFSET($FI$3,0,0,'Données projet'!$E$16+1,1))-AVERAGE(OFFSET($H$3,0,0,'Données projet'!$E$16+1,1))</f>
        <v>419.51168383014721</v>
      </c>
      <c r="FK173" s="59">
        <f t="shared" si="156"/>
        <v>213.44145308833384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88.51401386372261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88.51401386372261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266.99999999999983</v>
      </c>
      <c r="GA173" s="17">
        <f>FZ173*VLOOKUP('Données projet'!$B$17,Paramètres!$A$1:$I$89,3,0)*VLOOKUP('Données projet'!$B$17,Paramètres!$A$1:$I$89,5,0)</f>
        <v>233.2511999999999</v>
      </c>
      <c r="GB173" s="13">
        <f t="shared" si="185"/>
        <v>56.985091661350864</v>
      </c>
      <c r="GC173" s="20">
        <f t="shared" si="186"/>
        <v>505.49487464351915</v>
      </c>
      <c r="GD173" s="59">
        <f t="shared" si="134"/>
        <v>798.82820797685247</v>
      </c>
      <c r="GE173" s="59">
        <f ca="1">AVERAGE(OFFSET($GD$3,0,0,'Données projet'!$E$17+1,1))-AVERAGE(OFFSET($H$3,0,0,'Données projet'!$E$17+1,1))</f>
        <v>324.86930206492627</v>
      </c>
      <c r="GF173" s="59">
        <f t="shared" si="158"/>
        <v>317.03005098025352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5.3186612081850146</v>
      </c>
      <c r="GM173" s="21">
        <f>EXP(-LN(2)/25)*GM172+(1-EXP(-LN(2)/25))/(LN(2)/25)*Calculateur!GH173*Calculateur!GJ173*VLOOKUP('Données projet'!$B$17,Paramètres!$A$1:$I$89,3,0)*0.475*44/12</f>
        <v>0.75422090962613897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6.0728821178111536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5.6843418860808015E-13</v>
      </c>
      <c r="GV173" s="17">
        <f>GU173*VLOOKUP('Données projet'!$B$18,Paramètres!$A$1:$I$89,3,0)*VLOOKUP('Données projet'!$B$18,Paramètres!$A$1:$I$89,5,0)</f>
        <v>5.4092197387944907E-13</v>
      </c>
      <c r="GW173" s="13">
        <f t="shared" si="188"/>
        <v>6.6765148417791561E-12</v>
      </c>
      <c r="GX173" s="20">
        <f t="shared" si="189"/>
        <v>1.2570369120605403E-11</v>
      </c>
      <c r="GY173" s="59">
        <f t="shared" si="137"/>
        <v>293.33333333334588</v>
      </c>
      <c r="GZ173" s="59">
        <f ca="1">AVERAGE(OFFSET($GY$3,0,0,'Données projet'!$E$18+1,1))-AVERAGE(OFFSET($H$3,0,0,'Données projet'!$E$18+1,1))</f>
        <v>401.81944956556271</v>
      </c>
      <c r="HA173" s="59">
        <f t="shared" si="160"/>
        <v>292.20785523952651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83.066997625955139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83.066997625955139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5.1431925385259092E-13</v>
      </c>
      <c r="P174" s="13">
        <f t="shared" si="141"/>
        <v>6.3855359115685756E-12</v>
      </c>
      <c r="Q174" s="20">
        <f t="shared" si="162"/>
        <v>1.2017247746441865E-11</v>
      </c>
      <c r="R174" s="59">
        <f t="shared" si="109"/>
        <v>293.33333333334531</v>
      </c>
      <c r="S174" s="59">
        <f ca="1">AVERAGE(OFFSET($R$3,0,0,'Données projet'!$E$9+1,1))-AVERAGE(OFFSET($H$3,0,0,'Données projet'!$E$9+1,1))</f>
        <v>384.05928630855732</v>
      </c>
      <c r="T174" s="59">
        <f t="shared" si="142"/>
        <v>279.93992813630513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-6.3550942286383367E-14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335.04906256888819</v>
      </c>
      <c r="AO174" s="59">
        <f t="shared" si="144"/>
        <v>440.84111898279554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22.786093706376796</v>
      </c>
      <c r="AV174" s="21">
        <f>EXP(-LN(2)/25)*AV173+(1-EXP(-LN(2)/25))/(LN(2)/25)*Calculateur!AQ174*Calculateur!AS174*VLOOKUP('Données projet'!$B$10,Paramètres!$A$1:$I$89,3,0)*0.475*44/12</f>
        <v>2.3104746533998068</v>
      </c>
      <c r="AW174" s="21">
        <f>EXP(-LN(2)/2)*AW173+(1-EXP(-LN(2)/2))/(LN(2)/2)*AQ174*AT174*VLOOKUP('Données projet'!$B$10,Paramètres!$A$1:$I$89,3,0)*0.475*44/12</f>
        <v>1.1852083205182882E-16</v>
      </c>
      <c r="AX174" s="21">
        <f t="shared" si="166"/>
        <v>25.096568359776604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-1.4210854715202004E-13</v>
      </c>
      <c r="BE174" s="13">
        <f>BD174*VLOOKUP('Données projet'!$B$11,Paramètres!$A$1:$I$89,3,0)*VLOOKUP('Données projet'!$B$11,Paramètres!$A$1:$I$89,5,0)</f>
        <v>-8.128608897095547E-14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320.76883487964511</v>
      </c>
      <c r="BJ174" s="59">
        <f t="shared" si="146"/>
        <v>290.51177680335746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27.309957727394568</v>
      </c>
      <c r="BQ174" s="21">
        <f>EXP(-LN(2)/25)*BQ173+(1-EXP(-LN(2)/25))/(LN(2)/25)*Calculateur!BL174*Calculateur!BN174*VLOOKUP('Données projet'!$B$11,Paramètres!$A$1:$I$89,3,0)*0.475*44/12</f>
        <v>3.5298329857484978</v>
      </c>
      <c r="BR174" s="21">
        <f>EXP(-LN(2)/2)*BR173+(1-EXP(-LN(2)/2))/(LN(2)/2)*BL174*BO174*VLOOKUP('Données projet'!$B$11,Paramètres!$A$1:$I$89,3,0)*0.475*44/12</f>
        <v>2.0465259244308309E-11</v>
      </c>
      <c r="BS174" s="22">
        <f t="shared" si="169"/>
        <v>30.839790713163531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304.99999999999983</v>
      </c>
      <c r="BZ174" s="13">
        <f>BY174*VLOOKUP('Données projet'!$B$12,Paramètres!$A$1:$I$89,3,0)*VLOOKUP('Données projet'!$B$12,Paramètres!$A$1:$I$89,5,0)</f>
        <v>275.96399999999983</v>
      </c>
      <c r="CA174" s="13">
        <f t="shared" si="170"/>
        <v>66.113366665488854</v>
      </c>
      <c r="CB174" s="20">
        <f t="shared" si="171"/>
        <v>595.78474694239264</v>
      </c>
      <c r="CC174" s="59">
        <f t="shared" si="119"/>
        <v>889.11808027572602</v>
      </c>
      <c r="CD174" s="59">
        <f ca="1">AVERAGE(OFFSET($CC$3,0,0,'Données projet'!$E$12+1,1))-AVERAGE(OFFSET($H$3,0,0,'Données projet'!$E$12+1,1))</f>
        <v>366.69125512029831</v>
      </c>
      <c r="CE174" s="59">
        <f t="shared" si="148"/>
        <v>513.80016421153414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9.9035795462813769E-2</v>
      </c>
      <c r="CL174" s="21">
        <f>EXP(-LN(2)/25)*CL173+(1-EXP(-LN(2)/25))/(LN(2)/25)*Calculateur!CG174*Calculateur!CI174*VLOOKUP('Données projet'!$B$12,Paramètres!$A$1:$I$89,3,0)*0.475*44/12</f>
        <v>0.14805529672192697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0.24709109218474073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5.6843418860808015E-13</v>
      </c>
      <c r="CU174" s="17">
        <f>CT174*VLOOKUP('Données projet'!$B$13,Paramètres!$A$1:$I$89,3,0)*VLOOKUP('Données projet'!$B$13,Paramètres!$A$1:$I$89,5,0)</f>
        <v>3.8130565371830017E-13</v>
      </c>
      <c r="CV174" s="13">
        <f t="shared" si="173"/>
        <v>4.9019074112354236E-12</v>
      </c>
      <c r="CW174" s="20">
        <f t="shared" si="174"/>
        <v>9.2015960881277352E-12</v>
      </c>
      <c r="CX174" s="59">
        <f t="shared" si="122"/>
        <v>293.33333333334252</v>
      </c>
      <c r="CY174" s="59">
        <f ca="1">AVERAGE(OFFSET($CX$3,0,0,'Données projet'!$E$13+1,1))-AVERAGE(OFFSET($H$3,0,0,'Données projet'!$E$13+1,1))</f>
        <v>294.94331863127815</v>
      </c>
      <c r="CZ174" s="59">
        <f t="shared" si="150"/>
        <v>218.36990036643977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70.75769732498226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70.75769732498226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266.99999999999983</v>
      </c>
      <c r="DP174" s="17">
        <f>DO174*VLOOKUP('Données projet'!$B$14,Paramètres!$A$1:$I$89,3,0)*VLOOKUP('Données projet'!$B$14,Paramètres!$A$1:$I$89,5,0)</f>
        <v>195.76439999999985</v>
      </c>
      <c r="DQ174" s="13">
        <f t="shared" si="176"/>
        <v>48.812154563023455</v>
      </c>
      <c r="DR174" s="20">
        <f t="shared" si="177"/>
        <v>425.9708325305989</v>
      </c>
      <c r="DS174" s="59">
        <f t="shared" si="125"/>
        <v>719.30416586393221</v>
      </c>
      <c r="DT174" s="59">
        <f ca="1">AVERAGE(OFFSET($DS$3,0,0,'Données projet'!$E$14+1,1))-AVERAGE(OFFSET($H$3,0,0,'Données projet'!$E$14+1,1))</f>
        <v>278.45534008146865</v>
      </c>
      <c r="DU174" s="59">
        <f t="shared" si="152"/>
        <v>272.97841038165217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3.5506174823234882</v>
      </c>
      <c r="EB174" s="21">
        <f>EXP(-LN(2)/25)*EB173+(1-EXP(-LN(2)/25))/(LN(2)/25)*Calculateur!DW174*Calculateur!DY174*VLOOKUP('Données projet'!$B$14,Paramètres!$A$1:$I$89,3,0)*0.475*44/12</f>
        <v>0.49952794105872611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4.0501454233822143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5.6843418860808015E-13</v>
      </c>
      <c r="EK174" s="17">
        <f>EJ174*VLOOKUP('Données projet'!$B$15,Paramètres!$A$1:$I$89,3,0)*VLOOKUP('Données projet'!$B$15,Paramètres!$A$1:$I$89,5,0)</f>
        <v>6.1186256061773743E-13</v>
      </c>
      <c r="EL174" s="13">
        <f t="shared" si="179"/>
        <v>7.4445668332430206E-12</v>
      </c>
      <c r="EM174" s="20">
        <f t="shared" si="180"/>
        <v>1.4031614527640822E-11</v>
      </c>
      <c r="EN174" s="59">
        <f t="shared" si="128"/>
        <v>293.33333333334735</v>
      </c>
      <c r="EO174" s="59">
        <f ca="1">AVERAGE(OFFSET($EN$3,0,0,'Données projet'!$E$15+1,1))-AVERAGE(OFFSET($H$3,0,0,'Données projet'!$E$15+1,1))</f>
        <v>449.09332781196957</v>
      </c>
      <c r="EP174" s="59">
        <f t="shared" si="154"/>
        <v>324.85904971519432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92.118511611769335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92.118511611769335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5.6843418860808015E-13</v>
      </c>
      <c r="FF174" s="17">
        <f>FE174*VLOOKUP('Données projet'!$B$16,Paramètres!$A$1:$I$89,3,0)*VLOOKUP('Données projet'!$B$16,Paramètres!$A$1:$I$89,5,0)</f>
        <v>5.763922672485933E-13</v>
      </c>
      <c r="FG174" s="13">
        <f t="shared" si="182"/>
        <v>7.0619171555808457E-12</v>
      </c>
      <c r="FH174" s="20">
        <f t="shared" si="183"/>
        <v>1.3303388911427938E-11</v>
      </c>
      <c r="FI174" s="59">
        <f t="shared" si="131"/>
        <v>293.33333333334662</v>
      </c>
      <c r="FJ174" s="59">
        <f ca="1">AVERAGE(OFFSET($FI$3,0,0,'Données projet'!$E$16+1,1))-AVERAGE(OFFSET($H$3,0,0,'Données projet'!$E$16+1,1))</f>
        <v>419.51168383014721</v>
      </c>
      <c r="FK174" s="59">
        <f t="shared" si="156"/>
        <v>213.44145308833384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86.778308040072574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86.778308040072574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266.99999999999983</v>
      </c>
      <c r="GA174" s="17">
        <f>FZ174*VLOOKUP('Données projet'!$B$17,Paramètres!$A$1:$I$89,3,0)*VLOOKUP('Données projet'!$B$17,Paramètres!$A$1:$I$89,5,0)</f>
        <v>233.2511999999999</v>
      </c>
      <c r="GB174" s="13">
        <f t="shared" si="185"/>
        <v>56.985091661350864</v>
      </c>
      <c r="GC174" s="20">
        <f t="shared" si="186"/>
        <v>505.49487464351915</v>
      </c>
      <c r="GD174" s="59">
        <f t="shared" si="134"/>
        <v>798.82820797685247</v>
      </c>
      <c r="GE174" s="59">
        <f ca="1">AVERAGE(OFFSET($GD$3,0,0,'Données projet'!$E$17+1,1))-AVERAGE(OFFSET($H$3,0,0,'Données projet'!$E$17+1,1))</f>
        <v>324.86930206492627</v>
      </c>
      <c r="GF174" s="59">
        <f t="shared" si="158"/>
        <v>317.03005098025352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5.2143655059555192</v>
      </c>
      <c r="GM174" s="21">
        <f>EXP(-LN(2)/25)*GM173+(1-EXP(-LN(2)/25))/(LN(2)/25)*Calculateur!GH174*Calculateur!GJ174*VLOOKUP('Données projet'!$B$17,Paramètres!$A$1:$I$89,3,0)*0.475*44/12</f>
        <v>0.73359669918965831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5.9479622051451777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5.6843418860808015E-13</v>
      </c>
      <c r="GV174" s="17">
        <f>GU174*VLOOKUP('Données projet'!$B$18,Paramètres!$A$1:$I$89,3,0)*VLOOKUP('Données projet'!$B$18,Paramètres!$A$1:$I$89,5,0)</f>
        <v>5.4092197387944907E-13</v>
      </c>
      <c r="GW174" s="13">
        <f t="shared" si="188"/>
        <v>6.6765148417791561E-12</v>
      </c>
      <c r="GX174" s="20">
        <f t="shared" si="189"/>
        <v>1.2570369120605403E-11</v>
      </c>
      <c r="GY174" s="59">
        <f t="shared" si="137"/>
        <v>293.33333333334588</v>
      </c>
      <c r="GZ174" s="59">
        <f ca="1">AVERAGE(OFFSET($GY$3,0,0,'Données projet'!$E$18+1,1))-AVERAGE(OFFSET($H$3,0,0,'Données projet'!$E$18+1,1))</f>
        <v>401.81944956556271</v>
      </c>
      <c r="HA174" s="59">
        <f t="shared" si="160"/>
        <v>292.20785523952651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81.438104468375869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81.438104468375869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5.1431925385259092E-13</v>
      </c>
      <c r="P175" s="13">
        <f t="shared" si="141"/>
        <v>6.3855359115685756E-12</v>
      </c>
      <c r="Q175" s="20">
        <f t="shared" si="162"/>
        <v>1.2017247746441865E-11</v>
      </c>
      <c r="R175" s="59">
        <f t="shared" si="109"/>
        <v>293.33333333334531</v>
      </c>
      <c r="S175" s="59">
        <f ca="1">AVERAGE(OFFSET($R$3,0,0,'Données projet'!$E$9+1,1))-AVERAGE(OFFSET($H$3,0,0,'Données projet'!$E$9+1,1))</f>
        <v>384.05928630855732</v>
      </c>
      <c r="T175" s="59">
        <f t="shared" si="142"/>
        <v>279.93992813630513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-6.3550942286383367E-14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335.04906256888819</v>
      </c>
      <c r="AO175" s="59">
        <f t="shared" si="144"/>
        <v>440.84111898279554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22.339272306939581</v>
      </c>
      <c r="AV175" s="21">
        <f>EXP(-LN(2)/25)*AV174+(1-EXP(-LN(2)/25))/(LN(2)/25)*Calculateur!AQ175*Calculateur!AS175*VLOOKUP('Données projet'!$B$10,Paramètres!$A$1:$I$89,3,0)*0.475*44/12</f>
        <v>2.2472946025000078</v>
      </c>
      <c r="AW175" s="21">
        <f>EXP(-LN(2)/2)*AW174+(1-EXP(-LN(2)/2))/(LN(2)/2)*AQ175*AT175*VLOOKUP('Données projet'!$B$10,Paramètres!$A$1:$I$89,3,0)*0.475*44/12</f>
        <v>8.3806884055720067E-17</v>
      </c>
      <c r="AX175" s="21">
        <f t="shared" si="166"/>
        <v>24.58656690943959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-1.4210854715202004E-13</v>
      </c>
      <c r="BE175" s="13">
        <f>BD175*VLOOKUP('Données projet'!$B$11,Paramètres!$A$1:$I$89,3,0)*VLOOKUP('Données projet'!$B$11,Paramètres!$A$1:$I$89,5,0)</f>
        <v>-8.128608897095547E-14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320.76883487964511</v>
      </c>
      <c r="BJ175" s="59">
        <f t="shared" si="146"/>
        <v>290.51177680335746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26.77442611378979</v>
      </c>
      <c r="BQ175" s="21">
        <f>EXP(-LN(2)/25)*BQ174+(1-EXP(-LN(2)/25))/(LN(2)/25)*Calculateur!BL175*Calculateur!BN175*VLOOKUP('Données projet'!$B$11,Paramètres!$A$1:$I$89,3,0)*0.475*44/12</f>
        <v>3.433309517127356</v>
      </c>
      <c r="BR175" s="21">
        <f>EXP(-LN(2)/2)*BR174+(1-EXP(-LN(2)/2))/(LN(2)/2)*BL175*BO175*VLOOKUP('Données projet'!$B$11,Paramètres!$A$1:$I$89,3,0)*0.475*44/12</f>
        <v>1.4471123590391086E-11</v>
      </c>
      <c r="BS175" s="22">
        <f t="shared" si="169"/>
        <v>30.207735630931616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304.99999999999983</v>
      </c>
      <c r="BZ175" s="13">
        <f>BY175*VLOOKUP('Données projet'!$B$12,Paramètres!$A$1:$I$89,3,0)*VLOOKUP('Données projet'!$B$12,Paramètres!$A$1:$I$89,5,0)</f>
        <v>275.96399999999983</v>
      </c>
      <c r="CA175" s="13">
        <f t="shared" si="170"/>
        <v>66.113366665488854</v>
      </c>
      <c r="CB175" s="20">
        <f t="shared" si="171"/>
        <v>595.78474694239264</v>
      </c>
      <c r="CC175" s="59">
        <f t="shared" si="119"/>
        <v>889.11808027572602</v>
      </c>
      <c r="CD175" s="59">
        <f ca="1">AVERAGE(OFFSET($CC$3,0,0,'Données projet'!$E$12+1,1))-AVERAGE(OFFSET($H$3,0,0,'Données projet'!$E$12+1,1))</f>
        <v>366.69125512029831</v>
      </c>
      <c r="CE175" s="59">
        <f t="shared" si="148"/>
        <v>513.80016421153414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9.7093763919658641E-2</v>
      </c>
      <c r="CL175" s="21">
        <f>EXP(-LN(2)/25)*CL174+(1-EXP(-LN(2)/25))/(LN(2)/25)*Calculateur!CG175*Calculateur!CI175*VLOOKUP('Données projet'!$B$12,Paramètres!$A$1:$I$89,3,0)*0.475*44/12</f>
        <v>0.1440067168471762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0.24110048076683482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5.6843418860808015E-13</v>
      </c>
      <c r="CU175" s="17">
        <f>CT175*VLOOKUP('Données projet'!$B$13,Paramètres!$A$1:$I$89,3,0)*VLOOKUP('Données projet'!$B$13,Paramètres!$A$1:$I$89,5,0)</f>
        <v>3.8130565371830017E-13</v>
      </c>
      <c r="CV175" s="13">
        <f t="shared" si="173"/>
        <v>4.9019074112354236E-12</v>
      </c>
      <c r="CW175" s="20">
        <f t="shared" si="174"/>
        <v>9.2015960881277352E-12</v>
      </c>
      <c r="CX175" s="59">
        <f t="shared" si="122"/>
        <v>293.33333333334252</v>
      </c>
      <c r="CY175" s="59">
        <f ca="1">AVERAGE(OFFSET($CX$3,0,0,'Données projet'!$E$13+1,1))-AVERAGE(OFFSET($H$3,0,0,'Données projet'!$E$13+1,1))</f>
        <v>294.94331863127815</v>
      </c>
      <c r="CZ175" s="59">
        <f t="shared" si="150"/>
        <v>218.36990036643977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69.37018203837323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69.37018203837323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266.99999999999983</v>
      </c>
      <c r="DP175" s="17">
        <f>DO175*VLOOKUP('Données projet'!$B$14,Paramètres!$A$1:$I$89,3,0)*VLOOKUP('Données projet'!$B$14,Paramètres!$A$1:$I$89,5,0)</f>
        <v>195.76439999999985</v>
      </c>
      <c r="DQ175" s="13">
        <f t="shared" si="176"/>
        <v>48.812154563023455</v>
      </c>
      <c r="DR175" s="20">
        <f t="shared" si="177"/>
        <v>425.9708325305989</v>
      </c>
      <c r="DS175" s="59">
        <f t="shared" si="125"/>
        <v>719.30416586393221</v>
      </c>
      <c r="DT175" s="59">
        <f ca="1">AVERAGE(OFFSET($DS$3,0,0,'Données projet'!$E$14+1,1))-AVERAGE(OFFSET($H$3,0,0,'Données projet'!$E$14+1,1))</f>
        <v>278.45534008146865</v>
      </c>
      <c r="DU175" s="59">
        <f t="shared" si="152"/>
        <v>272.97841038165217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3.4809920391579472</v>
      </c>
      <c r="EB175" s="21">
        <f>EXP(-LN(2)/25)*EB174+(1-EXP(-LN(2)/25))/(LN(2)/25)*Calculateur!DW175*Calculateur!DY175*VLOOKUP('Données projet'!$B$14,Paramètres!$A$1:$I$89,3,0)*0.475*44/12</f>
        <v>0.48586832324144252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3.9668603623993897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5.6843418860808015E-13</v>
      </c>
      <c r="EK175" s="17">
        <f>EJ175*VLOOKUP('Données projet'!$B$15,Paramètres!$A$1:$I$89,3,0)*VLOOKUP('Données projet'!$B$15,Paramètres!$A$1:$I$89,5,0)</f>
        <v>6.1186256061773743E-13</v>
      </c>
      <c r="EL175" s="13">
        <f t="shared" si="179"/>
        <v>7.4445668332430206E-12</v>
      </c>
      <c r="EM175" s="20">
        <f t="shared" si="180"/>
        <v>1.4031614527640822E-11</v>
      </c>
      <c r="EN175" s="59">
        <f t="shared" si="128"/>
        <v>293.33333333334735</v>
      </c>
      <c r="EO175" s="59">
        <f ca="1">AVERAGE(OFFSET($EN$3,0,0,'Données projet'!$E$15+1,1))-AVERAGE(OFFSET($H$3,0,0,'Données projet'!$E$15+1,1))</f>
        <v>449.09332781196957</v>
      </c>
      <c r="EP175" s="59">
        <f t="shared" si="154"/>
        <v>324.85904971519432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90.312123785806648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90.312123785806648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5.6843418860808015E-13</v>
      </c>
      <c r="FF175" s="17">
        <f>FE175*VLOOKUP('Données projet'!$B$16,Paramètres!$A$1:$I$89,3,0)*VLOOKUP('Données projet'!$B$16,Paramètres!$A$1:$I$89,5,0)</f>
        <v>5.763922672485933E-13</v>
      </c>
      <c r="FG175" s="13">
        <f t="shared" si="182"/>
        <v>7.0619171555808457E-12</v>
      </c>
      <c r="FH175" s="20">
        <f t="shared" si="183"/>
        <v>1.3303388911427938E-11</v>
      </c>
      <c r="FI175" s="59">
        <f t="shared" si="131"/>
        <v>293.33333333334662</v>
      </c>
      <c r="FJ175" s="59">
        <f ca="1">AVERAGE(OFFSET($FI$3,0,0,'Données projet'!$E$16+1,1))-AVERAGE(OFFSET($H$3,0,0,'Données projet'!$E$16+1,1))</f>
        <v>419.51168383014721</v>
      </c>
      <c r="FK175" s="59">
        <f t="shared" si="156"/>
        <v>213.44145308833384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85.076638348948293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85.076638348948293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266.99999999999983</v>
      </c>
      <c r="GA175" s="17">
        <f>FZ175*VLOOKUP('Données projet'!$B$17,Paramètres!$A$1:$I$89,3,0)*VLOOKUP('Données projet'!$B$17,Paramètres!$A$1:$I$89,5,0)</f>
        <v>233.2511999999999</v>
      </c>
      <c r="GB175" s="13">
        <f t="shared" si="185"/>
        <v>56.985091661350864</v>
      </c>
      <c r="GC175" s="20">
        <f t="shared" si="186"/>
        <v>505.49487464351915</v>
      </c>
      <c r="GD175" s="59">
        <f t="shared" si="134"/>
        <v>798.82820797685247</v>
      </c>
      <c r="GE175" s="59">
        <f ca="1">AVERAGE(OFFSET($GD$3,0,0,'Données projet'!$E$17+1,1))-AVERAGE(OFFSET($H$3,0,0,'Données projet'!$E$17+1,1))</f>
        <v>324.86930206492627</v>
      </c>
      <c r="GF175" s="59">
        <f t="shared" si="158"/>
        <v>317.03005098025352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5.112114978832647</v>
      </c>
      <c r="GM175" s="21">
        <f>EXP(-LN(2)/25)*GM174+(1-EXP(-LN(2)/25))/(LN(2)/25)*Calculateur!GH175*Calculateur!GJ175*VLOOKUP('Données projet'!$B$17,Paramètres!$A$1:$I$89,3,0)*0.475*44/12</f>
        <v>0.71353645887214334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5.8256514377047903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5.6843418860808015E-13</v>
      </c>
      <c r="GV175" s="17">
        <f>GU175*VLOOKUP('Données projet'!$B$18,Paramètres!$A$1:$I$89,3,0)*VLOOKUP('Données projet'!$B$18,Paramètres!$A$1:$I$89,5,0)</f>
        <v>5.4092197387944907E-13</v>
      </c>
      <c r="GW175" s="13">
        <f t="shared" si="188"/>
        <v>6.6765148417791561E-12</v>
      </c>
      <c r="GX175" s="20">
        <f t="shared" si="189"/>
        <v>1.2570369120605403E-11</v>
      </c>
      <c r="GY175" s="59">
        <f t="shared" si="137"/>
        <v>293.33333333334588</v>
      </c>
      <c r="GZ175" s="59">
        <f ca="1">AVERAGE(OFFSET($GY$3,0,0,'Données projet'!$E$18+1,1))-AVERAGE(OFFSET($H$3,0,0,'Données projet'!$E$18+1,1))</f>
        <v>401.81944956556271</v>
      </c>
      <c r="HA175" s="59">
        <f t="shared" si="160"/>
        <v>292.20785523952651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79.84115291209001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79.84115291209001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5.1431925385259092E-13</v>
      </c>
      <c r="P176" s="13">
        <f t="shared" si="141"/>
        <v>6.3855359115685756E-12</v>
      </c>
      <c r="Q176" s="20">
        <f t="shared" si="162"/>
        <v>1.2017247746441865E-11</v>
      </c>
      <c r="R176" s="59">
        <f t="shared" si="109"/>
        <v>293.33333333334531</v>
      </c>
      <c r="S176" s="59">
        <f ca="1">AVERAGE(OFFSET($R$3,0,0,'Données projet'!$E$9+1,1))-AVERAGE(OFFSET($H$3,0,0,'Données projet'!$E$9+1,1))</f>
        <v>384.05928630855732</v>
      </c>
      <c r="T176" s="59">
        <f t="shared" si="142"/>
        <v>279.93992813630513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-6.3550942286383367E-14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335.04906256888819</v>
      </c>
      <c r="AO176" s="59">
        <f t="shared" si="144"/>
        <v>440.84111898279554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21.901212802611184</v>
      </c>
      <c r="AV176" s="21">
        <f>EXP(-LN(2)/25)*AV175+(1-EXP(-LN(2)/25))/(LN(2)/25)*Calculateur!AQ176*Calculateur!AS176*VLOOKUP('Données projet'!$B$10,Paramètres!$A$1:$I$89,3,0)*0.475*44/12</f>
        <v>2.1858422134145581</v>
      </c>
      <c r="AW176" s="21">
        <f>EXP(-LN(2)/2)*AW175+(1-EXP(-LN(2)/2))/(LN(2)/2)*AQ176*AT176*VLOOKUP('Données projet'!$B$10,Paramètres!$A$1:$I$89,3,0)*0.475*44/12</f>
        <v>5.9260416025914408E-17</v>
      </c>
      <c r="AX176" s="21">
        <f t="shared" si="166"/>
        <v>24.087055016025744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-1.4210854715202004E-13</v>
      </c>
      <c r="BE176" s="13">
        <f>BD176*VLOOKUP('Données projet'!$B$11,Paramètres!$A$1:$I$89,3,0)*VLOOKUP('Données projet'!$B$11,Paramètres!$A$1:$I$89,5,0)</f>
        <v>-8.128608897095547E-14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320.76883487964511</v>
      </c>
      <c r="BJ176" s="59">
        <f t="shared" si="146"/>
        <v>290.51177680335746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26.24939594848577</v>
      </c>
      <c r="BQ176" s="21">
        <f>EXP(-LN(2)/25)*BQ175+(1-EXP(-LN(2)/25))/(LN(2)/25)*Calculateur!BL176*Calculateur!BN176*VLOOKUP('Données projet'!$B$11,Paramètres!$A$1:$I$89,3,0)*0.475*44/12</f>
        <v>3.3394254878316079</v>
      </c>
      <c r="BR176" s="21">
        <f>EXP(-LN(2)/2)*BR175+(1-EXP(-LN(2)/2))/(LN(2)/2)*BL176*BO176*VLOOKUP('Données projet'!$B$11,Paramètres!$A$1:$I$89,3,0)*0.475*44/12</f>
        <v>1.0232629622154156E-11</v>
      </c>
      <c r="BS176" s="22">
        <f t="shared" si="169"/>
        <v>29.58882143632761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304.99999999999983</v>
      </c>
      <c r="BZ176" s="13">
        <f>BY176*VLOOKUP('Données projet'!$B$12,Paramètres!$A$1:$I$89,3,0)*VLOOKUP('Données projet'!$B$12,Paramètres!$A$1:$I$89,5,0)</f>
        <v>275.96399999999983</v>
      </c>
      <c r="CA176" s="13">
        <f t="shared" si="170"/>
        <v>66.113366665488854</v>
      </c>
      <c r="CB176" s="20">
        <f t="shared" si="171"/>
        <v>595.78474694239264</v>
      </c>
      <c r="CC176" s="59">
        <f t="shared" si="119"/>
        <v>889.11808027572602</v>
      </c>
      <c r="CD176" s="59">
        <f ca="1">AVERAGE(OFFSET($CC$3,0,0,'Données projet'!$E$12+1,1))-AVERAGE(OFFSET($H$3,0,0,'Données projet'!$E$12+1,1))</f>
        <v>366.69125512029831</v>
      </c>
      <c r="CE176" s="59">
        <f t="shared" si="148"/>
        <v>513.80016421153414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9.5189814430542502E-2</v>
      </c>
      <c r="CL176" s="21">
        <f>EXP(-LN(2)/25)*CL175+(1-EXP(-LN(2)/25))/(LN(2)/25)*Calculateur!CG176*Calculateur!CI176*VLOOKUP('Données projet'!$B$12,Paramètres!$A$1:$I$89,3,0)*0.475*44/12</f>
        <v>0.14006884560200605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0.23525866003254856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5.6843418860808015E-13</v>
      </c>
      <c r="CU176" s="17">
        <f>CT176*VLOOKUP('Données projet'!$B$13,Paramètres!$A$1:$I$89,3,0)*VLOOKUP('Données projet'!$B$13,Paramètres!$A$1:$I$89,5,0)</f>
        <v>3.8130565371830017E-13</v>
      </c>
      <c r="CV176" s="13">
        <f t="shared" si="173"/>
        <v>4.9019074112354236E-12</v>
      </c>
      <c r="CW176" s="20">
        <f t="shared" si="174"/>
        <v>9.2015960881277352E-12</v>
      </c>
      <c r="CX176" s="59">
        <f t="shared" si="122"/>
        <v>293.33333333334252</v>
      </c>
      <c r="CY176" s="59">
        <f ca="1">AVERAGE(OFFSET($CX$3,0,0,'Données projet'!$E$13+1,1))-AVERAGE(OFFSET($H$3,0,0,'Données projet'!$E$13+1,1))</f>
        <v>294.94331863127815</v>
      </c>
      <c r="CZ176" s="59">
        <f t="shared" si="150"/>
        <v>218.36990036643977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68.009875080233854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68.009875080233854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266.99999999999983</v>
      </c>
      <c r="DP176" s="17">
        <f>DO176*VLOOKUP('Données projet'!$B$14,Paramètres!$A$1:$I$89,3,0)*VLOOKUP('Données projet'!$B$14,Paramètres!$A$1:$I$89,5,0)</f>
        <v>195.76439999999985</v>
      </c>
      <c r="DQ176" s="13">
        <f t="shared" si="176"/>
        <v>48.812154563023455</v>
      </c>
      <c r="DR176" s="20">
        <f t="shared" si="177"/>
        <v>425.9708325305989</v>
      </c>
      <c r="DS176" s="59">
        <f t="shared" si="125"/>
        <v>719.30416586393221</v>
      </c>
      <c r="DT176" s="59">
        <f ca="1">AVERAGE(OFFSET($DS$3,0,0,'Données projet'!$E$14+1,1))-AVERAGE(OFFSET($H$3,0,0,'Données projet'!$E$14+1,1))</f>
        <v>278.45534008146865</v>
      </c>
      <c r="DU176" s="59">
        <f t="shared" si="152"/>
        <v>272.97841038165217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3.4127319084655556</v>
      </c>
      <c r="EB176" s="21">
        <f>EXP(-LN(2)/25)*EB175+(1-EXP(-LN(2)/25))/(LN(2)/25)*Calculateur!DW176*Calculateur!DY176*VLOOKUP('Données projet'!$B$14,Paramètres!$A$1:$I$89,3,0)*0.475*44/12</f>
        <v>0.47258222839170061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3.8853141368572564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5.6843418860808015E-13</v>
      </c>
      <c r="EK176" s="17">
        <f>EJ176*VLOOKUP('Données projet'!$B$15,Paramètres!$A$1:$I$89,3,0)*VLOOKUP('Données projet'!$B$15,Paramètres!$A$1:$I$89,5,0)</f>
        <v>6.1186256061773743E-13</v>
      </c>
      <c r="EL176" s="13">
        <f t="shared" si="179"/>
        <v>7.4445668332430206E-12</v>
      </c>
      <c r="EM176" s="20">
        <f t="shared" si="180"/>
        <v>1.4031614527640822E-11</v>
      </c>
      <c r="EN176" s="59">
        <f t="shared" si="128"/>
        <v>293.33333333334735</v>
      </c>
      <c r="EO176" s="59">
        <f ca="1">AVERAGE(OFFSET($EN$3,0,0,'Données projet'!$E$15+1,1))-AVERAGE(OFFSET($H$3,0,0,'Données projet'!$E$15+1,1))</f>
        <v>449.09332781196957</v>
      </c>
      <c r="EP176" s="59">
        <f t="shared" si="154"/>
        <v>324.85904971519432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88.541158123323299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88.541158123323299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5.6843418860808015E-13</v>
      </c>
      <c r="FF176" s="17">
        <f>FE176*VLOOKUP('Données projet'!$B$16,Paramètres!$A$1:$I$89,3,0)*VLOOKUP('Données projet'!$B$16,Paramètres!$A$1:$I$89,5,0)</f>
        <v>5.763922672485933E-13</v>
      </c>
      <c r="FG176" s="13">
        <f t="shared" si="182"/>
        <v>7.0619171555808457E-12</v>
      </c>
      <c r="FH176" s="20">
        <f t="shared" si="183"/>
        <v>1.3303388911427938E-11</v>
      </c>
      <c r="FI176" s="59">
        <f t="shared" si="131"/>
        <v>293.33333333334662</v>
      </c>
      <c r="FJ176" s="59">
        <f ca="1">AVERAGE(OFFSET($FI$3,0,0,'Données projet'!$E$16+1,1))-AVERAGE(OFFSET($H$3,0,0,'Données projet'!$E$16+1,1))</f>
        <v>419.51168383014721</v>
      </c>
      <c r="FK176" s="59">
        <f t="shared" si="156"/>
        <v>213.44145308833384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83.408337362550938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83.408337362550938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266.99999999999983</v>
      </c>
      <c r="GA176" s="17">
        <f>FZ176*VLOOKUP('Données projet'!$B$17,Paramètres!$A$1:$I$89,3,0)*VLOOKUP('Données projet'!$B$17,Paramètres!$A$1:$I$89,5,0)</f>
        <v>233.2511999999999</v>
      </c>
      <c r="GB176" s="13">
        <f t="shared" si="185"/>
        <v>56.985091661350864</v>
      </c>
      <c r="GC176" s="20">
        <f t="shared" si="186"/>
        <v>505.49487464351915</v>
      </c>
      <c r="GD176" s="59">
        <f t="shared" si="134"/>
        <v>798.82820797685247</v>
      </c>
      <c r="GE176" s="59">
        <f ca="1">AVERAGE(OFFSET($GD$3,0,0,'Données projet'!$E$17+1,1))-AVERAGE(OFFSET($H$3,0,0,'Données projet'!$E$17+1,1))</f>
        <v>324.86930206492627</v>
      </c>
      <c r="GF176" s="59">
        <f t="shared" si="158"/>
        <v>317.03005098025352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5.0118695221799907</v>
      </c>
      <c r="GM176" s="21">
        <f>EXP(-LN(2)/25)*GM175+(1-EXP(-LN(2)/25))/(LN(2)/25)*Calculateur!GH176*Calculateur!GJ176*VLOOKUP('Données projet'!$B$17,Paramètres!$A$1:$I$89,3,0)*0.475*44/12</f>
        <v>0.69402476688103298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5.7058942890610238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5.6843418860808015E-13</v>
      </c>
      <c r="GV176" s="17">
        <f>GU176*VLOOKUP('Données projet'!$B$18,Paramètres!$A$1:$I$89,3,0)*VLOOKUP('Données projet'!$B$18,Paramètres!$A$1:$I$89,5,0)</f>
        <v>5.4092197387944907E-13</v>
      </c>
      <c r="GW176" s="13">
        <f t="shared" si="188"/>
        <v>6.6765148417791561E-12</v>
      </c>
      <c r="GX176" s="20">
        <f t="shared" si="189"/>
        <v>1.2570369120605403E-11</v>
      </c>
      <c r="GY176" s="59">
        <f t="shared" si="137"/>
        <v>293.33333333334588</v>
      </c>
      <c r="GZ176" s="59">
        <f ca="1">AVERAGE(OFFSET($GY$3,0,0,'Données projet'!$E$18+1,1))-AVERAGE(OFFSET($H$3,0,0,'Données projet'!$E$18+1,1))</f>
        <v>401.81944956556271</v>
      </c>
      <c r="HA176" s="59">
        <f t="shared" si="160"/>
        <v>292.20785523952651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78.275516601778648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78.275516601778648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5.1431925385259092E-13</v>
      </c>
      <c r="P177" s="13">
        <f t="shared" si="141"/>
        <v>6.3855359115685756E-12</v>
      </c>
      <c r="Q177" s="20">
        <f t="shared" si="162"/>
        <v>1.2017247746441865E-11</v>
      </c>
      <c r="R177" s="59">
        <f t="shared" si="109"/>
        <v>293.33333333334531</v>
      </c>
      <c r="S177" s="59">
        <f ca="1">AVERAGE(OFFSET($R$3,0,0,'Données projet'!$E$9+1,1))-AVERAGE(OFFSET($H$3,0,0,'Données projet'!$E$9+1,1))</f>
        <v>384.05928630855732</v>
      </c>
      <c r="T177" s="59">
        <f t="shared" si="142"/>
        <v>279.93992813630513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-6.3550942286383367E-14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335.04906256888819</v>
      </c>
      <c r="AO177" s="59">
        <f t="shared" si="144"/>
        <v>440.84111898279554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21.471743377972754</v>
      </c>
      <c r="AV177" s="21">
        <f>EXP(-LN(2)/25)*AV176+(1-EXP(-LN(2)/25))/(LN(2)/25)*Calculateur!AQ177*Calculateur!AS177*VLOOKUP('Données projet'!$B$10,Paramètres!$A$1:$I$89,3,0)*0.475*44/12</f>
        <v>2.1260702431402909</v>
      </c>
      <c r="AW177" s="21">
        <f>EXP(-LN(2)/2)*AW176+(1-EXP(-LN(2)/2))/(LN(2)/2)*AQ177*AT177*VLOOKUP('Données projet'!$B$10,Paramètres!$A$1:$I$89,3,0)*0.475*44/12</f>
        <v>4.1903442027860034E-17</v>
      </c>
      <c r="AX177" s="21">
        <f t="shared" si="166"/>
        <v>23.597813621113044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-1.4210854715202004E-13</v>
      </c>
      <c r="BE177" s="13">
        <f>BD177*VLOOKUP('Données projet'!$B$11,Paramètres!$A$1:$I$89,3,0)*VLOOKUP('Données projet'!$B$11,Paramètres!$A$1:$I$89,5,0)</f>
        <v>-8.128608897095547E-14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320.76883487964511</v>
      </c>
      <c r="BJ177" s="59">
        <f t="shared" si="146"/>
        <v>290.51177680335746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25.734661304486583</v>
      </c>
      <c r="BQ177" s="21">
        <f>EXP(-LN(2)/25)*BQ176+(1-EXP(-LN(2)/25))/(LN(2)/25)*Calculateur!BL177*Calculateur!BN177*VLOOKUP('Données projet'!$B$11,Paramètres!$A$1:$I$89,3,0)*0.475*44/12</f>
        <v>3.2481087222540985</v>
      </c>
      <c r="BR177" s="21">
        <f>EXP(-LN(2)/2)*BR176+(1-EXP(-LN(2)/2))/(LN(2)/2)*BL177*BO177*VLOOKUP('Données projet'!$B$11,Paramètres!$A$1:$I$89,3,0)*0.475*44/12</f>
        <v>7.2355617951955437E-12</v>
      </c>
      <c r="BS177" s="22">
        <f t="shared" si="169"/>
        <v>28.982770026747918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304.99999999999983</v>
      </c>
      <c r="BZ177" s="13">
        <f>BY177*VLOOKUP('Données projet'!$B$12,Paramètres!$A$1:$I$89,3,0)*VLOOKUP('Données projet'!$B$12,Paramètres!$A$1:$I$89,5,0)</f>
        <v>275.96399999999983</v>
      </c>
      <c r="CA177" s="13">
        <f t="shared" si="170"/>
        <v>66.113366665488854</v>
      </c>
      <c r="CB177" s="20">
        <f t="shared" si="171"/>
        <v>595.78474694239264</v>
      </c>
      <c r="CC177" s="59">
        <f t="shared" si="119"/>
        <v>889.11808027572602</v>
      </c>
      <c r="CD177" s="59">
        <f ca="1">AVERAGE(OFFSET($CC$3,0,0,'Données projet'!$E$12+1,1))-AVERAGE(OFFSET($H$3,0,0,'Données projet'!$E$12+1,1))</f>
        <v>366.69125512029831</v>
      </c>
      <c r="CE177" s="59">
        <f t="shared" si="148"/>
        <v>513.80016421153414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9.3323200229613407E-2</v>
      </c>
      <c r="CL177" s="21">
        <f>EXP(-LN(2)/25)*CL176+(1-EXP(-LN(2)/25))/(LN(2)/25)*Calculateur!CG177*Calculateur!CI177*VLOOKUP('Données projet'!$B$12,Paramètres!$A$1:$I$89,3,0)*0.475*44/12</f>
        <v>0.13623865565311874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0.22956185588273215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5.6843418860808015E-13</v>
      </c>
      <c r="CU177" s="17">
        <f>CT177*VLOOKUP('Données projet'!$B$13,Paramètres!$A$1:$I$89,3,0)*VLOOKUP('Données projet'!$B$13,Paramètres!$A$1:$I$89,5,0)</f>
        <v>3.8130565371830017E-13</v>
      </c>
      <c r="CV177" s="13">
        <f t="shared" si="173"/>
        <v>4.9019074112354236E-12</v>
      </c>
      <c r="CW177" s="20">
        <f t="shared" si="174"/>
        <v>9.2015960881277352E-12</v>
      </c>
      <c r="CX177" s="59">
        <f t="shared" si="122"/>
        <v>293.33333333334252</v>
      </c>
      <c r="CY177" s="59">
        <f ca="1">AVERAGE(OFFSET($CX$3,0,0,'Données projet'!$E$13+1,1))-AVERAGE(OFFSET($H$3,0,0,'Données projet'!$E$13+1,1))</f>
        <v>294.94331863127815</v>
      </c>
      <c r="CZ177" s="59">
        <f t="shared" si="150"/>
        <v>218.36990036643977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66.676242911838273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66.676242911838273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266.99999999999983</v>
      </c>
      <c r="DP177" s="17">
        <f>DO177*VLOOKUP('Données projet'!$B$14,Paramètres!$A$1:$I$89,3,0)*VLOOKUP('Données projet'!$B$14,Paramètres!$A$1:$I$89,5,0)</f>
        <v>195.76439999999985</v>
      </c>
      <c r="DQ177" s="13">
        <f t="shared" si="176"/>
        <v>48.812154563023455</v>
      </c>
      <c r="DR177" s="20">
        <f t="shared" si="177"/>
        <v>425.9708325305989</v>
      </c>
      <c r="DS177" s="59">
        <f t="shared" si="125"/>
        <v>719.30416586393221</v>
      </c>
      <c r="DT177" s="59">
        <f ca="1">AVERAGE(OFFSET($DS$3,0,0,'Données projet'!$E$14+1,1))-AVERAGE(OFFSET($H$3,0,0,'Données projet'!$E$14+1,1))</f>
        <v>278.45534008146865</v>
      </c>
      <c r="DU177" s="59">
        <f t="shared" si="152"/>
        <v>272.97841038165217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3.3458103173014733</v>
      </c>
      <c r="EB177" s="21">
        <f>EXP(-LN(2)/25)*EB176+(1-EXP(-LN(2)/25))/(LN(2)/25)*Calculateur!DW177*Calculateur!DY177*VLOOKUP('Données projet'!$B$14,Paramètres!$A$1:$I$89,3,0)*0.475*44/12</f>
        <v>0.45965944250431029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3.8054697598057836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5.6843418860808015E-13</v>
      </c>
      <c r="EK177" s="17">
        <f>EJ177*VLOOKUP('Données projet'!$B$15,Paramètres!$A$1:$I$89,3,0)*VLOOKUP('Données projet'!$B$15,Paramètres!$A$1:$I$89,5,0)</f>
        <v>6.1186256061773743E-13</v>
      </c>
      <c r="EL177" s="13">
        <f t="shared" si="179"/>
        <v>7.4445668332430206E-12</v>
      </c>
      <c r="EM177" s="20">
        <f t="shared" si="180"/>
        <v>1.4031614527640822E-11</v>
      </c>
      <c r="EN177" s="59">
        <f t="shared" si="128"/>
        <v>293.33333333334735</v>
      </c>
      <c r="EO177" s="59">
        <f ca="1">AVERAGE(OFFSET($EN$3,0,0,'Données projet'!$E$15+1,1))-AVERAGE(OFFSET($H$3,0,0,'Données projet'!$E$15+1,1))</f>
        <v>449.09332781196957</v>
      </c>
      <c r="EP177" s="59">
        <f t="shared" si="154"/>
        <v>324.85904971519432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86.804920017298855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86.804920017298855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5.6843418860808015E-13</v>
      </c>
      <c r="FF177" s="17">
        <f>FE177*VLOOKUP('Données projet'!$B$16,Paramètres!$A$1:$I$89,3,0)*VLOOKUP('Données projet'!$B$16,Paramètres!$A$1:$I$89,5,0)</f>
        <v>5.763922672485933E-13</v>
      </c>
      <c r="FG177" s="13">
        <f t="shared" si="182"/>
        <v>7.0619171555808457E-12</v>
      </c>
      <c r="FH177" s="20">
        <f t="shared" si="183"/>
        <v>1.3303388911427938E-11</v>
      </c>
      <c r="FI177" s="59">
        <f t="shared" si="131"/>
        <v>293.33333333334662</v>
      </c>
      <c r="FJ177" s="59">
        <f ca="1">AVERAGE(OFFSET($FI$3,0,0,'Données projet'!$E$16+1,1))-AVERAGE(OFFSET($H$3,0,0,'Données projet'!$E$16+1,1))</f>
        <v>419.51168383014721</v>
      </c>
      <c r="FK177" s="59">
        <f t="shared" si="156"/>
        <v>213.44145308833384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81.772750740933702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81.772750740933702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266.99999999999983</v>
      </c>
      <c r="GA177" s="17">
        <f>FZ177*VLOOKUP('Données projet'!$B$17,Paramètres!$A$1:$I$89,3,0)*VLOOKUP('Données projet'!$B$17,Paramètres!$A$1:$I$89,5,0)</f>
        <v>233.2511999999999</v>
      </c>
      <c r="GB177" s="13">
        <f t="shared" si="185"/>
        <v>56.985091661350864</v>
      </c>
      <c r="GC177" s="20">
        <f t="shared" si="186"/>
        <v>505.49487464351915</v>
      </c>
      <c r="GD177" s="59">
        <f t="shared" si="134"/>
        <v>798.82820797685247</v>
      </c>
      <c r="GE177" s="59">
        <f ca="1">AVERAGE(OFFSET($GD$3,0,0,'Données projet'!$E$17+1,1))-AVERAGE(OFFSET($H$3,0,0,'Données projet'!$E$17+1,1))</f>
        <v>324.86930206492627</v>
      </c>
      <c r="GF177" s="59">
        <f t="shared" si="158"/>
        <v>317.03005098025352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4.9135898177886022</v>
      </c>
      <c r="GM177" s="21">
        <f>EXP(-LN(2)/25)*GM176+(1-EXP(-LN(2)/25))/(LN(2)/25)*Calculateur!GH177*Calculateur!GJ177*VLOOKUP('Données projet'!$B$17,Paramètres!$A$1:$I$89,3,0)*0.475*44/12</f>
        <v>0.67504662313349484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5.5886364409220972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5.6843418860808015E-13</v>
      </c>
      <c r="GV177" s="17">
        <f>GU177*VLOOKUP('Données projet'!$B$18,Paramètres!$A$1:$I$89,3,0)*VLOOKUP('Données projet'!$B$18,Paramètres!$A$1:$I$89,5,0)</f>
        <v>5.4092197387944907E-13</v>
      </c>
      <c r="GW177" s="13">
        <f t="shared" si="188"/>
        <v>6.6765148417791561E-12</v>
      </c>
      <c r="GX177" s="20">
        <f t="shared" si="189"/>
        <v>1.2570369120605403E-11</v>
      </c>
      <c r="GY177" s="59">
        <f t="shared" si="137"/>
        <v>293.33333333334588</v>
      </c>
      <c r="GZ177" s="59">
        <f ca="1">AVERAGE(OFFSET($GY$3,0,0,'Données projet'!$E$18+1,1))-AVERAGE(OFFSET($H$3,0,0,'Données projet'!$E$18+1,1))</f>
        <v>401.81944956556271</v>
      </c>
      <c r="HA177" s="59">
        <f t="shared" si="160"/>
        <v>292.20785523952651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76.740581464568635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76.740581464568635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5.1431925385259092E-13</v>
      </c>
      <c r="P178" s="13">
        <f t="shared" si="141"/>
        <v>6.3855359115685756E-12</v>
      </c>
      <c r="Q178" s="20">
        <f t="shared" si="162"/>
        <v>1.2017247746441865E-11</v>
      </c>
      <c r="R178" s="59">
        <f t="shared" si="109"/>
        <v>293.33333333334531</v>
      </c>
      <c r="S178" s="59">
        <f ca="1">AVERAGE(OFFSET($R$3,0,0,'Données projet'!$E$9+1,1))-AVERAGE(OFFSET($H$3,0,0,'Données projet'!$E$9+1,1))</f>
        <v>384.05928630855732</v>
      </c>
      <c r="T178" s="59">
        <f t="shared" si="142"/>
        <v>279.93992813630513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-6.3550942286383367E-14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335.04906256888819</v>
      </c>
      <c r="AO178" s="59">
        <f t="shared" si="144"/>
        <v>440.84111898279554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21.050695586800998</v>
      </c>
      <c r="AV178" s="21">
        <f>EXP(-LN(2)/25)*AV177+(1-EXP(-LN(2)/25))/(LN(2)/25)*Calculateur!AQ178*Calculateur!AS178*VLOOKUP('Données projet'!$B$10,Paramètres!$A$1:$I$89,3,0)*0.475*44/12</f>
        <v>2.0679327405364449</v>
      </c>
      <c r="AW178" s="21">
        <f>EXP(-LN(2)/2)*AW177+(1-EXP(-LN(2)/2))/(LN(2)/2)*AQ178*AT178*VLOOKUP('Données projet'!$B$10,Paramètres!$A$1:$I$89,3,0)*0.475*44/12</f>
        <v>2.9630208012957204E-17</v>
      </c>
      <c r="AX178" s="21">
        <f t="shared" si="166"/>
        <v>23.118628327337444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-1.4210854715202004E-13</v>
      </c>
      <c r="BE178" s="13">
        <f>BD178*VLOOKUP('Données projet'!$B$11,Paramètres!$A$1:$I$89,3,0)*VLOOKUP('Données projet'!$B$11,Paramètres!$A$1:$I$89,5,0)</f>
        <v>-8.128608897095547E-14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320.76883487964511</v>
      </c>
      <c r="BJ178" s="59">
        <f t="shared" si="146"/>
        <v>290.51177680335746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25.230020292899088</v>
      </c>
      <c r="BQ178" s="21">
        <f>EXP(-LN(2)/25)*BQ177+(1-EXP(-LN(2)/25))/(LN(2)/25)*Calculateur!BL178*Calculateur!BN178*VLOOKUP('Données projet'!$B$11,Paramètres!$A$1:$I$89,3,0)*0.475*44/12</f>
        <v>3.1592890184334461</v>
      </c>
      <c r="BR178" s="21">
        <f>EXP(-LN(2)/2)*BR177+(1-EXP(-LN(2)/2))/(LN(2)/2)*BL178*BO178*VLOOKUP('Données projet'!$B$11,Paramètres!$A$1:$I$89,3,0)*0.475*44/12</f>
        <v>5.1163148110770789E-12</v>
      </c>
      <c r="BS178" s="22">
        <f t="shared" si="169"/>
        <v>28.389309311337648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304.99999999999983</v>
      </c>
      <c r="BZ178" s="13">
        <f>BY178*VLOOKUP('Données projet'!$B$12,Paramètres!$A$1:$I$89,3,0)*VLOOKUP('Données projet'!$B$12,Paramètres!$A$1:$I$89,5,0)</f>
        <v>275.96399999999983</v>
      </c>
      <c r="CA178" s="13">
        <f t="shared" si="170"/>
        <v>66.113366665488854</v>
      </c>
      <c r="CB178" s="20">
        <f t="shared" si="171"/>
        <v>595.78474694239264</v>
      </c>
      <c r="CC178" s="59">
        <f t="shared" si="119"/>
        <v>889.11808027572602</v>
      </c>
      <c r="CD178" s="59">
        <f ca="1">AVERAGE(OFFSET($CC$3,0,0,'Données projet'!$E$12+1,1))-AVERAGE(OFFSET($H$3,0,0,'Données projet'!$E$12+1,1))</f>
        <v>366.69125512029831</v>
      </c>
      <c r="CE178" s="59">
        <f t="shared" si="148"/>
        <v>513.80016421153414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9.1493189194642291E-2</v>
      </c>
      <c r="CL178" s="21">
        <f>EXP(-LN(2)/25)*CL177+(1-EXP(-LN(2)/25))/(LN(2)/25)*Calculateur!CG178*Calculateur!CI178*VLOOKUP('Données projet'!$B$12,Paramètres!$A$1:$I$89,3,0)*0.475*44/12</f>
        <v>0.13251320244980469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0.22400639164444697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5.6843418860808015E-13</v>
      </c>
      <c r="CU178" s="17">
        <f>CT178*VLOOKUP('Données projet'!$B$13,Paramètres!$A$1:$I$89,3,0)*VLOOKUP('Données projet'!$B$13,Paramètres!$A$1:$I$89,5,0)</f>
        <v>3.8130565371830017E-13</v>
      </c>
      <c r="CV178" s="13">
        <f t="shared" si="173"/>
        <v>4.9019074112354236E-12</v>
      </c>
      <c r="CW178" s="20">
        <f t="shared" si="174"/>
        <v>9.2015960881277352E-12</v>
      </c>
      <c r="CX178" s="59">
        <f t="shared" si="122"/>
        <v>293.33333333334252</v>
      </c>
      <c r="CY178" s="59">
        <f ca="1">AVERAGE(OFFSET($CX$3,0,0,'Données projet'!$E$13+1,1))-AVERAGE(OFFSET($H$3,0,0,'Données projet'!$E$13+1,1))</f>
        <v>294.94331863127815</v>
      </c>
      <c r="CZ178" s="59">
        <f t="shared" si="150"/>
        <v>218.36990036643977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65.368762456829614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65.368762456829614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266.99999999999983</v>
      </c>
      <c r="DP178" s="17">
        <f>DO178*VLOOKUP('Données projet'!$B$14,Paramètres!$A$1:$I$89,3,0)*VLOOKUP('Données projet'!$B$14,Paramètres!$A$1:$I$89,5,0)</f>
        <v>195.76439999999985</v>
      </c>
      <c r="DQ178" s="13">
        <f t="shared" si="176"/>
        <v>48.812154563023455</v>
      </c>
      <c r="DR178" s="20">
        <f t="shared" si="177"/>
        <v>425.9708325305989</v>
      </c>
      <c r="DS178" s="59">
        <f t="shared" si="125"/>
        <v>719.30416586393221</v>
      </c>
      <c r="DT178" s="59">
        <f ca="1">AVERAGE(OFFSET($DS$3,0,0,'Données projet'!$E$14+1,1))-AVERAGE(OFFSET($H$3,0,0,'Données projet'!$E$14+1,1))</f>
        <v>278.45534008146865</v>
      </c>
      <c r="DU178" s="59">
        <f t="shared" si="152"/>
        <v>272.97841038165217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3.2802010177219785</v>
      </c>
      <c r="EB178" s="21">
        <f>EXP(-LN(2)/25)*EB177+(1-EXP(-LN(2)/25))/(LN(2)/25)*Calculateur!DW178*Calculateur!DY178*VLOOKUP('Données projet'!$B$14,Paramètres!$A$1:$I$89,3,0)*0.475*44/12</f>
        <v>0.44709003087659038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3.7272910485985689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5.6843418860808015E-13</v>
      </c>
      <c r="EK178" s="17">
        <f>EJ178*VLOOKUP('Données projet'!$B$15,Paramètres!$A$1:$I$89,3,0)*VLOOKUP('Données projet'!$B$15,Paramètres!$A$1:$I$89,5,0)</f>
        <v>6.1186256061773743E-13</v>
      </c>
      <c r="EL178" s="13">
        <f t="shared" si="179"/>
        <v>7.4445668332430206E-12</v>
      </c>
      <c r="EM178" s="20">
        <f t="shared" si="180"/>
        <v>1.4031614527640822E-11</v>
      </c>
      <c r="EN178" s="59">
        <f t="shared" si="128"/>
        <v>293.33333333334735</v>
      </c>
      <c r="EO178" s="59">
        <f ca="1">AVERAGE(OFFSET($EN$3,0,0,'Données projet'!$E$15+1,1))-AVERAGE(OFFSET($H$3,0,0,'Données projet'!$E$15+1,1))</f>
        <v>449.09332781196957</v>
      </c>
      <c r="EP178" s="59">
        <f t="shared" si="154"/>
        <v>324.85904971519432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85.102728481532878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85.102728481532878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5.6843418860808015E-13</v>
      </c>
      <c r="FF178" s="17">
        <f>FE178*VLOOKUP('Données projet'!$B$16,Paramètres!$A$1:$I$89,3,0)*VLOOKUP('Données projet'!$B$16,Paramètres!$A$1:$I$89,5,0)</f>
        <v>5.763922672485933E-13</v>
      </c>
      <c r="FG178" s="13">
        <f t="shared" si="182"/>
        <v>7.0619171555808457E-12</v>
      </c>
      <c r="FH178" s="20">
        <f t="shared" si="183"/>
        <v>1.3303388911427938E-11</v>
      </c>
      <c r="FI178" s="59">
        <f t="shared" si="131"/>
        <v>293.33333333334662</v>
      </c>
      <c r="FJ178" s="59">
        <f ca="1">AVERAGE(OFFSET($FI$3,0,0,'Données projet'!$E$16+1,1))-AVERAGE(OFFSET($H$3,0,0,'Données projet'!$E$16+1,1))</f>
        <v>419.51168383014721</v>
      </c>
      <c r="FK178" s="59">
        <f t="shared" si="156"/>
        <v>213.44145308833384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80.169236975357052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80.169236975357052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266.99999999999983</v>
      </c>
      <c r="GA178" s="17">
        <f>FZ178*VLOOKUP('Données projet'!$B$17,Paramètres!$A$1:$I$89,3,0)*VLOOKUP('Données projet'!$B$17,Paramètres!$A$1:$I$89,5,0)</f>
        <v>233.2511999999999</v>
      </c>
      <c r="GB178" s="13">
        <f t="shared" si="185"/>
        <v>56.985091661350864</v>
      </c>
      <c r="GC178" s="20">
        <f t="shared" si="186"/>
        <v>505.49487464351915</v>
      </c>
      <c r="GD178" s="59">
        <f t="shared" si="134"/>
        <v>798.82820797685247</v>
      </c>
      <c r="GE178" s="59">
        <f ca="1">AVERAGE(OFFSET($GD$3,0,0,'Données projet'!$E$17+1,1))-AVERAGE(OFFSET($H$3,0,0,'Données projet'!$E$17+1,1))</f>
        <v>324.86930206492627</v>
      </c>
      <c r="GF178" s="59">
        <f t="shared" si="158"/>
        <v>317.03005098025352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4.8172373184556276</v>
      </c>
      <c r="GM178" s="21">
        <f>EXP(-LN(2)/25)*GM177+(1-EXP(-LN(2)/25))/(LN(2)/25)*Calculateur!GH178*Calculateur!GJ178*VLOOKUP('Données projet'!$B$17,Paramètres!$A$1:$I$89,3,0)*0.475*44/12</f>
        <v>0.65658743772475037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5.4738247561803783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5.6843418860808015E-13</v>
      </c>
      <c r="GV178" s="17">
        <f>GU178*VLOOKUP('Données projet'!$B$18,Paramètres!$A$1:$I$89,3,0)*VLOOKUP('Données projet'!$B$18,Paramètres!$A$1:$I$89,5,0)</f>
        <v>5.4092197387944907E-13</v>
      </c>
      <c r="GW178" s="13">
        <f t="shared" si="188"/>
        <v>6.6765148417791561E-12</v>
      </c>
      <c r="GX178" s="20">
        <f t="shared" si="189"/>
        <v>1.2570369120605403E-11</v>
      </c>
      <c r="GY178" s="59">
        <f t="shared" si="137"/>
        <v>293.33333333334588</v>
      </c>
      <c r="GZ178" s="59">
        <f ca="1">AVERAGE(OFFSET($GY$3,0,0,'Données projet'!$E$18+1,1))-AVERAGE(OFFSET($H$3,0,0,'Données projet'!$E$18+1,1))</f>
        <v>401.81944956556271</v>
      </c>
      <c r="HA178" s="59">
        <f t="shared" si="160"/>
        <v>292.20785523952651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75.23574546918131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75.23574546918131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5.1431925385259092E-13</v>
      </c>
      <c r="P179" s="13">
        <f t="shared" si="141"/>
        <v>6.3855359115685756E-12</v>
      </c>
      <c r="Q179" s="20">
        <f t="shared" si="162"/>
        <v>1.2017247746441865E-11</v>
      </c>
      <c r="R179" s="59">
        <f t="shared" si="109"/>
        <v>293.33333333334531</v>
      </c>
      <c r="S179" s="59">
        <f ca="1">AVERAGE(OFFSET($R$3,0,0,'Données projet'!$E$9+1,1))-AVERAGE(OFFSET($H$3,0,0,'Données projet'!$E$9+1,1))</f>
        <v>384.05928630855732</v>
      </c>
      <c r="T179" s="59">
        <f t="shared" si="142"/>
        <v>279.93992813630513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-6.3550942286383367E-14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335.04906256888819</v>
      </c>
      <c r="AO179" s="59">
        <f t="shared" si="144"/>
        <v>440.84111898279554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20.637904286000328</v>
      </c>
      <c r="AV179" s="21">
        <f>EXP(-LN(2)/25)*AV178+(1-EXP(-LN(2)/25))/(LN(2)/25)*Calculateur!AQ179*Calculateur!AS179*VLOOKUP('Données projet'!$B$10,Paramètres!$A$1:$I$89,3,0)*0.475*44/12</f>
        <v>2.0113850109986195</v>
      </c>
      <c r="AW179" s="21">
        <f>EXP(-LN(2)/2)*AW178+(1-EXP(-LN(2)/2))/(LN(2)/2)*AQ179*AT179*VLOOKUP('Données projet'!$B$10,Paramètres!$A$1:$I$89,3,0)*0.475*44/12</f>
        <v>2.0951721013930017E-17</v>
      </c>
      <c r="AX179" s="21">
        <f t="shared" si="166"/>
        <v>22.649289296998948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-1.4210854715202004E-13</v>
      </c>
      <c r="BE179" s="13">
        <f>BD179*VLOOKUP('Données projet'!$B$11,Paramètres!$A$1:$I$89,3,0)*VLOOKUP('Données projet'!$B$11,Paramètres!$A$1:$I$89,5,0)</f>
        <v>-8.128608897095547E-14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320.76883487964511</v>
      </c>
      <c r="BJ179" s="59">
        <f t="shared" si="146"/>
        <v>290.51177680335746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24.735274983748198</v>
      </c>
      <c r="BQ179" s="21">
        <f>EXP(-LN(2)/25)*BQ178+(1-EXP(-LN(2)/25))/(LN(2)/25)*Calculateur!BL179*Calculateur!BN179*VLOOKUP('Données projet'!$B$11,Paramètres!$A$1:$I$89,3,0)*0.475*44/12</f>
        <v>3.0728980940845947</v>
      </c>
      <c r="BR179" s="21">
        <f>EXP(-LN(2)/2)*BR178+(1-EXP(-LN(2)/2))/(LN(2)/2)*BL179*BO179*VLOOKUP('Données projet'!$B$11,Paramètres!$A$1:$I$89,3,0)*0.475*44/12</f>
        <v>3.6177808975977727E-12</v>
      </c>
      <c r="BS179" s="22">
        <f t="shared" si="169"/>
        <v>27.808173077836408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304.99999999999983</v>
      </c>
      <c r="BZ179" s="13">
        <f>BY179*VLOOKUP('Données projet'!$B$12,Paramètres!$A$1:$I$89,3,0)*VLOOKUP('Données projet'!$B$12,Paramètres!$A$1:$I$89,5,0)</f>
        <v>275.96399999999983</v>
      </c>
      <c r="CA179" s="13">
        <f t="shared" si="170"/>
        <v>66.113366665488854</v>
      </c>
      <c r="CB179" s="20">
        <f t="shared" si="171"/>
        <v>595.78474694239264</v>
      </c>
      <c r="CC179" s="59">
        <f t="shared" si="119"/>
        <v>889.11808027572602</v>
      </c>
      <c r="CD179" s="59">
        <f ca="1">AVERAGE(OFFSET($CC$3,0,0,'Données projet'!$E$12+1,1))-AVERAGE(OFFSET($H$3,0,0,'Données projet'!$E$12+1,1))</f>
        <v>366.69125512029831</v>
      </c>
      <c r="CE179" s="59">
        <f t="shared" si="148"/>
        <v>513.80016421153414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8.9699063559870451E-2</v>
      </c>
      <c r="CL179" s="21">
        <f>EXP(-LN(2)/25)*CL178+(1-EXP(-LN(2)/25))/(LN(2)/25)*Calculateur!CG179*Calculateur!CI179*VLOOKUP('Données projet'!$B$12,Paramètres!$A$1:$I$89,3,0)*0.475*44/12</f>
        <v>0.12888962196024834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0.21858868552011879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5.6843418860808015E-13</v>
      </c>
      <c r="CU179" s="17">
        <f>CT179*VLOOKUP('Données projet'!$B$13,Paramètres!$A$1:$I$89,3,0)*VLOOKUP('Données projet'!$B$13,Paramètres!$A$1:$I$89,5,0)</f>
        <v>3.8130565371830017E-13</v>
      </c>
      <c r="CV179" s="13">
        <f t="shared" si="173"/>
        <v>4.9019074112354236E-12</v>
      </c>
      <c r="CW179" s="20">
        <f t="shared" si="174"/>
        <v>9.2015960881277352E-12</v>
      </c>
      <c r="CX179" s="59">
        <f t="shared" si="122"/>
        <v>293.33333333334252</v>
      </c>
      <c r="CY179" s="59">
        <f ca="1">AVERAGE(OFFSET($CX$3,0,0,'Données projet'!$E$13+1,1))-AVERAGE(OFFSET($H$3,0,0,'Données projet'!$E$13+1,1))</f>
        <v>294.94331863127815</v>
      </c>
      <c r="CZ179" s="59">
        <f t="shared" si="150"/>
        <v>218.36990036643977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64.086920896059354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64.086920896059354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266.99999999999983</v>
      </c>
      <c r="DP179" s="17">
        <f>DO179*VLOOKUP('Données projet'!$B$14,Paramètres!$A$1:$I$89,3,0)*VLOOKUP('Données projet'!$B$14,Paramètres!$A$1:$I$89,5,0)</f>
        <v>195.76439999999985</v>
      </c>
      <c r="DQ179" s="13">
        <f t="shared" si="176"/>
        <v>48.812154563023455</v>
      </c>
      <c r="DR179" s="20">
        <f t="shared" si="177"/>
        <v>425.9708325305989</v>
      </c>
      <c r="DS179" s="59">
        <f t="shared" si="125"/>
        <v>719.30416586393221</v>
      </c>
      <c r="DT179" s="59">
        <f ca="1">AVERAGE(OFFSET($DS$3,0,0,'Données projet'!$E$14+1,1))-AVERAGE(OFFSET($H$3,0,0,'Données projet'!$E$14+1,1))</f>
        <v>278.45534008146865</v>
      </c>
      <c r="DU179" s="59">
        <f t="shared" si="152"/>
        <v>272.97841038165217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3.2158782764895162</v>
      </c>
      <c r="EB179" s="21">
        <f>EXP(-LN(2)/25)*EB178+(1-EXP(-LN(2)/25))/(LN(2)/25)*Calculateur!DW179*Calculateur!DY179*VLOOKUP('Données projet'!$B$14,Paramètres!$A$1:$I$89,3,0)*0.475*44/12</f>
        <v>0.43486433047082712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3.6507426069603435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5.6843418860808015E-13</v>
      </c>
      <c r="EK179" s="17">
        <f>EJ179*VLOOKUP('Données projet'!$B$15,Paramètres!$A$1:$I$89,3,0)*VLOOKUP('Données projet'!$B$15,Paramètres!$A$1:$I$89,5,0)</f>
        <v>6.1186256061773743E-13</v>
      </c>
      <c r="EL179" s="13">
        <f t="shared" si="179"/>
        <v>7.4445668332430206E-12</v>
      </c>
      <c r="EM179" s="20">
        <f t="shared" si="180"/>
        <v>1.4031614527640822E-11</v>
      </c>
      <c r="EN179" s="59">
        <f t="shared" si="128"/>
        <v>293.33333333334735</v>
      </c>
      <c r="EO179" s="59">
        <f ca="1">AVERAGE(OFFSET($EN$3,0,0,'Données projet'!$E$15+1,1))-AVERAGE(OFFSET($H$3,0,0,'Données projet'!$E$15+1,1))</f>
        <v>449.09332781196957</v>
      </c>
      <c r="EP179" s="59">
        <f t="shared" si="154"/>
        <v>324.85904971519432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83.433915883548948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83.433915883548948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5.6843418860808015E-13</v>
      </c>
      <c r="FF179" s="17">
        <f>FE179*VLOOKUP('Données projet'!$B$16,Paramètres!$A$1:$I$89,3,0)*VLOOKUP('Données projet'!$B$16,Paramètres!$A$1:$I$89,5,0)</f>
        <v>5.763922672485933E-13</v>
      </c>
      <c r="FG179" s="13">
        <f t="shared" si="182"/>
        <v>7.0619171555808457E-12</v>
      </c>
      <c r="FH179" s="20">
        <f t="shared" si="183"/>
        <v>1.3303388911427938E-11</v>
      </c>
      <c r="FI179" s="59">
        <f t="shared" si="131"/>
        <v>293.33333333334662</v>
      </c>
      <c r="FJ179" s="59">
        <f ca="1">AVERAGE(OFFSET($FI$3,0,0,'Données projet'!$E$16+1,1))-AVERAGE(OFFSET($H$3,0,0,'Données projet'!$E$16+1,1))</f>
        <v>419.51168383014721</v>
      </c>
      <c r="FK179" s="59">
        <f t="shared" si="156"/>
        <v>213.44145308833384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78.597167136676532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78.597167136676532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266.99999999999983</v>
      </c>
      <c r="GA179" s="17">
        <f>FZ179*VLOOKUP('Données projet'!$B$17,Paramètres!$A$1:$I$89,3,0)*VLOOKUP('Données projet'!$B$17,Paramètres!$A$1:$I$89,5,0)</f>
        <v>233.2511999999999</v>
      </c>
      <c r="GB179" s="13">
        <f t="shared" si="185"/>
        <v>56.985091661350864</v>
      </c>
      <c r="GC179" s="20">
        <f t="shared" si="186"/>
        <v>505.49487464351915</v>
      </c>
      <c r="GD179" s="59">
        <f t="shared" si="134"/>
        <v>798.82820797685247</v>
      </c>
      <c r="GE179" s="59">
        <f ca="1">AVERAGE(OFFSET($GD$3,0,0,'Données projet'!$E$17+1,1))-AVERAGE(OFFSET($H$3,0,0,'Données projet'!$E$17+1,1))</f>
        <v>324.86930206492627</v>
      </c>
      <c r="GF179" s="59">
        <f t="shared" si="158"/>
        <v>317.03005098025352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4.7227742328653513</v>
      </c>
      <c r="GM179" s="21">
        <f>EXP(-LN(2)/25)*GM178+(1-EXP(-LN(2)/25))/(LN(2)/25)*Calculateur!GH179*Calculateur!GJ179*VLOOKUP('Données projet'!$B$17,Paramètres!$A$1:$I$89,3,0)*0.475*44/12</f>
        <v>0.63863301971173436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5.3614072525770853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5.6843418860808015E-13</v>
      </c>
      <c r="GV179" s="17">
        <f>GU179*VLOOKUP('Données projet'!$B$18,Paramètres!$A$1:$I$89,3,0)*VLOOKUP('Données projet'!$B$18,Paramètres!$A$1:$I$89,5,0)</f>
        <v>5.4092197387944907E-13</v>
      </c>
      <c r="GW179" s="13">
        <f t="shared" si="188"/>
        <v>6.6765148417791561E-12</v>
      </c>
      <c r="GX179" s="20">
        <f t="shared" si="189"/>
        <v>1.2570369120605403E-11</v>
      </c>
      <c r="GY179" s="59">
        <f t="shared" si="137"/>
        <v>293.33333333334588</v>
      </c>
      <c r="GZ179" s="59">
        <f ca="1">AVERAGE(OFFSET($GY$3,0,0,'Données projet'!$E$18+1,1))-AVERAGE(OFFSET($H$3,0,0,'Données projet'!$E$18+1,1))</f>
        <v>401.81944956556271</v>
      </c>
      <c r="HA179" s="59">
        <f t="shared" si="160"/>
        <v>292.20785523952651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73.760418389804215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73.760418389804215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5.1431925385259092E-13</v>
      </c>
      <c r="P180" s="13">
        <f t="shared" si="141"/>
        <v>6.3855359115685756E-12</v>
      </c>
      <c r="Q180" s="20">
        <f t="shared" si="162"/>
        <v>1.2017247746441865E-11</v>
      </c>
      <c r="R180" s="59">
        <f t="shared" si="109"/>
        <v>293.33333333334531</v>
      </c>
      <c r="S180" s="59">
        <f ca="1">AVERAGE(OFFSET($R$3,0,0,'Données projet'!$E$9+1,1))-AVERAGE(OFFSET($H$3,0,0,'Données projet'!$E$9+1,1))</f>
        <v>384.05928630855732</v>
      </c>
      <c r="T180" s="59">
        <f t="shared" si="142"/>
        <v>279.93992813630513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-6.3550942286383367E-14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335.04906256888819</v>
      </c>
      <c r="AO180" s="59">
        <f t="shared" si="144"/>
        <v>440.84111898279554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20.233207570830526</v>
      </c>
      <c r="AV180" s="21">
        <f>EXP(-LN(2)/25)*AV179+(1-EXP(-LN(2)/25))/(LN(2)/25)*Calculateur!AQ180*Calculateur!AS180*VLOOKUP('Données projet'!$B$10,Paramètres!$A$1:$I$89,3,0)*0.475*44/12</f>
        <v>1.9563835820987217</v>
      </c>
      <c r="AW180" s="21">
        <f>EXP(-LN(2)/2)*AW179+(1-EXP(-LN(2)/2))/(LN(2)/2)*AQ180*AT180*VLOOKUP('Données projet'!$B$10,Paramètres!$A$1:$I$89,3,0)*0.475*44/12</f>
        <v>1.4815104006478602E-17</v>
      </c>
      <c r="AX180" s="21">
        <f t="shared" si="166"/>
        <v>22.189591152929246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-1.4210854715202004E-13</v>
      </c>
      <c r="BE180" s="13">
        <f>BD180*VLOOKUP('Données projet'!$B$11,Paramètres!$A$1:$I$89,3,0)*VLOOKUP('Données projet'!$B$11,Paramètres!$A$1:$I$89,5,0)</f>
        <v>-8.128608897095547E-14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320.76883487964511</v>
      </c>
      <c r="BJ180" s="59">
        <f t="shared" si="146"/>
        <v>290.51177680335746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24.250231328344917</v>
      </c>
      <c r="BQ180" s="21">
        <f>EXP(-LN(2)/25)*BQ179+(1-EXP(-LN(2)/25))/(LN(2)/25)*Calculateur!BL180*Calculateur!BN180*VLOOKUP('Données projet'!$B$11,Paramètres!$A$1:$I$89,3,0)*0.475*44/12</f>
        <v>2.9888695341051639</v>
      </c>
      <c r="BR180" s="21">
        <f>EXP(-LN(2)/2)*BR179+(1-EXP(-LN(2)/2))/(LN(2)/2)*BL180*BO180*VLOOKUP('Données projet'!$B$11,Paramètres!$A$1:$I$89,3,0)*0.475*44/12</f>
        <v>2.5581574055385398E-12</v>
      </c>
      <c r="BS180" s="22">
        <f t="shared" si="169"/>
        <v>27.239100862452638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304.99999999999983</v>
      </c>
      <c r="BZ180" s="13">
        <f>BY180*VLOOKUP('Données projet'!$B$12,Paramètres!$A$1:$I$89,3,0)*VLOOKUP('Données projet'!$B$12,Paramètres!$A$1:$I$89,5,0)</f>
        <v>275.96399999999983</v>
      </c>
      <c r="CA180" s="13">
        <f t="shared" si="170"/>
        <v>66.113366665488854</v>
      </c>
      <c r="CB180" s="20">
        <f t="shared" si="171"/>
        <v>595.78474694239264</v>
      </c>
      <c r="CC180" s="59">
        <f t="shared" si="119"/>
        <v>889.11808027572602</v>
      </c>
      <c r="CD180" s="59">
        <f ca="1">AVERAGE(OFFSET($CC$3,0,0,'Données projet'!$E$12+1,1))-AVERAGE(OFFSET($H$3,0,0,'Données projet'!$E$12+1,1))</f>
        <v>366.69125512029831</v>
      </c>
      <c r="CE180" s="59">
        <f t="shared" si="148"/>
        <v>513.80016421153414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8.7940119634487904E-2</v>
      </c>
      <c r="CL180" s="21">
        <f>EXP(-LN(2)/25)*CL179+(1-EXP(-LN(2)/25))/(LN(2)/25)*Calculateur!CG180*Calculateur!CI180*VLOOKUP('Données projet'!$B$12,Paramètres!$A$1:$I$89,3,0)*0.475*44/12</f>
        <v>0.12536512846973472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0.21330524810422263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5.6843418860808015E-13</v>
      </c>
      <c r="CU180" s="17">
        <f>CT180*VLOOKUP('Données projet'!$B$13,Paramètres!$A$1:$I$89,3,0)*VLOOKUP('Données projet'!$B$13,Paramètres!$A$1:$I$89,5,0)</f>
        <v>3.8130565371830017E-13</v>
      </c>
      <c r="CV180" s="13">
        <f t="shared" si="173"/>
        <v>4.9019074112354236E-12</v>
      </c>
      <c r="CW180" s="20">
        <f t="shared" si="174"/>
        <v>9.2015960881277352E-12</v>
      </c>
      <c r="CX180" s="59">
        <f t="shared" si="122"/>
        <v>293.33333333334252</v>
      </c>
      <c r="CY180" s="59">
        <f ca="1">AVERAGE(OFFSET($CX$3,0,0,'Données projet'!$E$13+1,1))-AVERAGE(OFFSET($H$3,0,0,'Données projet'!$E$13+1,1))</f>
        <v>294.94331863127815</v>
      </c>
      <c r="CZ180" s="59">
        <f t="shared" si="150"/>
        <v>218.36990036643977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62.830215466449644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62.830215466449644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266.99999999999983</v>
      </c>
      <c r="DP180" s="17">
        <f>DO180*VLOOKUP('Données projet'!$B$14,Paramètres!$A$1:$I$89,3,0)*VLOOKUP('Données projet'!$B$14,Paramètres!$A$1:$I$89,5,0)</f>
        <v>195.76439999999985</v>
      </c>
      <c r="DQ180" s="13">
        <f t="shared" si="176"/>
        <v>48.812154563023455</v>
      </c>
      <c r="DR180" s="20">
        <f t="shared" si="177"/>
        <v>425.9708325305989</v>
      </c>
      <c r="DS180" s="59">
        <f t="shared" si="125"/>
        <v>719.30416586393221</v>
      </c>
      <c r="DT180" s="59">
        <f ca="1">AVERAGE(OFFSET($DS$3,0,0,'Données projet'!$E$14+1,1))-AVERAGE(OFFSET($H$3,0,0,'Données projet'!$E$14+1,1))</f>
        <v>278.45534008146865</v>
      </c>
      <c r="DU180" s="59">
        <f t="shared" si="152"/>
        <v>272.97841038165217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3.152816864979624</v>
      </c>
      <c r="EB180" s="21">
        <f>EXP(-LN(2)/25)*EB179+(1-EXP(-LN(2)/25))/(LN(2)/25)*Calculateur!DW180*Calculateur!DY180*VLOOKUP('Données projet'!$B$14,Paramètres!$A$1:$I$89,3,0)*0.475*44/12</f>
        <v>0.42297294248558109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3.5757898074652053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5.6843418860808015E-13</v>
      </c>
      <c r="EK180" s="17">
        <f>EJ180*VLOOKUP('Données projet'!$B$15,Paramètres!$A$1:$I$89,3,0)*VLOOKUP('Données projet'!$B$15,Paramètres!$A$1:$I$89,5,0)</f>
        <v>6.1186256061773743E-13</v>
      </c>
      <c r="EL180" s="13">
        <f t="shared" si="179"/>
        <v>7.4445668332430206E-12</v>
      </c>
      <c r="EM180" s="20">
        <f t="shared" si="180"/>
        <v>1.4031614527640822E-11</v>
      </c>
      <c r="EN180" s="59">
        <f t="shared" si="128"/>
        <v>293.33333333334735</v>
      </c>
      <c r="EO180" s="59">
        <f ca="1">AVERAGE(OFFSET($EN$3,0,0,'Données projet'!$E$15+1,1))-AVERAGE(OFFSET($H$3,0,0,'Données projet'!$E$15+1,1))</f>
        <v>449.09332781196957</v>
      </c>
      <c r="EP180" s="59">
        <f t="shared" si="154"/>
        <v>324.85904971519432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81.797827682736312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81.797827682736312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5.6843418860808015E-13</v>
      </c>
      <c r="FF180" s="17">
        <f>FE180*VLOOKUP('Données projet'!$B$16,Paramètres!$A$1:$I$89,3,0)*VLOOKUP('Données projet'!$B$16,Paramètres!$A$1:$I$89,5,0)</f>
        <v>5.763922672485933E-13</v>
      </c>
      <c r="FG180" s="13">
        <f t="shared" si="182"/>
        <v>7.0619171555808457E-12</v>
      </c>
      <c r="FH180" s="20">
        <f t="shared" si="183"/>
        <v>1.3303388911427938E-11</v>
      </c>
      <c r="FI180" s="59">
        <f t="shared" si="131"/>
        <v>293.33333333334662</v>
      </c>
      <c r="FJ180" s="59">
        <f ca="1">AVERAGE(OFFSET($FI$3,0,0,'Données projet'!$E$16+1,1))-AVERAGE(OFFSET($H$3,0,0,'Données projet'!$E$16+1,1))</f>
        <v>419.51168383014721</v>
      </c>
      <c r="FK180" s="59">
        <f t="shared" si="156"/>
        <v>213.44145308833384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77.055924628664627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77.055924628664627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266.99999999999983</v>
      </c>
      <c r="GA180" s="17">
        <f>FZ180*VLOOKUP('Données projet'!$B$17,Paramètres!$A$1:$I$89,3,0)*VLOOKUP('Données projet'!$B$17,Paramètres!$A$1:$I$89,5,0)</f>
        <v>233.2511999999999</v>
      </c>
      <c r="GB180" s="13">
        <f t="shared" si="185"/>
        <v>56.985091661350864</v>
      </c>
      <c r="GC180" s="20">
        <f t="shared" si="186"/>
        <v>505.49487464351915</v>
      </c>
      <c r="GD180" s="59">
        <f t="shared" si="134"/>
        <v>798.82820797685247</v>
      </c>
      <c r="GE180" s="59">
        <f ca="1">AVERAGE(OFFSET($GD$3,0,0,'Données projet'!$E$17+1,1))-AVERAGE(OFFSET($H$3,0,0,'Données projet'!$E$17+1,1))</f>
        <v>324.86930206492627</v>
      </c>
      <c r="GF180" s="59">
        <f t="shared" si="158"/>
        <v>317.03005098025352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4.6301635107667076</v>
      </c>
      <c r="GM180" s="21">
        <f>EXP(-LN(2)/25)*GM179+(1-EXP(-LN(2)/25))/(LN(2)/25)*Calculateur!GH180*Calculateur!GJ180*VLOOKUP('Données projet'!$B$17,Paramètres!$A$1:$I$89,3,0)*0.475*44/12</f>
        <v>0.62116956620346608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5.251333076970174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5.6843418860808015E-13</v>
      </c>
      <c r="GV180" s="17">
        <f>GU180*VLOOKUP('Données projet'!$B$18,Paramètres!$A$1:$I$89,3,0)*VLOOKUP('Données projet'!$B$18,Paramètres!$A$1:$I$89,5,0)</f>
        <v>5.4092197387944907E-13</v>
      </c>
      <c r="GW180" s="13">
        <f t="shared" si="188"/>
        <v>6.6765148417791561E-12</v>
      </c>
      <c r="GX180" s="20">
        <f t="shared" si="189"/>
        <v>1.2570369120605403E-11</v>
      </c>
      <c r="GY180" s="59">
        <f t="shared" si="137"/>
        <v>293.33333333334588</v>
      </c>
      <c r="GZ180" s="59">
        <f ca="1">AVERAGE(OFFSET($GY$3,0,0,'Données projet'!$E$18+1,1))-AVERAGE(OFFSET($H$3,0,0,'Données projet'!$E$18+1,1))</f>
        <v>401.81944956556271</v>
      </c>
      <c r="HA180" s="59">
        <f t="shared" si="160"/>
        <v>292.20785523952651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72.314021574593042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72.314021574593042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5.1431925385259092E-13</v>
      </c>
      <c r="P181" s="13">
        <f t="shared" si="141"/>
        <v>6.3855359115685756E-12</v>
      </c>
      <c r="Q181" s="20">
        <f t="shared" si="162"/>
        <v>1.2017247746441865E-11</v>
      </c>
      <c r="R181" s="59">
        <f t="shared" si="109"/>
        <v>293.33333333334531</v>
      </c>
      <c r="S181" s="59">
        <f ca="1">AVERAGE(OFFSET($R$3,0,0,'Données projet'!$E$9+1,1))-AVERAGE(OFFSET($H$3,0,0,'Données projet'!$E$9+1,1))</f>
        <v>384.05928630855732</v>
      </c>
      <c r="T181" s="59">
        <f t="shared" si="142"/>
        <v>279.93992813630513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-6.3550942286383367E-14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335.04906256888819</v>
      </c>
      <c r="AO181" s="59">
        <f t="shared" si="144"/>
        <v>440.84111898279554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19.83644671140458</v>
      </c>
      <c r="AV181" s="21">
        <f>EXP(-LN(2)/25)*AV180+(1-EXP(-LN(2)/25))/(LN(2)/25)*Calculateur!AQ181*Calculateur!AS181*VLOOKUP('Données projet'!$B$10,Paramètres!$A$1:$I$89,3,0)*0.475*44/12</f>
        <v>1.9028861701644908</v>
      </c>
      <c r="AW181" s="21">
        <f>EXP(-LN(2)/2)*AW180+(1-EXP(-LN(2)/2))/(LN(2)/2)*AQ181*AT181*VLOOKUP('Données projet'!$B$10,Paramètres!$A$1:$I$89,3,0)*0.475*44/12</f>
        <v>1.0475860506965008E-17</v>
      </c>
      <c r="AX181" s="21">
        <f t="shared" si="166"/>
        <v>21.739332881569069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-1.4210854715202004E-13</v>
      </c>
      <c r="BE181" s="13">
        <f>BD181*VLOOKUP('Données projet'!$B$11,Paramètres!$A$1:$I$89,3,0)*VLOOKUP('Données projet'!$B$11,Paramètres!$A$1:$I$89,5,0)</f>
        <v>-8.128608897095547E-14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320.76883487964511</v>
      </c>
      <c r="BJ181" s="59">
        <f t="shared" si="146"/>
        <v>290.51177680335746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23.774699083176674</v>
      </c>
      <c r="BQ181" s="21">
        <f>EXP(-LN(2)/25)*BQ180+(1-EXP(-LN(2)/25))/(LN(2)/25)*Calculateur!BL181*Calculateur!BN181*VLOOKUP('Données projet'!$B$11,Paramètres!$A$1:$I$89,3,0)*0.475*44/12</f>
        <v>2.9071387395172406</v>
      </c>
      <c r="BR181" s="21">
        <f>EXP(-LN(2)/2)*BR180+(1-EXP(-LN(2)/2))/(LN(2)/2)*BL181*BO181*VLOOKUP('Données projet'!$B$11,Paramètres!$A$1:$I$89,3,0)*0.475*44/12</f>
        <v>1.8088904487988865E-12</v>
      </c>
      <c r="BS181" s="22">
        <f t="shared" si="169"/>
        <v>26.681837822695723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304.99999999999983</v>
      </c>
      <c r="BZ181" s="13">
        <f>BY181*VLOOKUP('Données projet'!$B$12,Paramètres!$A$1:$I$89,3,0)*VLOOKUP('Données projet'!$B$12,Paramètres!$A$1:$I$89,5,0)</f>
        <v>275.96399999999983</v>
      </c>
      <c r="CA181" s="13">
        <f t="shared" si="170"/>
        <v>66.113366665488854</v>
      </c>
      <c r="CB181" s="20">
        <f t="shared" si="171"/>
        <v>595.78474694239264</v>
      </c>
      <c r="CC181" s="59">
        <f t="shared" si="119"/>
        <v>889.11808027572602</v>
      </c>
      <c r="CD181" s="59">
        <f ca="1">AVERAGE(OFFSET($CC$3,0,0,'Données projet'!$E$12+1,1))-AVERAGE(OFFSET($H$3,0,0,'Données projet'!$E$12+1,1))</f>
        <v>366.69125512029831</v>
      </c>
      <c r="CE181" s="59">
        <f t="shared" si="148"/>
        <v>513.80016421153414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8.6215667526632248E-2</v>
      </c>
      <c r="CL181" s="21">
        <f>EXP(-LN(2)/25)*CL180+(1-EXP(-LN(2)/25))/(LN(2)/25)*Calculateur!CG181*Calculateur!CI181*VLOOKUP('Données projet'!$B$12,Paramètres!$A$1:$I$89,3,0)*0.475*44/12</f>
        <v>0.12193701243906424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0.20815267996569647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5.6843418860808015E-13</v>
      </c>
      <c r="CU181" s="17">
        <f>CT181*VLOOKUP('Données projet'!$B$13,Paramètres!$A$1:$I$89,3,0)*VLOOKUP('Données projet'!$B$13,Paramètres!$A$1:$I$89,5,0)</f>
        <v>3.8130565371830017E-13</v>
      </c>
      <c r="CV181" s="13">
        <f t="shared" si="173"/>
        <v>4.9019074112354236E-12</v>
      </c>
      <c r="CW181" s="20">
        <f t="shared" si="174"/>
        <v>9.2015960881277352E-12</v>
      </c>
      <c r="CX181" s="59">
        <f t="shared" si="122"/>
        <v>293.33333333334252</v>
      </c>
      <c r="CY181" s="59">
        <f ca="1">AVERAGE(OFFSET($CX$3,0,0,'Données projet'!$E$13+1,1))-AVERAGE(OFFSET($H$3,0,0,'Données projet'!$E$13+1,1))</f>
        <v>294.94331863127815</v>
      </c>
      <c r="CZ181" s="59">
        <f t="shared" si="150"/>
        <v>218.36990036643977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61.598153263799951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61.598153263799951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266.99999999999983</v>
      </c>
      <c r="DP181" s="17">
        <f>DO181*VLOOKUP('Données projet'!$B$14,Paramètres!$A$1:$I$89,3,0)*VLOOKUP('Données projet'!$B$14,Paramètres!$A$1:$I$89,5,0)</f>
        <v>195.76439999999985</v>
      </c>
      <c r="DQ181" s="13">
        <f t="shared" si="176"/>
        <v>48.812154563023455</v>
      </c>
      <c r="DR181" s="20">
        <f t="shared" si="177"/>
        <v>425.9708325305989</v>
      </c>
      <c r="DS181" s="59">
        <f t="shared" si="125"/>
        <v>719.30416586393221</v>
      </c>
      <c r="DT181" s="59">
        <f ca="1">AVERAGE(OFFSET($DS$3,0,0,'Données projet'!$E$14+1,1))-AVERAGE(OFFSET($H$3,0,0,'Données projet'!$E$14+1,1))</f>
        <v>278.45534008146865</v>
      </c>
      <c r="DU181" s="59">
        <f t="shared" si="152"/>
        <v>272.97841038165217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3.0909920492857781</v>
      </c>
      <c r="EB181" s="21">
        <f>EXP(-LN(2)/25)*EB180+(1-EXP(-LN(2)/25))/(LN(2)/25)*Calculateur!DW181*Calculateur!DY181*VLOOKUP('Données projet'!$B$14,Paramètres!$A$1:$I$89,3,0)*0.475*44/12</f>
        <v>0.41140672513013254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3.5023987744159104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5.6843418860808015E-13</v>
      </c>
      <c r="EK181" s="17">
        <f>EJ181*VLOOKUP('Données projet'!$B$15,Paramètres!$A$1:$I$89,3,0)*VLOOKUP('Données projet'!$B$15,Paramètres!$A$1:$I$89,5,0)</f>
        <v>6.1186256061773743E-13</v>
      </c>
      <c r="EL181" s="13">
        <f t="shared" si="179"/>
        <v>7.4445668332430206E-12</v>
      </c>
      <c r="EM181" s="20">
        <f t="shared" si="180"/>
        <v>1.4031614527640822E-11</v>
      </c>
      <c r="EN181" s="59">
        <f t="shared" si="128"/>
        <v>293.33333333334735</v>
      </c>
      <c r="EO181" s="59">
        <f ca="1">AVERAGE(OFFSET($EN$3,0,0,'Données projet'!$E$15+1,1))-AVERAGE(OFFSET($H$3,0,0,'Données projet'!$E$15+1,1))</f>
        <v>449.09332781196957</v>
      </c>
      <c r="EP181" s="59">
        <f t="shared" si="154"/>
        <v>324.85904971519432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80.193822173626344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80.193822173626344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5.6843418860808015E-13</v>
      </c>
      <c r="FF181" s="17">
        <f>FE181*VLOOKUP('Données projet'!$B$16,Paramètres!$A$1:$I$89,3,0)*VLOOKUP('Données projet'!$B$16,Paramètres!$A$1:$I$89,5,0)</f>
        <v>5.763922672485933E-13</v>
      </c>
      <c r="FG181" s="13">
        <f t="shared" si="182"/>
        <v>7.0619171555808457E-12</v>
      </c>
      <c r="FH181" s="20">
        <f t="shared" si="183"/>
        <v>1.3303388911427938E-11</v>
      </c>
      <c r="FI181" s="59">
        <f t="shared" si="131"/>
        <v>293.33333333334662</v>
      </c>
      <c r="FJ181" s="59">
        <f ca="1">AVERAGE(OFFSET($FI$3,0,0,'Données projet'!$E$16+1,1))-AVERAGE(OFFSET($H$3,0,0,'Données projet'!$E$16+1,1))</f>
        <v>419.51168383014721</v>
      </c>
      <c r="FK181" s="59">
        <f t="shared" si="156"/>
        <v>213.44145308833384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75.544904946169723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75.544904946169723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266.99999999999983</v>
      </c>
      <c r="GA181" s="17">
        <f>FZ181*VLOOKUP('Données projet'!$B$17,Paramètres!$A$1:$I$89,3,0)*VLOOKUP('Données projet'!$B$17,Paramètres!$A$1:$I$89,5,0)</f>
        <v>233.2511999999999</v>
      </c>
      <c r="GB181" s="13">
        <f t="shared" si="185"/>
        <v>56.985091661350864</v>
      </c>
      <c r="GC181" s="20">
        <f t="shared" si="186"/>
        <v>505.49487464351915</v>
      </c>
      <c r="GD181" s="59">
        <f t="shared" si="134"/>
        <v>798.82820797685247</v>
      </c>
      <c r="GE181" s="59">
        <f ca="1">AVERAGE(OFFSET($GD$3,0,0,'Données projet'!$E$17+1,1))-AVERAGE(OFFSET($H$3,0,0,'Données projet'!$E$17+1,1))</f>
        <v>324.86930206492627</v>
      </c>
      <c r="GF181" s="59">
        <f t="shared" si="158"/>
        <v>317.03005098025352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4.5393688284414555</v>
      </c>
      <c r="GM181" s="21">
        <f>EXP(-LN(2)/25)*GM180+(1-EXP(-LN(2)/25))/(LN(2)/25)*Calculateur!GH181*Calculateur!GJ181*VLOOKUP('Données projet'!$B$17,Paramètres!$A$1:$I$89,3,0)*0.475*44/12</f>
        <v>0.60418365174974453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5.1435524801912003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5.6843418860808015E-13</v>
      </c>
      <c r="GV181" s="17">
        <f>GU181*VLOOKUP('Données projet'!$B$18,Paramètres!$A$1:$I$89,3,0)*VLOOKUP('Données projet'!$B$18,Paramètres!$A$1:$I$89,5,0)</f>
        <v>5.4092197387944907E-13</v>
      </c>
      <c r="GW181" s="13">
        <f t="shared" si="188"/>
        <v>6.6765148417791561E-12</v>
      </c>
      <c r="GX181" s="20">
        <f t="shared" si="189"/>
        <v>1.2570369120605403E-11</v>
      </c>
      <c r="GY181" s="59">
        <f t="shared" si="137"/>
        <v>293.33333333334588</v>
      </c>
      <c r="GZ181" s="59">
        <f ca="1">AVERAGE(OFFSET($GY$3,0,0,'Données projet'!$E$18+1,1))-AVERAGE(OFFSET($H$3,0,0,'Données projet'!$E$18+1,1))</f>
        <v>401.81944956556271</v>
      </c>
      <c r="HA181" s="59">
        <f t="shared" si="160"/>
        <v>292.20785523952651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70.895987718713215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70.895987718713215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5.1431925385259092E-13</v>
      </c>
      <c r="P182" s="13">
        <f t="shared" si="141"/>
        <v>6.3855359115685756E-12</v>
      </c>
      <c r="Q182" s="20">
        <f t="shared" si="162"/>
        <v>1.2017247746441865E-11</v>
      </c>
      <c r="R182" s="59">
        <f t="shared" si="109"/>
        <v>293.33333333334531</v>
      </c>
      <c r="S182" s="59">
        <f ca="1">AVERAGE(OFFSET($R$3,0,0,'Données projet'!$E$9+1,1))-AVERAGE(OFFSET($H$3,0,0,'Données projet'!$E$9+1,1))</f>
        <v>384.05928630855732</v>
      </c>
      <c r="T182" s="59">
        <f t="shared" si="142"/>
        <v>279.93992813630513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-6.3550942286383367E-14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335.04906256888819</v>
      </c>
      <c r="AO182" s="59">
        <f t="shared" si="144"/>
        <v>440.84111898279554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19.44746609043175</v>
      </c>
      <c r="AV182" s="21">
        <f>EXP(-LN(2)/25)*AV181+(1-EXP(-LN(2)/25))/(LN(2)/25)*Calculateur!AQ182*Calculateur!AS182*VLOOKUP('Données projet'!$B$10,Paramètres!$A$1:$I$89,3,0)*0.475*44/12</f>
        <v>1.8508516477729082</v>
      </c>
      <c r="AW182" s="21">
        <f>EXP(-LN(2)/2)*AW181+(1-EXP(-LN(2)/2))/(LN(2)/2)*AQ182*AT182*VLOOKUP('Données projet'!$B$10,Paramètres!$A$1:$I$89,3,0)*0.475*44/12</f>
        <v>7.407552003239301E-18</v>
      </c>
      <c r="AX182" s="21">
        <f t="shared" si="166"/>
        <v>21.298317738204659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-1.4210854715202004E-13</v>
      </c>
      <c r="BE182" s="13">
        <f>BD182*VLOOKUP('Données projet'!$B$11,Paramètres!$A$1:$I$89,3,0)*VLOOKUP('Données projet'!$B$11,Paramètres!$A$1:$I$89,5,0)</f>
        <v>-8.128608897095547E-14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320.76883487964511</v>
      </c>
      <c r="BJ182" s="59">
        <f t="shared" si="146"/>
        <v>290.51177680335746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23.308491735290154</v>
      </c>
      <c r="BQ182" s="21">
        <f>EXP(-LN(2)/25)*BQ181+(1-EXP(-LN(2)/25))/(LN(2)/25)*Calculateur!BL182*Calculateur!BN182*VLOOKUP('Données projet'!$B$11,Paramètres!$A$1:$I$89,3,0)*0.475*44/12</f>
        <v>2.8276428778053595</v>
      </c>
      <c r="BR182" s="21">
        <f>EXP(-LN(2)/2)*BR181+(1-EXP(-LN(2)/2))/(LN(2)/2)*BL182*BO182*VLOOKUP('Données projet'!$B$11,Paramètres!$A$1:$I$89,3,0)*0.475*44/12</f>
        <v>1.2790787027692701E-12</v>
      </c>
      <c r="BS182" s="22">
        <f t="shared" si="169"/>
        <v>26.136134613096793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304.99999999999983</v>
      </c>
      <c r="BZ182" s="13">
        <f>BY182*VLOOKUP('Données projet'!$B$12,Paramètres!$A$1:$I$89,3,0)*VLOOKUP('Données projet'!$B$12,Paramètres!$A$1:$I$89,5,0)</f>
        <v>275.96399999999983</v>
      </c>
      <c r="CA182" s="13">
        <f t="shared" si="170"/>
        <v>66.113366665488854</v>
      </c>
      <c r="CB182" s="20">
        <f t="shared" si="171"/>
        <v>595.78474694239264</v>
      </c>
      <c r="CC182" s="59">
        <f t="shared" si="119"/>
        <v>889.11808027572602</v>
      </c>
      <c r="CD182" s="59">
        <f ca="1">AVERAGE(OFFSET($CC$3,0,0,'Données projet'!$E$12+1,1))-AVERAGE(OFFSET($H$3,0,0,'Données projet'!$E$12+1,1))</f>
        <v>366.69125512029831</v>
      </c>
      <c r="CE182" s="59">
        <f t="shared" si="148"/>
        <v>513.80016421153414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8.4525030872799709E-2</v>
      </c>
      <c r="CL182" s="21">
        <f>EXP(-LN(2)/25)*CL181+(1-EXP(-LN(2)/25))/(LN(2)/25)*Calculateur!CG182*Calculateur!CI182*VLOOKUP('Données projet'!$B$12,Paramètres!$A$1:$I$89,3,0)*0.475*44/12</f>
        <v>0.11860263842152924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0.20312766929432896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5.6843418860808015E-13</v>
      </c>
      <c r="CU182" s="17">
        <f>CT182*VLOOKUP('Données projet'!$B$13,Paramètres!$A$1:$I$89,3,0)*VLOOKUP('Données projet'!$B$13,Paramètres!$A$1:$I$89,5,0)</f>
        <v>3.8130565371830017E-13</v>
      </c>
      <c r="CV182" s="13">
        <f t="shared" si="173"/>
        <v>4.9019074112354236E-12</v>
      </c>
      <c r="CW182" s="20">
        <f t="shared" si="174"/>
        <v>9.2015960881277352E-12</v>
      </c>
      <c r="CX182" s="59">
        <f t="shared" si="122"/>
        <v>293.33333333334252</v>
      </c>
      <c r="CY182" s="59">
        <f ca="1">AVERAGE(OFFSET($CX$3,0,0,'Données projet'!$E$13+1,1))-AVERAGE(OFFSET($H$3,0,0,'Données projet'!$E$13+1,1))</f>
        <v>294.94331863127815</v>
      </c>
      <c r="CZ182" s="59">
        <f t="shared" si="150"/>
        <v>218.36990036643977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60.390251049460481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60.390251049460481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266.99999999999983</v>
      </c>
      <c r="DP182" s="17">
        <f>DO182*VLOOKUP('Données projet'!$B$14,Paramètres!$A$1:$I$89,3,0)*VLOOKUP('Données projet'!$B$14,Paramètres!$A$1:$I$89,5,0)</f>
        <v>195.76439999999985</v>
      </c>
      <c r="DQ182" s="13">
        <f t="shared" si="176"/>
        <v>48.812154563023455</v>
      </c>
      <c r="DR182" s="20">
        <f t="shared" si="177"/>
        <v>425.9708325305989</v>
      </c>
      <c r="DS182" s="59">
        <f t="shared" si="125"/>
        <v>719.30416586393221</v>
      </c>
      <c r="DT182" s="59">
        <f ca="1">AVERAGE(OFFSET($DS$3,0,0,'Données projet'!$E$14+1,1))-AVERAGE(OFFSET($H$3,0,0,'Données projet'!$E$14+1,1))</f>
        <v>278.45534008146865</v>
      </c>
      <c r="DU182" s="59">
        <f t="shared" si="152"/>
        <v>272.97841038165217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3.0303795805182743</v>
      </c>
      <c r="EB182" s="21">
        <f>EXP(-LN(2)/25)*EB181+(1-EXP(-LN(2)/25))/(LN(2)/25)*Calculateur!DW182*Calculateur!DY182*VLOOKUP('Données projet'!$B$14,Paramètres!$A$1:$I$89,3,0)*0.475*44/12</f>
        <v>0.40015678659650966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3.4305363671147839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5.6843418860808015E-13</v>
      </c>
      <c r="EK182" s="17">
        <f>EJ182*VLOOKUP('Données projet'!$B$15,Paramètres!$A$1:$I$89,3,0)*VLOOKUP('Données projet'!$B$15,Paramètres!$A$1:$I$89,5,0)</f>
        <v>6.1186256061773743E-13</v>
      </c>
      <c r="EL182" s="13">
        <f t="shared" si="179"/>
        <v>7.4445668332430206E-12</v>
      </c>
      <c r="EM182" s="20">
        <f t="shared" si="180"/>
        <v>1.4031614527640822E-11</v>
      </c>
      <c r="EN182" s="59">
        <f t="shared" si="128"/>
        <v>293.33333333334735</v>
      </c>
      <c r="EO182" s="59">
        <f ca="1">AVERAGE(OFFSET($EN$3,0,0,'Données projet'!$E$15+1,1))-AVERAGE(OFFSET($H$3,0,0,'Données projet'!$E$15+1,1))</f>
        <v>449.09332781196957</v>
      </c>
      <c r="EP182" s="59">
        <f t="shared" si="154"/>
        <v>324.85904971519432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78.621270234203266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78.621270234203266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5.6843418860808015E-13</v>
      </c>
      <c r="FF182" s="17">
        <f>FE182*VLOOKUP('Données projet'!$B$16,Paramètres!$A$1:$I$89,3,0)*VLOOKUP('Données projet'!$B$16,Paramètres!$A$1:$I$89,5,0)</f>
        <v>5.763922672485933E-13</v>
      </c>
      <c r="FG182" s="13">
        <f t="shared" si="182"/>
        <v>7.0619171555808457E-12</v>
      </c>
      <c r="FH182" s="20">
        <f t="shared" si="183"/>
        <v>1.3303388911427938E-11</v>
      </c>
      <c r="FI182" s="59">
        <f t="shared" si="131"/>
        <v>293.33333333334662</v>
      </c>
      <c r="FJ182" s="59">
        <f ca="1">AVERAGE(OFFSET($FI$3,0,0,'Données projet'!$E$16+1,1))-AVERAGE(OFFSET($H$3,0,0,'Données projet'!$E$16+1,1))</f>
        <v>419.51168383014721</v>
      </c>
      <c r="FK182" s="59">
        <f t="shared" si="156"/>
        <v>213.44145308833384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74.063515438017546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74.063515438017546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266.99999999999983</v>
      </c>
      <c r="GA182" s="17">
        <f>FZ182*VLOOKUP('Données projet'!$B$17,Paramètres!$A$1:$I$89,3,0)*VLOOKUP('Données projet'!$B$17,Paramètres!$A$1:$I$89,5,0)</f>
        <v>233.2511999999999</v>
      </c>
      <c r="GB182" s="13">
        <f t="shared" si="185"/>
        <v>56.985091661350864</v>
      </c>
      <c r="GC182" s="20">
        <f t="shared" si="186"/>
        <v>505.49487464351915</v>
      </c>
      <c r="GD182" s="59">
        <f t="shared" si="134"/>
        <v>798.82820797685247</v>
      </c>
      <c r="GE182" s="59">
        <f ca="1">AVERAGE(OFFSET($GD$3,0,0,'Données projet'!$E$17+1,1))-AVERAGE(OFFSET($H$3,0,0,'Données projet'!$E$17+1,1))</f>
        <v>324.86930206492627</v>
      </c>
      <c r="GF182" s="59">
        <f t="shared" si="158"/>
        <v>317.03005098025352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4.4503545744573136</v>
      </c>
      <c r="GM182" s="21">
        <f>EXP(-LN(2)/25)*GM181+(1-EXP(-LN(2)/25))/(LN(2)/25)*Calculateur!GH182*Calculateur!GJ182*VLOOKUP('Données projet'!$B$17,Paramètres!$A$1:$I$89,3,0)*0.475*44/12</f>
        <v>0.5876622180200104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5.0380167924773236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5.6843418860808015E-13</v>
      </c>
      <c r="GV182" s="17">
        <f>GU182*VLOOKUP('Données projet'!$B$18,Paramètres!$A$1:$I$89,3,0)*VLOOKUP('Données projet'!$B$18,Paramètres!$A$1:$I$89,5,0)</f>
        <v>5.4092197387944907E-13</v>
      </c>
      <c r="GW182" s="13">
        <f t="shared" si="188"/>
        <v>6.6765148417791561E-12</v>
      </c>
      <c r="GX182" s="20">
        <f t="shared" si="189"/>
        <v>1.2570369120605403E-11</v>
      </c>
      <c r="GY182" s="59">
        <f t="shared" si="137"/>
        <v>293.33333333334588</v>
      </c>
      <c r="GZ182" s="59">
        <f ca="1">AVERAGE(OFFSET($GY$3,0,0,'Données projet'!$E$18+1,1))-AVERAGE(OFFSET($H$3,0,0,'Données projet'!$E$18+1,1))</f>
        <v>401.81944956556271</v>
      </c>
      <c r="HA182" s="59">
        <f t="shared" si="160"/>
        <v>292.20785523952651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69.505760641831941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69.505760641831941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5.1431925385259092E-13</v>
      </c>
      <c r="P183" s="13">
        <f t="shared" si="141"/>
        <v>6.3855359115685756E-12</v>
      </c>
      <c r="Q183" s="20">
        <f t="shared" si="162"/>
        <v>1.2017247746441865E-11</v>
      </c>
      <c r="R183" s="59">
        <f t="shared" si="109"/>
        <v>293.33333333334531</v>
      </c>
      <c r="S183" s="59">
        <f ca="1">AVERAGE(OFFSET($R$3,0,0,'Données projet'!$E$9+1,1))-AVERAGE(OFFSET($H$3,0,0,'Données projet'!$E$9+1,1))</f>
        <v>384.05928630855732</v>
      </c>
      <c r="T183" s="59">
        <f t="shared" si="142"/>
        <v>279.93992813630513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-6.3550942286383367E-14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335.04906256888819</v>
      </c>
      <c r="AO183" s="59">
        <f t="shared" si="144"/>
        <v>440.84111898279554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19.066113142181443</v>
      </c>
      <c r="AV183" s="21">
        <f>EXP(-LN(2)/25)*AV182+(1-EXP(-LN(2)/25))/(LN(2)/25)*Calculateur!AQ183*Calculateur!AS183*VLOOKUP('Données projet'!$B$10,Paramètres!$A$1:$I$89,3,0)*0.475*44/12</f>
        <v>1.8002400121325002</v>
      </c>
      <c r="AW183" s="21">
        <f>EXP(-LN(2)/2)*AW182+(1-EXP(-LN(2)/2))/(LN(2)/2)*AQ183*AT183*VLOOKUP('Données projet'!$B$10,Paramètres!$A$1:$I$89,3,0)*0.475*44/12</f>
        <v>5.2379302534825042E-18</v>
      </c>
      <c r="AX183" s="21">
        <f t="shared" si="166"/>
        <v>20.866353154313945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-1.4210854715202004E-13</v>
      </c>
      <c r="BE183" s="13">
        <f>BD183*VLOOKUP('Données projet'!$B$11,Paramètres!$A$1:$I$89,3,0)*VLOOKUP('Données projet'!$B$11,Paramètres!$A$1:$I$89,5,0)</f>
        <v>-8.128608897095547E-14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320.76883487964511</v>
      </c>
      <c r="BJ183" s="59">
        <f t="shared" si="146"/>
        <v>290.51177680335746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22.851426429137284</v>
      </c>
      <c r="BQ183" s="21">
        <f>EXP(-LN(2)/25)*BQ182+(1-EXP(-LN(2)/25))/(LN(2)/25)*Calculateur!BL183*Calculateur!BN183*VLOOKUP('Données projet'!$B$11,Paramètres!$A$1:$I$89,3,0)*0.475*44/12</f>
        <v>2.7503208346124959</v>
      </c>
      <c r="BR183" s="21">
        <f>EXP(-LN(2)/2)*BR182+(1-EXP(-LN(2)/2))/(LN(2)/2)*BL183*BO183*VLOOKUP('Données projet'!$B$11,Paramètres!$A$1:$I$89,3,0)*0.475*44/12</f>
        <v>9.0444522439944337E-13</v>
      </c>
      <c r="BS183" s="22">
        <f t="shared" si="169"/>
        <v>25.601747263750685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304.99999999999983</v>
      </c>
      <c r="BZ183" s="13">
        <f>BY183*VLOOKUP('Données projet'!$B$12,Paramètres!$A$1:$I$89,3,0)*VLOOKUP('Données projet'!$B$12,Paramètres!$A$1:$I$89,5,0)</f>
        <v>275.96399999999983</v>
      </c>
      <c r="CA183" s="13">
        <f t="shared" si="170"/>
        <v>66.113366665488854</v>
      </c>
      <c r="CB183" s="20">
        <f t="shared" si="171"/>
        <v>595.78474694239264</v>
      </c>
      <c r="CC183" s="59">
        <f t="shared" si="119"/>
        <v>889.11808027572602</v>
      </c>
      <c r="CD183" s="59">
        <f ca="1">AVERAGE(OFFSET($CC$3,0,0,'Données projet'!$E$12+1,1))-AVERAGE(OFFSET($H$3,0,0,'Données projet'!$E$12+1,1))</f>
        <v>366.69125512029831</v>
      </c>
      <c r="CE183" s="59">
        <f t="shared" si="148"/>
        <v>513.80016421153414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8.286754657256229E-2</v>
      </c>
      <c r="CL183" s="21">
        <f>EXP(-LN(2)/25)*CL182+(1-EXP(-LN(2)/25))/(LN(2)/25)*Calculateur!CG183*Calculateur!CI183*VLOOKUP('Données projet'!$B$12,Paramètres!$A$1:$I$89,3,0)*0.475*44/12</f>
        <v>0.11535944303685083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0.19822698960941312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5.6843418860808015E-13</v>
      </c>
      <c r="CU183" s="17">
        <f>CT183*VLOOKUP('Données projet'!$B$13,Paramètres!$A$1:$I$89,3,0)*VLOOKUP('Données projet'!$B$13,Paramètres!$A$1:$I$89,5,0)</f>
        <v>3.8130565371830017E-13</v>
      </c>
      <c r="CV183" s="13">
        <f t="shared" si="173"/>
        <v>4.9019074112354236E-12</v>
      </c>
      <c r="CW183" s="20">
        <f t="shared" si="174"/>
        <v>9.2015960881277352E-12</v>
      </c>
      <c r="CX183" s="59">
        <f t="shared" si="122"/>
        <v>293.33333333334252</v>
      </c>
      <c r="CY183" s="59">
        <f ca="1">AVERAGE(OFFSET($CX$3,0,0,'Données projet'!$E$13+1,1))-AVERAGE(OFFSET($H$3,0,0,'Données projet'!$E$13+1,1))</f>
        <v>294.94331863127815</v>
      </c>
      <c r="CZ183" s="59">
        <f t="shared" si="150"/>
        <v>218.36990036643977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59.206035060796601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59.206035060796601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266.99999999999983</v>
      </c>
      <c r="DP183" s="17">
        <f>DO183*VLOOKUP('Données projet'!$B$14,Paramètres!$A$1:$I$89,3,0)*VLOOKUP('Données projet'!$B$14,Paramètres!$A$1:$I$89,5,0)</f>
        <v>195.76439999999985</v>
      </c>
      <c r="DQ183" s="13">
        <f t="shared" si="176"/>
        <v>48.812154563023455</v>
      </c>
      <c r="DR183" s="20">
        <f t="shared" si="177"/>
        <v>425.9708325305989</v>
      </c>
      <c r="DS183" s="59">
        <f t="shared" si="125"/>
        <v>719.30416586393221</v>
      </c>
      <c r="DT183" s="59">
        <f ca="1">AVERAGE(OFFSET($DS$3,0,0,'Données projet'!$E$14+1,1))-AVERAGE(OFFSET($H$3,0,0,'Données projet'!$E$14+1,1))</f>
        <v>278.45534008146865</v>
      </c>
      <c r="DU183" s="59">
        <f t="shared" si="152"/>
        <v>272.97841038165217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2.9709556852933456</v>
      </c>
      <c r="EB183" s="21">
        <f>EXP(-LN(2)/25)*EB182+(1-EXP(-LN(2)/25))/(LN(2)/25)*Calculateur!DW183*Calculateur!DY183*VLOOKUP('Données projet'!$B$14,Paramètres!$A$1:$I$89,3,0)*0.475*44/12</f>
        <v>0.38921447822369726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3.3601701635170427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5.6843418860808015E-13</v>
      </c>
      <c r="EK183" s="17">
        <f>EJ183*VLOOKUP('Données projet'!$B$15,Paramètres!$A$1:$I$89,3,0)*VLOOKUP('Données projet'!$B$15,Paramètres!$A$1:$I$89,5,0)</f>
        <v>6.1186256061773743E-13</v>
      </c>
      <c r="EL183" s="13">
        <f t="shared" si="179"/>
        <v>7.4445668332430206E-12</v>
      </c>
      <c r="EM183" s="20">
        <f t="shared" si="180"/>
        <v>1.4031614527640822E-11</v>
      </c>
      <c r="EN183" s="59">
        <f t="shared" si="128"/>
        <v>293.33333333334735</v>
      </c>
      <c r="EO183" s="59">
        <f ca="1">AVERAGE(OFFSET($EN$3,0,0,'Données projet'!$E$15+1,1))-AVERAGE(OFFSET($H$3,0,0,'Données projet'!$E$15+1,1))</f>
        <v>449.09332781196957</v>
      </c>
      <c r="EP183" s="59">
        <f t="shared" si="154"/>
        <v>324.85904971519432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77.079555079150296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77.079555079150296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5.6843418860808015E-13</v>
      </c>
      <c r="FF183" s="17">
        <f>FE183*VLOOKUP('Données projet'!$B$16,Paramètres!$A$1:$I$89,3,0)*VLOOKUP('Données projet'!$B$16,Paramètres!$A$1:$I$89,5,0)</f>
        <v>5.763922672485933E-13</v>
      </c>
      <c r="FG183" s="13">
        <f t="shared" si="182"/>
        <v>7.0619171555808457E-12</v>
      </c>
      <c r="FH183" s="20">
        <f t="shared" si="183"/>
        <v>1.3303388911427938E-11</v>
      </c>
      <c r="FI183" s="59">
        <f t="shared" si="131"/>
        <v>293.33333333334662</v>
      </c>
      <c r="FJ183" s="59">
        <f ca="1">AVERAGE(OFFSET($FI$3,0,0,'Données projet'!$E$16+1,1))-AVERAGE(OFFSET($H$3,0,0,'Données projet'!$E$16+1,1))</f>
        <v>419.51168383014721</v>
      </c>
      <c r="FK183" s="59">
        <f t="shared" si="156"/>
        <v>213.44145308833384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72.611175074561856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72.611175074561856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266.99999999999983</v>
      </c>
      <c r="GA183" s="17">
        <f>FZ183*VLOOKUP('Données projet'!$B$17,Paramètres!$A$1:$I$89,3,0)*VLOOKUP('Données projet'!$B$17,Paramètres!$A$1:$I$89,5,0)</f>
        <v>233.2511999999999</v>
      </c>
      <c r="GB183" s="13">
        <f t="shared" si="185"/>
        <v>56.985091661350864</v>
      </c>
      <c r="GC183" s="20">
        <f t="shared" si="186"/>
        <v>505.49487464351915</v>
      </c>
      <c r="GD183" s="59">
        <f t="shared" si="134"/>
        <v>798.82820797685247</v>
      </c>
      <c r="GE183" s="59">
        <f ca="1">AVERAGE(OFFSET($GD$3,0,0,'Données projet'!$E$17+1,1))-AVERAGE(OFFSET($H$3,0,0,'Données projet'!$E$17+1,1))</f>
        <v>324.86930206492627</v>
      </c>
      <c r="GF183" s="59">
        <f t="shared" si="158"/>
        <v>317.03005098025352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4.3630858357004669</v>
      </c>
      <c r="GM183" s="21">
        <f>EXP(-LN(2)/25)*GM182+(1-EXP(-LN(2)/25))/(LN(2)/25)*Calculateur!GH183*Calculateur!GJ183*VLOOKUP('Données projet'!$B$17,Paramètres!$A$1:$I$89,3,0)*0.475*44/12</f>
        <v>0.57159256376444023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4.9346783994649073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5.6843418860808015E-13</v>
      </c>
      <c r="GV183" s="17">
        <f>GU183*VLOOKUP('Données projet'!$B$18,Paramètres!$A$1:$I$89,3,0)*VLOOKUP('Données projet'!$B$18,Paramètres!$A$1:$I$89,5,0)</f>
        <v>5.4092197387944907E-13</v>
      </c>
      <c r="GW183" s="13">
        <f t="shared" si="188"/>
        <v>6.6765148417791561E-12</v>
      </c>
      <c r="GX183" s="20">
        <f t="shared" si="189"/>
        <v>1.2570369120605403E-11</v>
      </c>
      <c r="GY183" s="59">
        <f t="shared" si="137"/>
        <v>293.33333333334588</v>
      </c>
      <c r="GZ183" s="59">
        <f ca="1">AVERAGE(OFFSET($GY$3,0,0,'Données projet'!$E$18+1,1))-AVERAGE(OFFSET($H$3,0,0,'Données projet'!$E$18+1,1))</f>
        <v>401.81944956556271</v>
      </c>
      <c r="HA183" s="59">
        <f t="shared" si="160"/>
        <v>292.20785523952651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68.142795069973516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68.142795069973516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5.1431925385259092E-13</v>
      </c>
      <c r="P184" s="13">
        <f t="shared" si="141"/>
        <v>6.3855359115685756E-12</v>
      </c>
      <c r="Q184" s="20">
        <f t="shared" si="162"/>
        <v>1.2017247746441865E-11</v>
      </c>
      <c r="R184" s="59">
        <f t="shared" si="109"/>
        <v>293.33333333334531</v>
      </c>
      <c r="S184" s="59">
        <f ca="1">AVERAGE(OFFSET($R$3,0,0,'Données projet'!$E$9+1,1))-AVERAGE(OFFSET($H$3,0,0,'Données projet'!$E$9+1,1))</f>
        <v>384.05928630855732</v>
      </c>
      <c r="T184" s="59">
        <f t="shared" si="142"/>
        <v>279.93992813630513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-6.3550942286383367E-14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335.04906256888819</v>
      </c>
      <c r="AO184" s="59">
        <f t="shared" si="144"/>
        <v>440.84111898279554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18.692238292643996</v>
      </c>
      <c r="AV184" s="21">
        <f>EXP(-LN(2)/25)*AV183+(1-EXP(-LN(2)/25))/(LN(2)/25)*Calculateur!AQ184*Calculateur!AS184*VLOOKUP('Données projet'!$B$10,Paramètres!$A$1:$I$89,3,0)*0.475*44/12</f>
        <v>1.7510123543302292</v>
      </c>
      <c r="AW184" s="21">
        <f>EXP(-LN(2)/2)*AW183+(1-EXP(-LN(2)/2))/(LN(2)/2)*AQ184*AT184*VLOOKUP('Données projet'!$B$10,Paramètres!$A$1:$I$89,3,0)*0.475*44/12</f>
        <v>3.7037760016196505E-18</v>
      </c>
      <c r="AX184" s="21">
        <f t="shared" si="166"/>
        <v>20.443250646974224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-1.4210854715202004E-13</v>
      </c>
      <c r="BE184" s="13">
        <f>BD184*VLOOKUP('Données projet'!$B$11,Paramètres!$A$1:$I$89,3,0)*VLOOKUP('Données projet'!$B$11,Paramètres!$A$1:$I$89,5,0)</f>
        <v>-8.128608897095547E-14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320.76883487964511</v>
      </c>
      <c r="BJ184" s="59">
        <f t="shared" si="146"/>
        <v>290.51177680335746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22.40332389485576</v>
      </c>
      <c r="BQ184" s="21">
        <f>EXP(-LN(2)/25)*BQ183+(1-EXP(-LN(2)/25))/(LN(2)/25)*Calculateur!BL184*Calculateur!BN184*VLOOKUP('Données projet'!$B$11,Paramètres!$A$1:$I$89,3,0)*0.475*44/12</f>
        <v>2.6751131667569306</v>
      </c>
      <c r="BR184" s="21">
        <f>EXP(-LN(2)/2)*BR183+(1-EXP(-LN(2)/2))/(LN(2)/2)*BL184*BO184*VLOOKUP('Données projet'!$B$11,Paramètres!$A$1:$I$89,3,0)*0.475*44/12</f>
        <v>6.3953935138463516E-13</v>
      </c>
      <c r="BS184" s="22">
        <f t="shared" si="169"/>
        <v>25.078437061613329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304.99999999999983</v>
      </c>
      <c r="BZ184" s="13">
        <f>BY184*VLOOKUP('Données projet'!$B$12,Paramètres!$A$1:$I$89,3,0)*VLOOKUP('Données projet'!$B$12,Paramètres!$A$1:$I$89,5,0)</f>
        <v>275.96399999999983</v>
      </c>
      <c r="CA184" s="13">
        <f t="shared" si="170"/>
        <v>66.113366665488854</v>
      </c>
      <c r="CB184" s="20">
        <f t="shared" si="171"/>
        <v>595.78474694239264</v>
      </c>
      <c r="CC184" s="59">
        <f t="shared" si="119"/>
        <v>889.11808027572602</v>
      </c>
      <c r="CD184" s="59">
        <f ca="1">AVERAGE(OFFSET($CC$3,0,0,'Données projet'!$E$12+1,1))-AVERAGE(OFFSET($H$3,0,0,'Données projet'!$E$12+1,1))</f>
        <v>366.69125512029831</v>
      </c>
      <c r="CE184" s="59">
        <f t="shared" si="148"/>
        <v>513.80016421153414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8.1242564528486924E-2</v>
      </c>
      <c r="CL184" s="21">
        <f>EXP(-LN(2)/25)*CL183+(1-EXP(-LN(2)/25))/(LN(2)/25)*Calculateur!CG184*Calculateur!CI184*VLOOKUP('Données projet'!$B$12,Paramètres!$A$1:$I$89,3,0)*0.475*44/12</f>
        <v>0.1122049330005187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0.19344749752900564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5.6843418860808015E-13</v>
      </c>
      <c r="CU184" s="17">
        <f>CT184*VLOOKUP('Données projet'!$B$13,Paramètres!$A$1:$I$89,3,0)*VLOOKUP('Données projet'!$B$13,Paramètres!$A$1:$I$89,5,0)</f>
        <v>3.8130565371830017E-13</v>
      </c>
      <c r="CV184" s="13">
        <f t="shared" si="173"/>
        <v>4.9019074112354236E-12</v>
      </c>
      <c r="CW184" s="20">
        <f t="shared" si="174"/>
        <v>9.2015960881277352E-12</v>
      </c>
      <c r="CX184" s="59">
        <f t="shared" si="122"/>
        <v>293.33333333334252</v>
      </c>
      <c r="CY184" s="59">
        <f ca="1">AVERAGE(OFFSET($CX$3,0,0,'Données projet'!$E$13+1,1))-AVERAGE(OFFSET($H$3,0,0,'Données projet'!$E$13+1,1))</f>
        <v>294.94331863127815</v>
      </c>
      <c r="CZ184" s="59">
        <f t="shared" si="150"/>
        <v>218.36990036643977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58.045040825369995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58.045040825369995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266.99999999999983</v>
      </c>
      <c r="DP184" s="17">
        <f>DO184*VLOOKUP('Données projet'!$B$14,Paramètres!$A$1:$I$89,3,0)*VLOOKUP('Données projet'!$B$14,Paramètres!$A$1:$I$89,5,0)</f>
        <v>195.76439999999985</v>
      </c>
      <c r="DQ184" s="13">
        <f t="shared" si="176"/>
        <v>48.812154563023455</v>
      </c>
      <c r="DR184" s="20">
        <f t="shared" si="177"/>
        <v>425.9708325305989</v>
      </c>
      <c r="DS184" s="59">
        <f t="shared" si="125"/>
        <v>719.30416586393221</v>
      </c>
      <c r="DT184" s="59">
        <f ca="1">AVERAGE(OFFSET($DS$3,0,0,'Données projet'!$E$14+1,1))-AVERAGE(OFFSET($H$3,0,0,'Données projet'!$E$14+1,1))</f>
        <v>278.45534008146865</v>
      </c>
      <c r="DU184" s="59">
        <f t="shared" si="152"/>
        <v>272.97841038165217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2.9126970564087808</v>
      </c>
      <c r="EB184" s="21">
        <f>EXP(-LN(2)/25)*EB183+(1-EXP(-LN(2)/25))/(LN(2)/25)*Calculateur!DW184*Calculateur!DY184*VLOOKUP('Données projet'!$B$14,Paramètres!$A$1:$I$89,3,0)*0.475*44/12</f>
        <v>0.37857138784877042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3.2912684442575513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5.6843418860808015E-13</v>
      </c>
      <c r="EK184" s="17">
        <f>EJ184*VLOOKUP('Données projet'!$B$15,Paramètres!$A$1:$I$89,3,0)*VLOOKUP('Données projet'!$B$15,Paramètres!$A$1:$I$89,5,0)</f>
        <v>6.1186256061773743E-13</v>
      </c>
      <c r="EL184" s="13">
        <f t="shared" si="179"/>
        <v>7.4445668332430206E-12</v>
      </c>
      <c r="EM184" s="20">
        <f t="shared" si="180"/>
        <v>1.4031614527640822E-11</v>
      </c>
      <c r="EN184" s="59">
        <f t="shared" si="128"/>
        <v>293.33333333334735</v>
      </c>
      <c r="EO184" s="59">
        <f ca="1">AVERAGE(OFFSET($EN$3,0,0,'Données projet'!$E$15+1,1))-AVERAGE(OFFSET($H$3,0,0,'Données projet'!$E$15+1,1))</f>
        <v>449.09332781196957</v>
      </c>
      <c r="EP184" s="59">
        <f t="shared" si="154"/>
        <v>324.85904971519432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75.568072017934526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75.568072017934526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5.6843418860808015E-13</v>
      </c>
      <c r="FF184" s="17">
        <f>FE184*VLOOKUP('Données projet'!$B$16,Paramètres!$A$1:$I$89,3,0)*VLOOKUP('Données projet'!$B$16,Paramètres!$A$1:$I$89,5,0)</f>
        <v>5.763922672485933E-13</v>
      </c>
      <c r="FG184" s="13">
        <f t="shared" si="182"/>
        <v>7.0619171555808457E-12</v>
      </c>
      <c r="FH184" s="20">
        <f t="shared" si="183"/>
        <v>1.3303388911427938E-11</v>
      </c>
      <c r="FI184" s="59">
        <f t="shared" si="131"/>
        <v>293.33333333334662</v>
      </c>
      <c r="FJ184" s="59">
        <f ca="1">AVERAGE(OFFSET($FI$3,0,0,'Données projet'!$E$16+1,1))-AVERAGE(OFFSET($H$3,0,0,'Données projet'!$E$16+1,1))</f>
        <v>419.51168383014721</v>
      </c>
      <c r="FK184" s="59">
        <f t="shared" si="156"/>
        <v>213.44145308833384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71.187314219793379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71.187314219793379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266.99999999999983</v>
      </c>
      <c r="GA184" s="17">
        <f>FZ184*VLOOKUP('Données projet'!$B$17,Paramètres!$A$1:$I$89,3,0)*VLOOKUP('Données projet'!$B$17,Paramètres!$A$1:$I$89,5,0)</f>
        <v>233.2511999999999</v>
      </c>
      <c r="GB184" s="13">
        <f t="shared" si="185"/>
        <v>56.985091661350864</v>
      </c>
      <c r="GC184" s="20">
        <f t="shared" si="186"/>
        <v>505.49487464351915</v>
      </c>
      <c r="GD184" s="59">
        <f t="shared" si="134"/>
        <v>798.82820797685247</v>
      </c>
      <c r="GE184" s="59">
        <f ca="1">AVERAGE(OFFSET($GD$3,0,0,'Données projet'!$E$17+1,1))-AVERAGE(OFFSET($H$3,0,0,'Données projet'!$E$17+1,1))</f>
        <v>324.86930206492627</v>
      </c>
      <c r="GF184" s="59">
        <f t="shared" si="158"/>
        <v>317.03005098025352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4.2775283836819673</v>
      </c>
      <c r="GM184" s="21">
        <f>EXP(-LN(2)/25)*GM183+(1-EXP(-LN(2)/25))/(LN(2)/25)*Calculateur!GH184*Calculateur!GJ184*VLOOKUP('Données projet'!$B$17,Paramètres!$A$1:$I$89,3,0)*0.475*44/12</f>
        <v>0.55596233504955506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4.8334907187315226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5.6843418860808015E-13</v>
      </c>
      <c r="GV184" s="17">
        <f>GU184*VLOOKUP('Données projet'!$B$18,Paramètres!$A$1:$I$89,3,0)*VLOOKUP('Données projet'!$B$18,Paramètres!$A$1:$I$89,5,0)</f>
        <v>5.4092197387944907E-13</v>
      </c>
      <c r="GW184" s="13">
        <f t="shared" si="188"/>
        <v>6.6765148417791561E-12</v>
      </c>
      <c r="GX184" s="20">
        <f t="shared" si="189"/>
        <v>1.2570369120605403E-11</v>
      </c>
      <c r="GY184" s="59">
        <f t="shared" si="137"/>
        <v>293.33333333334588</v>
      </c>
      <c r="GZ184" s="59">
        <f ca="1">AVERAGE(OFFSET($GY$3,0,0,'Données projet'!$E$18+1,1))-AVERAGE(OFFSET($H$3,0,0,'Données projet'!$E$18+1,1))</f>
        <v>401.81944956556271</v>
      </c>
      <c r="HA184" s="59">
        <f t="shared" si="160"/>
        <v>292.20785523952651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66.806556421652317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66.806556421652317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5.1431925385259092E-13</v>
      </c>
      <c r="P185" s="13">
        <f t="shared" si="141"/>
        <v>6.3855359115685756E-12</v>
      </c>
      <c r="Q185" s="20">
        <f t="shared" si="162"/>
        <v>1.2017247746441865E-11</v>
      </c>
      <c r="R185" s="59">
        <f t="shared" si="109"/>
        <v>293.33333333334531</v>
      </c>
      <c r="S185" s="59">
        <f ca="1">AVERAGE(OFFSET($R$3,0,0,'Données projet'!$E$9+1,1))-AVERAGE(OFFSET($H$3,0,0,'Données projet'!$E$9+1,1))</f>
        <v>384.05928630855732</v>
      </c>
      <c r="T185" s="59">
        <f t="shared" si="142"/>
        <v>279.93992813630513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-6.3550942286383367E-14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335.04906256888819</v>
      </c>
      <c r="AO185" s="59">
        <f t="shared" si="144"/>
        <v>440.84111898279554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18.325694900864836</v>
      </c>
      <c r="AV185" s="21">
        <f>EXP(-LN(2)/25)*AV184+(1-EXP(-LN(2)/25))/(LN(2)/25)*Calculateur!AQ185*Calculateur!AS185*VLOOKUP('Données projet'!$B$10,Paramètres!$A$1:$I$89,3,0)*0.475*44/12</f>
        <v>1.7031308294193312</v>
      </c>
      <c r="AW185" s="21">
        <f>EXP(-LN(2)/2)*AW184+(1-EXP(-LN(2)/2))/(LN(2)/2)*AQ185*AT185*VLOOKUP('Données projet'!$B$10,Paramètres!$A$1:$I$89,3,0)*0.475*44/12</f>
        <v>2.6189651267412521E-18</v>
      </c>
      <c r="AX185" s="21">
        <f t="shared" si="166"/>
        <v>20.028825730284169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-1.4210854715202004E-13</v>
      </c>
      <c r="BE185" s="13">
        <f>BD185*VLOOKUP('Données projet'!$B$11,Paramètres!$A$1:$I$89,3,0)*VLOOKUP('Données projet'!$B$11,Paramètres!$A$1:$I$89,5,0)</f>
        <v>-8.128608897095547E-14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320.76883487964511</v>
      </c>
      <c r="BJ185" s="59">
        <f t="shared" si="146"/>
        <v>290.51177680335746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21.964008377955938</v>
      </c>
      <c r="BQ185" s="21">
        <f>EXP(-LN(2)/25)*BQ184+(1-EXP(-LN(2)/25))/(LN(2)/25)*Calculateur!BL185*Calculateur!BN185*VLOOKUP('Données projet'!$B$11,Paramètres!$A$1:$I$89,3,0)*0.475*44/12</f>
        <v>2.6019620565338748</v>
      </c>
      <c r="BR185" s="21">
        <f>EXP(-LN(2)/2)*BR184+(1-EXP(-LN(2)/2))/(LN(2)/2)*BL185*BO185*VLOOKUP('Données projet'!$B$11,Paramètres!$A$1:$I$89,3,0)*0.475*44/12</f>
        <v>4.5222261219972178E-13</v>
      </c>
      <c r="BS185" s="22">
        <f t="shared" si="169"/>
        <v>24.565970434490264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304.99999999999983</v>
      </c>
      <c r="BZ185" s="13">
        <f>BY185*VLOOKUP('Données projet'!$B$12,Paramètres!$A$1:$I$89,3,0)*VLOOKUP('Données projet'!$B$12,Paramètres!$A$1:$I$89,5,0)</f>
        <v>275.96399999999983</v>
      </c>
      <c r="CA185" s="13">
        <f t="shared" si="170"/>
        <v>66.113366665488854</v>
      </c>
      <c r="CB185" s="20">
        <f t="shared" si="171"/>
        <v>595.78474694239264</v>
      </c>
      <c r="CC185" s="59">
        <f t="shared" si="119"/>
        <v>889.11808027572602</v>
      </c>
      <c r="CD185" s="59">
        <f ca="1">AVERAGE(OFFSET($CC$3,0,0,'Données projet'!$E$12+1,1))-AVERAGE(OFFSET($H$3,0,0,'Données projet'!$E$12+1,1))</f>
        <v>366.69125512029831</v>
      </c>
      <c r="CE185" s="59">
        <f t="shared" si="148"/>
        <v>513.80016421153414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7.9649447391154704E-2</v>
      </c>
      <c r="CL185" s="21">
        <f>EXP(-LN(2)/25)*CL184+(1-EXP(-LN(2)/25))/(LN(2)/25)*Calculateur!CG185*Calculateur!CI185*VLOOKUP('Données projet'!$B$12,Paramètres!$A$1:$I$89,3,0)*0.475*44/12</f>
        <v>0.10913668320701854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0.18878613059817323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5.6843418860808015E-13</v>
      </c>
      <c r="CU185" s="17">
        <f>CT185*VLOOKUP('Données projet'!$B$13,Paramètres!$A$1:$I$89,3,0)*VLOOKUP('Données projet'!$B$13,Paramètres!$A$1:$I$89,5,0)</f>
        <v>3.8130565371830017E-13</v>
      </c>
      <c r="CV185" s="13">
        <f t="shared" si="173"/>
        <v>4.9019074112354236E-12</v>
      </c>
      <c r="CW185" s="20">
        <f t="shared" si="174"/>
        <v>9.2015960881277352E-12</v>
      </c>
      <c r="CX185" s="59">
        <f t="shared" si="122"/>
        <v>293.33333333334252</v>
      </c>
      <c r="CY185" s="59">
        <f ca="1">AVERAGE(OFFSET($CX$3,0,0,'Données projet'!$E$13+1,1))-AVERAGE(OFFSET($H$3,0,0,'Données projet'!$E$13+1,1))</f>
        <v>294.94331863127815</v>
      </c>
      <c r="CZ185" s="59">
        <f t="shared" si="150"/>
        <v>218.36990036643977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56.90681297876354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56.90681297876354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266.99999999999983</v>
      </c>
      <c r="DP185" s="17">
        <f>DO185*VLOOKUP('Données projet'!$B$14,Paramètres!$A$1:$I$89,3,0)*VLOOKUP('Données projet'!$B$14,Paramètres!$A$1:$I$89,5,0)</f>
        <v>195.76439999999985</v>
      </c>
      <c r="DQ185" s="13">
        <f t="shared" si="176"/>
        <v>48.812154563023455</v>
      </c>
      <c r="DR185" s="20">
        <f t="shared" si="177"/>
        <v>425.9708325305989</v>
      </c>
      <c r="DS185" s="59">
        <f t="shared" si="125"/>
        <v>719.30416586393221</v>
      </c>
      <c r="DT185" s="59">
        <f ca="1">AVERAGE(OFFSET($DS$3,0,0,'Données projet'!$E$14+1,1))-AVERAGE(OFFSET($H$3,0,0,'Données projet'!$E$14+1,1))</f>
        <v>278.45534008146865</v>
      </c>
      <c r="DU185" s="59">
        <f t="shared" si="152"/>
        <v>272.97841038165217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2.8555808437023873</v>
      </c>
      <c r="EB185" s="21">
        <f>EXP(-LN(2)/25)*EB184+(1-EXP(-LN(2)/25))/(LN(2)/25)*Calculateur!DW185*Calculateur!DY185*VLOOKUP('Données projet'!$B$14,Paramètres!$A$1:$I$89,3,0)*0.475*44/12</f>
        <v>0.36821933333984175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3.2238001770422291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5.6843418860808015E-13</v>
      </c>
      <c r="EK185" s="17">
        <f>EJ185*VLOOKUP('Données projet'!$B$15,Paramètres!$A$1:$I$89,3,0)*VLOOKUP('Données projet'!$B$15,Paramètres!$A$1:$I$89,5,0)</f>
        <v>6.1186256061773743E-13</v>
      </c>
      <c r="EL185" s="13">
        <f t="shared" si="179"/>
        <v>7.4445668332430206E-12</v>
      </c>
      <c r="EM185" s="20">
        <f t="shared" si="180"/>
        <v>1.4031614527640822E-11</v>
      </c>
      <c r="EN185" s="59">
        <f t="shared" si="128"/>
        <v>293.33333333334735</v>
      </c>
      <c r="EO185" s="59">
        <f ca="1">AVERAGE(OFFSET($EN$3,0,0,'Données projet'!$E$15+1,1))-AVERAGE(OFFSET($H$3,0,0,'Données projet'!$E$15+1,1))</f>
        <v>449.09332781196957</v>
      </c>
      <c r="EP185" s="59">
        <f t="shared" si="154"/>
        <v>324.85904971519432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74.086228217635551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74.086228217635551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5.6843418860808015E-13</v>
      </c>
      <c r="FF185" s="17">
        <f>FE185*VLOOKUP('Données projet'!$B$16,Paramètres!$A$1:$I$89,3,0)*VLOOKUP('Données projet'!$B$16,Paramètres!$A$1:$I$89,5,0)</f>
        <v>5.763922672485933E-13</v>
      </c>
      <c r="FG185" s="13">
        <f t="shared" si="182"/>
        <v>7.0619171555808457E-12</v>
      </c>
      <c r="FH185" s="20">
        <f t="shared" si="183"/>
        <v>1.3303388911427938E-11</v>
      </c>
      <c r="FI185" s="59">
        <f t="shared" si="131"/>
        <v>293.33333333334662</v>
      </c>
      <c r="FJ185" s="59">
        <f ca="1">AVERAGE(OFFSET($FI$3,0,0,'Données projet'!$E$16+1,1))-AVERAGE(OFFSET($H$3,0,0,'Données projet'!$E$16+1,1))</f>
        <v>419.51168383014721</v>
      </c>
      <c r="FK185" s="59">
        <f t="shared" si="156"/>
        <v>213.44145308833384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69.791374407917544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69.791374407917544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266.99999999999983</v>
      </c>
      <c r="GA185" s="17">
        <f>FZ185*VLOOKUP('Données projet'!$B$17,Paramètres!$A$1:$I$89,3,0)*VLOOKUP('Données projet'!$B$17,Paramètres!$A$1:$I$89,5,0)</f>
        <v>233.2511999999999</v>
      </c>
      <c r="GB185" s="13">
        <f t="shared" si="185"/>
        <v>56.985091661350864</v>
      </c>
      <c r="GC185" s="20">
        <f t="shared" si="186"/>
        <v>505.49487464351915</v>
      </c>
      <c r="GD185" s="59">
        <f t="shared" si="134"/>
        <v>798.82820797685247</v>
      </c>
      <c r="GE185" s="59">
        <f ca="1">AVERAGE(OFFSET($GD$3,0,0,'Données projet'!$E$17+1,1))-AVERAGE(OFFSET($H$3,0,0,'Données projet'!$E$17+1,1))</f>
        <v>324.86930206492627</v>
      </c>
      <c r="GF185" s="59">
        <f t="shared" si="158"/>
        <v>317.03005098025352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4.1936486611126575</v>
      </c>
      <c r="GM185" s="21">
        <f>EXP(-LN(2)/25)*GM184+(1-EXP(-LN(2)/25))/(LN(2)/25)*Calculateur!GH185*Calculateur!GJ185*VLOOKUP('Données projet'!$B$17,Paramètres!$A$1:$I$89,3,0)*0.475*44/12</f>
        <v>0.54075951576083647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4.7344081768734938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5.6843418860808015E-13</v>
      </c>
      <c r="GV185" s="17">
        <f>GU185*VLOOKUP('Données projet'!$B$18,Paramètres!$A$1:$I$89,3,0)*VLOOKUP('Données projet'!$B$18,Paramètres!$A$1:$I$89,5,0)</f>
        <v>5.4092197387944907E-13</v>
      </c>
      <c r="GW185" s="13">
        <f t="shared" si="188"/>
        <v>6.6765148417791561E-12</v>
      </c>
      <c r="GX185" s="20">
        <f t="shared" si="189"/>
        <v>1.2570369120605403E-11</v>
      </c>
      <c r="GY185" s="59">
        <f t="shared" si="137"/>
        <v>293.33333333334588</v>
      </c>
      <c r="GZ185" s="59">
        <f ca="1">AVERAGE(OFFSET($GY$3,0,0,'Données projet'!$E$18+1,1))-AVERAGE(OFFSET($H$3,0,0,'Données projet'!$E$18+1,1))</f>
        <v>401.81944956556271</v>
      </c>
      <c r="HA185" s="59">
        <f t="shared" si="160"/>
        <v>292.20785523952651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65.496520598199609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65.496520598199609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5.1431925385259092E-13</v>
      </c>
      <c r="P186" s="13">
        <f t="shared" si="141"/>
        <v>6.3855359115685756E-12</v>
      </c>
      <c r="Q186" s="20">
        <f t="shared" si="162"/>
        <v>1.2017247746441865E-11</v>
      </c>
      <c r="R186" s="59">
        <f t="shared" si="109"/>
        <v>293.33333333334531</v>
      </c>
      <c r="S186" s="59">
        <f ca="1">AVERAGE(OFFSET($R$3,0,0,'Données projet'!$E$9+1,1))-AVERAGE(OFFSET($H$3,0,0,'Données projet'!$E$9+1,1))</f>
        <v>384.05928630855732</v>
      </c>
      <c r="T186" s="59">
        <f t="shared" si="142"/>
        <v>279.93992813630513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-6.3550942286383367E-14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335.04906256888819</v>
      </c>
      <c r="AO186" s="59">
        <f t="shared" si="144"/>
        <v>440.84111898279554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17.966339201429072</v>
      </c>
      <c r="AV186" s="21">
        <f>EXP(-LN(2)/25)*AV185+(1-EXP(-LN(2)/25))/(LN(2)/25)*Calculateur!AQ186*Calculateur!AS186*VLOOKUP('Données projet'!$B$10,Paramètres!$A$1:$I$89,3,0)*0.475*44/12</f>
        <v>1.6565586273251018</v>
      </c>
      <c r="AW186" s="21">
        <f>EXP(-LN(2)/2)*AW185+(1-EXP(-LN(2)/2))/(LN(2)/2)*AQ186*AT186*VLOOKUP('Données projet'!$B$10,Paramètres!$A$1:$I$89,3,0)*0.475*44/12</f>
        <v>1.8518880008098253E-18</v>
      </c>
      <c r="AX186" s="21">
        <f t="shared" si="166"/>
        <v>19.622897828754173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-1.4210854715202004E-13</v>
      </c>
      <c r="BE186" s="13">
        <f>BD186*VLOOKUP('Données projet'!$B$11,Paramètres!$A$1:$I$89,3,0)*VLOOKUP('Données projet'!$B$11,Paramètres!$A$1:$I$89,5,0)</f>
        <v>-8.128608897095547E-14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320.76883487964511</v>
      </c>
      <c r="BJ186" s="59">
        <f t="shared" si="146"/>
        <v>290.51177680335746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21.533307570386516</v>
      </c>
      <c r="BQ186" s="21">
        <f>EXP(-LN(2)/25)*BQ185+(1-EXP(-LN(2)/25))/(LN(2)/25)*Calculateur!BL186*Calculateur!BN186*VLOOKUP('Données projet'!$B$11,Paramètres!$A$1:$I$89,3,0)*0.475*44/12</f>
        <v>2.5308112672667185</v>
      </c>
      <c r="BR186" s="21">
        <f>EXP(-LN(2)/2)*BR185+(1-EXP(-LN(2)/2))/(LN(2)/2)*BL186*BO186*VLOOKUP('Données projet'!$B$11,Paramètres!$A$1:$I$89,3,0)*0.475*44/12</f>
        <v>3.1976967569231763E-13</v>
      </c>
      <c r="BS186" s="22">
        <f t="shared" si="169"/>
        <v>24.064118837653552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304.99999999999983</v>
      </c>
      <c r="BZ186" s="13">
        <f>BY186*VLOOKUP('Données projet'!$B$12,Paramètres!$A$1:$I$89,3,0)*VLOOKUP('Données projet'!$B$12,Paramètres!$A$1:$I$89,5,0)</f>
        <v>275.96399999999983</v>
      </c>
      <c r="CA186" s="13">
        <f t="shared" si="170"/>
        <v>66.113366665488854</v>
      </c>
      <c r="CB186" s="20">
        <f t="shared" si="171"/>
        <v>595.78474694239264</v>
      </c>
      <c r="CC186" s="59">
        <f t="shared" si="119"/>
        <v>889.11808027572602</v>
      </c>
      <c r="CD186" s="59">
        <f ca="1">AVERAGE(OFFSET($CC$3,0,0,'Données projet'!$E$12+1,1))-AVERAGE(OFFSET($H$3,0,0,'Données projet'!$E$12+1,1))</f>
        <v>366.69125512029831</v>
      </c>
      <c r="CE186" s="59">
        <f t="shared" si="148"/>
        <v>513.80016421153414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7.8087570309180052E-2</v>
      </c>
      <c r="CL186" s="21">
        <f>EXP(-LN(2)/25)*CL185+(1-EXP(-LN(2)/25))/(LN(2)/25)*Calculateur!CG186*Calculateur!CI186*VLOOKUP('Données projet'!$B$12,Paramètres!$A$1:$I$89,3,0)*0.475*44/12</f>
        <v>0.10615233486547389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0.18423990517465394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5.6843418860808015E-13</v>
      </c>
      <c r="CU186" s="17">
        <f>CT186*VLOOKUP('Données projet'!$B$13,Paramètres!$A$1:$I$89,3,0)*VLOOKUP('Données projet'!$B$13,Paramètres!$A$1:$I$89,5,0)</f>
        <v>3.8130565371830017E-13</v>
      </c>
      <c r="CV186" s="13">
        <f t="shared" si="173"/>
        <v>4.9019074112354236E-12</v>
      </c>
      <c r="CW186" s="20">
        <f t="shared" si="174"/>
        <v>9.2015960881277352E-12</v>
      </c>
      <c r="CX186" s="59">
        <f t="shared" si="122"/>
        <v>293.33333333334252</v>
      </c>
      <c r="CY186" s="59">
        <f ca="1">AVERAGE(OFFSET($CX$3,0,0,'Données projet'!$E$13+1,1))-AVERAGE(OFFSET($H$3,0,0,'Données projet'!$E$13+1,1))</f>
        <v>294.94331863127815</v>
      </c>
      <c r="CZ186" s="59">
        <f t="shared" si="150"/>
        <v>218.36990036643977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55.790905085978601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55.790905085978601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266.99999999999983</v>
      </c>
      <c r="DP186" s="17">
        <f>DO186*VLOOKUP('Données projet'!$B$14,Paramètres!$A$1:$I$89,3,0)*VLOOKUP('Données projet'!$B$14,Paramètres!$A$1:$I$89,5,0)</f>
        <v>195.76439999999985</v>
      </c>
      <c r="DQ186" s="13">
        <f t="shared" si="176"/>
        <v>48.812154563023455</v>
      </c>
      <c r="DR186" s="20">
        <f t="shared" si="177"/>
        <v>425.9708325305989</v>
      </c>
      <c r="DS186" s="59">
        <f t="shared" si="125"/>
        <v>719.30416586393221</v>
      </c>
      <c r="DT186" s="59">
        <f ca="1">AVERAGE(OFFSET($DS$3,0,0,'Données projet'!$E$14+1,1))-AVERAGE(OFFSET($H$3,0,0,'Données projet'!$E$14+1,1))</f>
        <v>278.45534008146865</v>
      </c>
      <c r="DU186" s="59">
        <f t="shared" si="152"/>
        <v>272.97841038165217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2.7995846450897162</v>
      </c>
      <c r="EB186" s="21">
        <f>EXP(-LN(2)/25)*EB185+(1-EXP(-LN(2)/25))/(LN(2)/25)*Calculateur!DW186*Calculateur!DY186*VLOOKUP('Données projet'!$B$14,Paramètres!$A$1:$I$89,3,0)*0.475*44/12</f>
        <v>0.35815035630585063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3.157735001395567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5.6843418860808015E-13</v>
      </c>
      <c r="EK186" s="17">
        <f>EJ186*VLOOKUP('Données projet'!$B$15,Paramètres!$A$1:$I$89,3,0)*VLOOKUP('Données projet'!$B$15,Paramètres!$A$1:$I$89,5,0)</f>
        <v>6.1186256061773743E-13</v>
      </c>
      <c r="EL186" s="13">
        <f t="shared" si="179"/>
        <v>7.4445668332430206E-12</v>
      </c>
      <c r="EM186" s="20">
        <f t="shared" si="180"/>
        <v>1.4031614527640822E-11</v>
      </c>
      <c r="EN186" s="59">
        <f t="shared" si="128"/>
        <v>293.33333333334735</v>
      </c>
      <c r="EO186" s="59">
        <f ca="1">AVERAGE(OFFSET($EN$3,0,0,'Données projet'!$E$15+1,1))-AVERAGE(OFFSET($H$3,0,0,'Données projet'!$E$15+1,1))</f>
        <v>449.09332781196957</v>
      </c>
      <c r="EP186" s="59">
        <f t="shared" si="154"/>
        <v>324.85904971519432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72.633442470424967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72.633442470424967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5.6843418860808015E-13</v>
      </c>
      <c r="FF186" s="17">
        <f>FE186*VLOOKUP('Données projet'!$B$16,Paramètres!$A$1:$I$89,3,0)*VLOOKUP('Données projet'!$B$16,Paramètres!$A$1:$I$89,5,0)</f>
        <v>5.763922672485933E-13</v>
      </c>
      <c r="FG186" s="13">
        <f t="shared" si="182"/>
        <v>7.0619171555808457E-12</v>
      </c>
      <c r="FH186" s="20">
        <f t="shared" si="183"/>
        <v>1.3303388911427938E-11</v>
      </c>
      <c r="FI186" s="59">
        <f t="shared" si="131"/>
        <v>293.33333333334662</v>
      </c>
      <c r="FJ186" s="59">
        <f ca="1">AVERAGE(OFFSET($FI$3,0,0,'Données projet'!$E$16+1,1))-AVERAGE(OFFSET($H$3,0,0,'Données projet'!$E$16+1,1))</f>
        <v>419.51168383014721</v>
      </c>
      <c r="FK186" s="59">
        <f t="shared" si="156"/>
        <v>213.44145308833384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68.422808124313377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68.422808124313377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266.99999999999983</v>
      </c>
      <c r="GA186" s="17">
        <f>FZ186*VLOOKUP('Données projet'!$B$17,Paramètres!$A$1:$I$89,3,0)*VLOOKUP('Données projet'!$B$17,Paramètres!$A$1:$I$89,5,0)</f>
        <v>233.2511999999999</v>
      </c>
      <c r="GB186" s="13">
        <f t="shared" si="185"/>
        <v>56.985091661350864</v>
      </c>
      <c r="GC186" s="20">
        <f t="shared" si="186"/>
        <v>505.49487464351915</v>
      </c>
      <c r="GD186" s="59">
        <f t="shared" si="134"/>
        <v>798.82820797685247</v>
      </c>
      <c r="GE186" s="59">
        <f ca="1">AVERAGE(OFFSET($GD$3,0,0,'Données projet'!$E$17+1,1))-AVERAGE(OFFSET($H$3,0,0,'Données projet'!$E$17+1,1))</f>
        <v>324.86930206492627</v>
      </c>
      <c r="GF186" s="59">
        <f t="shared" si="158"/>
        <v>317.03005098025352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4.111413768741353</v>
      </c>
      <c r="GM186" s="21">
        <f>EXP(-LN(2)/25)*GM185+(1-EXP(-LN(2)/25))/(LN(2)/25)*Calculateur!GH186*Calculateur!GJ186*VLOOKUP('Données projet'!$B$17,Paramètres!$A$1:$I$89,3,0)*0.475*44/12</f>
        <v>0.52597241836504938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4.6373861871064026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5.6843418860808015E-13</v>
      </c>
      <c r="GV186" s="17">
        <f>GU186*VLOOKUP('Données projet'!$B$18,Paramètres!$A$1:$I$89,3,0)*VLOOKUP('Données projet'!$B$18,Paramètres!$A$1:$I$89,5,0)</f>
        <v>5.4092197387944907E-13</v>
      </c>
      <c r="GW186" s="13">
        <f t="shared" si="188"/>
        <v>6.6765148417791561E-12</v>
      </c>
      <c r="GX186" s="20">
        <f t="shared" si="189"/>
        <v>1.2570369120605403E-11</v>
      </c>
      <c r="GY186" s="59">
        <f t="shared" si="137"/>
        <v>293.33333333334588</v>
      </c>
      <c r="GZ186" s="59">
        <f ca="1">AVERAGE(OFFSET($GY$3,0,0,'Données projet'!$E$18+1,1))-AVERAGE(OFFSET($H$3,0,0,'Données projet'!$E$18+1,1))</f>
        <v>401.81944956556271</v>
      </c>
      <c r="HA186" s="59">
        <f t="shared" si="160"/>
        <v>292.20785523952651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64.212173778201844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64.212173778201844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5.1431925385259092E-13</v>
      </c>
      <c r="P187" s="13">
        <f t="shared" si="141"/>
        <v>6.3855359115685756E-12</v>
      </c>
      <c r="Q187" s="20">
        <f t="shared" si="162"/>
        <v>1.2017247746441865E-11</v>
      </c>
      <c r="R187" s="59">
        <f t="shared" si="109"/>
        <v>293.33333333334531</v>
      </c>
      <c r="S187" s="59">
        <f ca="1">AVERAGE(OFFSET($R$3,0,0,'Données projet'!$E$9+1,1))-AVERAGE(OFFSET($H$3,0,0,'Données projet'!$E$9+1,1))</f>
        <v>384.05928630855732</v>
      </c>
      <c r="T187" s="59">
        <f t="shared" si="142"/>
        <v>279.93992813630513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-6.3550942286383367E-14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335.04906256888819</v>
      </c>
      <c r="AO187" s="59">
        <f t="shared" si="144"/>
        <v>440.84111898279554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17.614030248073909</v>
      </c>
      <c r="AV187" s="21">
        <f>EXP(-LN(2)/25)*AV186+(1-EXP(-LN(2)/25))/(LN(2)/25)*Calculateur!AQ187*Calculateur!AS187*VLOOKUP('Données projet'!$B$10,Paramètres!$A$1:$I$89,3,0)*0.475*44/12</f>
        <v>1.6112599445462648</v>
      </c>
      <c r="AW187" s="21">
        <f>EXP(-LN(2)/2)*AW186+(1-EXP(-LN(2)/2))/(LN(2)/2)*AQ187*AT187*VLOOKUP('Données projet'!$B$10,Paramètres!$A$1:$I$89,3,0)*0.475*44/12</f>
        <v>1.3094825633706261E-18</v>
      </c>
      <c r="AX187" s="21">
        <f t="shared" si="166"/>
        <v>19.225290192620175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-1.4210854715202004E-13</v>
      </c>
      <c r="BE187" s="13">
        <f>BD187*VLOOKUP('Données projet'!$B$11,Paramètres!$A$1:$I$89,3,0)*VLOOKUP('Données projet'!$B$11,Paramètres!$A$1:$I$89,5,0)</f>
        <v>-8.128608897095547E-14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320.76883487964511</v>
      </c>
      <c r="BJ187" s="59">
        <f t="shared" si="146"/>
        <v>290.51177680335746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21.111052542951978</v>
      </c>
      <c r="BQ187" s="21">
        <f>EXP(-LN(2)/25)*BQ186+(1-EXP(-LN(2)/25))/(LN(2)/25)*Calculateur!BL187*Calculateur!BN187*VLOOKUP('Données projet'!$B$11,Paramètres!$A$1:$I$89,3,0)*0.475*44/12</f>
        <v>2.4616061000737299</v>
      </c>
      <c r="BR187" s="21">
        <f>EXP(-LN(2)/2)*BR186+(1-EXP(-LN(2)/2))/(LN(2)/2)*BL187*BO187*VLOOKUP('Données projet'!$B$11,Paramètres!$A$1:$I$89,3,0)*0.475*44/12</f>
        <v>2.2611130609986092E-13</v>
      </c>
      <c r="BS187" s="22">
        <f t="shared" si="169"/>
        <v>23.572658643025935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304.99999999999983</v>
      </c>
      <c r="BZ187" s="13">
        <f>BY187*VLOOKUP('Données projet'!$B$12,Paramètres!$A$1:$I$89,3,0)*VLOOKUP('Données projet'!$B$12,Paramètres!$A$1:$I$89,5,0)</f>
        <v>275.96399999999983</v>
      </c>
      <c r="CA187" s="13">
        <f t="shared" si="170"/>
        <v>66.113366665488854</v>
      </c>
      <c r="CB187" s="20">
        <f t="shared" si="171"/>
        <v>595.78474694239264</v>
      </c>
      <c r="CC187" s="59">
        <f t="shared" si="119"/>
        <v>889.11808027572602</v>
      </c>
      <c r="CD187" s="59">
        <f ca="1">AVERAGE(OFFSET($CC$3,0,0,'Données projet'!$E$12+1,1))-AVERAGE(OFFSET($H$3,0,0,'Données projet'!$E$12+1,1))</f>
        <v>366.69125512029831</v>
      </c>
      <c r="CE187" s="59">
        <f t="shared" si="148"/>
        <v>513.80016421153414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7.655632068413197E-2</v>
      </c>
      <c r="CL187" s="21">
        <f>EXP(-LN(2)/25)*CL186+(1-EXP(-LN(2)/25))/(LN(2)/25)*Calculateur!CG187*Calculateur!CI187*VLOOKUP('Données projet'!$B$12,Paramètres!$A$1:$I$89,3,0)*0.475*44/12</f>
        <v>0.10324959368626883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0.1798059143704008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5.6843418860808015E-13</v>
      </c>
      <c r="CU187" s="17">
        <f>CT187*VLOOKUP('Données projet'!$B$13,Paramètres!$A$1:$I$89,3,0)*VLOOKUP('Données projet'!$B$13,Paramètres!$A$1:$I$89,5,0)</f>
        <v>3.8130565371830017E-13</v>
      </c>
      <c r="CV187" s="13">
        <f t="shared" si="173"/>
        <v>4.9019074112354236E-12</v>
      </c>
      <c r="CW187" s="20">
        <f t="shared" si="174"/>
        <v>9.2015960881277352E-12</v>
      </c>
      <c r="CX187" s="59">
        <f t="shared" si="122"/>
        <v>293.33333333334252</v>
      </c>
      <c r="CY187" s="59">
        <f ca="1">AVERAGE(OFFSET($CX$3,0,0,'Données projet'!$E$13+1,1))-AVERAGE(OFFSET($H$3,0,0,'Données projet'!$E$13+1,1))</f>
        <v>294.94331863127815</v>
      </c>
      <c r="CZ187" s="59">
        <f t="shared" si="150"/>
        <v>218.36990036643977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54.696879466334572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54.696879466334572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266.99999999999983</v>
      </c>
      <c r="DP187" s="17">
        <f>DO187*VLOOKUP('Données projet'!$B$14,Paramètres!$A$1:$I$89,3,0)*VLOOKUP('Données projet'!$B$14,Paramètres!$A$1:$I$89,5,0)</f>
        <v>195.76439999999985</v>
      </c>
      <c r="DQ187" s="13">
        <f t="shared" si="176"/>
        <v>48.812154563023455</v>
      </c>
      <c r="DR187" s="20">
        <f t="shared" si="177"/>
        <v>425.9708325305989</v>
      </c>
      <c r="DS187" s="59">
        <f t="shared" si="125"/>
        <v>719.30416586393221</v>
      </c>
      <c r="DT187" s="59">
        <f ca="1">AVERAGE(OFFSET($DS$3,0,0,'Données projet'!$E$14+1,1))-AVERAGE(OFFSET($H$3,0,0,'Données projet'!$E$14+1,1))</f>
        <v>278.45534008146865</v>
      </c>
      <c r="DU187" s="59">
        <f t="shared" si="152"/>
        <v>272.97841038165217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2.7446864977775309</v>
      </c>
      <c r="EB187" s="21">
        <f>EXP(-LN(2)/25)*EB186+(1-EXP(-LN(2)/25))/(LN(2)/25)*Calculateur!DW187*Calculateur!DY187*VLOOKUP('Données projet'!$B$14,Paramètres!$A$1:$I$89,3,0)*0.475*44/12</f>
        <v>0.34835671597835849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3.0930432137558892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5.6843418860808015E-13</v>
      </c>
      <c r="EK187" s="17">
        <f>EJ187*VLOOKUP('Données projet'!$B$15,Paramètres!$A$1:$I$89,3,0)*VLOOKUP('Données projet'!$B$15,Paramètres!$A$1:$I$89,5,0)</f>
        <v>6.1186256061773743E-13</v>
      </c>
      <c r="EL187" s="13">
        <f t="shared" si="179"/>
        <v>7.4445668332430206E-12</v>
      </c>
      <c r="EM187" s="20">
        <f t="shared" si="180"/>
        <v>1.4031614527640822E-11</v>
      </c>
      <c r="EN187" s="59">
        <f t="shared" si="128"/>
        <v>293.33333333334735</v>
      </c>
      <c r="EO187" s="59">
        <f ca="1">AVERAGE(OFFSET($EN$3,0,0,'Données projet'!$E$15+1,1))-AVERAGE(OFFSET($H$3,0,0,'Données projet'!$E$15+1,1))</f>
        <v>449.09332781196957</v>
      </c>
      <c r="EP187" s="59">
        <f t="shared" si="154"/>
        <v>324.85904971519432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71.209144965605375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71.209144965605375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5.6843418860808015E-13</v>
      </c>
      <c r="FF187" s="17">
        <f>FE187*VLOOKUP('Données projet'!$B$16,Paramètres!$A$1:$I$89,3,0)*VLOOKUP('Données projet'!$B$16,Paramètres!$A$1:$I$89,5,0)</f>
        <v>5.763922672485933E-13</v>
      </c>
      <c r="FG187" s="13">
        <f t="shared" si="182"/>
        <v>7.0619171555808457E-12</v>
      </c>
      <c r="FH187" s="20">
        <f t="shared" si="183"/>
        <v>1.3303388911427938E-11</v>
      </c>
      <c r="FI187" s="59">
        <f t="shared" si="131"/>
        <v>293.33333333334662</v>
      </c>
      <c r="FJ187" s="59">
        <f ca="1">AVERAGE(OFFSET($FI$3,0,0,'Données projet'!$E$16+1,1))-AVERAGE(OFFSET($H$3,0,0,'Données projet'!$E$16+1,1))</f>
        <v>419.51168383014721</v>
      </c>
      <c r="FK187" s="59">
        <f t="shared" si="156"/>
        <v>213.44145308833384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67.081078590787683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67.081078590787683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266.99999999999983</v>
      </c>
      <c r="GA187" s="17">
        <f>FZ187*VLOOKUP('Données projet'!$B$17,Paramètres!$A$1:$I$89,3,0)*VLOOKUP('Données projet'!$B$17,Paramètres!$A$1:$I$89,5,0)</f>
        <v>233.2511999999999</v>
      </c>
      <c r="GB187" s="13">
        <f t="shared" si="185"/>
        <v>56.985091661350864</v>
      </c>
      <c r="GC187" s="20">
        <f t="shared" si="186"/>
        <v>505.49487464351915</v>
      </c>
      <c r="GD187" s="59">
        <f t="shared" si="134"/>
        <v>798.82820797685247</v>
      </c>
      <c r="GE187" s="59">
        <f ca="1">AVERAGE(OFFSET($GD$3,0,0,'Données projet'!$E$17+1,1))-AVERAGE(OFFSET($H$3,0,0,'Données projet'!$E$17+1,1))</f>
        <v>324.86930206492627</v>
      </c>
      <c r="GF187" s="59">
        <f t="shared" si="158"/>
        <v>317.03005098025352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4.0307914524511181</v>
      </c>
      <c r="GM187" s="21">
        <f>EXP(-LN(2)/25)*GM186+(1-EXP(-LN(2)/25))/(LN(2)/25)*Calculateur!GH187*Calculateur!GJ187*VLOOKUP('Données projet'!$B$17,Paramètres!$A$1:$I$89,3,0)*0.475*44/12</f>
        <v>0.51158967492516971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4.542381127376288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5.6843418860808015E-13</v>
      </c>
      <c r="GV187" s="17">
        <f>GU187*VLOOKUP('Données projet'!$B$18,Paramètres!$A$1:$I$89,3,0)*VLOOKUP('Données projet'!$B$18,Paramètres!$A$1:$I$89,5,0)</f>
        <v>5.4092197387944907E-13</v>
      </c>
      <c r="GW187" s="13">
        <f t="shared" si="188"/>
        <v>6.6765148417791561E-12</v>
      </c>
      <c r="GX187" s="20">
        <f t="shared" si="189"/>
        <v>1.2570369120605403E-11</v>
      </c>
      <c r="GY187" s="59">
        <f t="shared" si="137"/>
        <v>293.33333333334588</v>
      </c>
      <c r="GZ187" s="59">
        <f ca="1">AVERAGE(OFFSET($GY$3,0,0,'Données projet'!$E$18+1,1))-AVERAGE(OFFSET($H$3,0,0,'Données projet'!$E$18+1,1))</f>
        <v>401.81944956556271</v>
      </c>
      <c r="HA187" s="59">
        <f t="shared" si="160"/>
        <v>292.20785523952651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62.953012215970034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62.953012215970034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5.1431925385259092E-13</v>
      </c>
      <c r="P188" s="13">
        <f t="shared" si="141"/>
        <v>6.3855359115685756E-12</v>
      </c>
      <c r="Q188" s="20">
        <f t="shared" si="162"/>
        <v>1.2017247746441865E-11</v>
      </c>
      <c r="R188" s="59">
        <f t="shared" si="109"/>
        <v>293.33333333334531</v>
      </c>
      <c r="S188" s="59">
        <f ca="1">AVERAGE(OFFSET($R$3,0,0,'Données projet'!$E$9+1,1))-AVERAGE(OFFSET($H$3,0,0,'Données projet'!$E$9+1,1))</f>
        <v>384.05928630855732</v>
      </c>
      <c r="T188" s="59">
        <f t="shared" si="142"/>
        <v>279.93992813630513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-6.3550942286383367E-14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335.04906256888819</v>
      </c>
      <c r="AO188" s="59">
        <f t="shared" si="144"/>
        <v>440.84111898279554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17.268629858406801</v>
      </c>
      <c r="AV188" s="21">
        <f>EXP(-LN(2)/25)*AV187+(1-EXP(-LN(2)/25))/(LN(2)/25)*Calculateur!AQ188*Calculateur!AS188*VLOOKUP('Données projet'!$B$10,Paramètres!$A$1:$I$89,3,0)*0.475*44/12</f>
        <v>1.5671999566301693</v>
      </c>
      <c r="AW188" s="21">
        <f>EXP(-LN(2)/2)*AW187+(1-EXP(-LN(2)/2))/(LN(2)/2)*AQ188*AT188*VLOOKUP('Données projet'!$B$10,Paramètres!$A$1:$I$89,3,0)*0.475*44/12</f>
        <v>9.2594400040491263E-19</v>
      </c>
      <c r="AX188" s="21">
        <f t="shared" si="166"/>
        <v>18.83582981503697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-1.4210854715202004E-13</v>
      </c>
      <c r="BE188" s="13">
        <f>BD188*VLOOKUP('Données projet'!$B$11,Paramètres!$A$1:$I$89,3,0)*VLOOKUP('Données projet'!$B$11,Paramètres!$A$1:$I$89,5,0)</f>
        <v>-8.128608897095547E-14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320.76883487964511</v>
      </c>
      <c r="BJ188" s="59">
        <f t="shared" si="146"/>
        <v>290.51177680335746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20.697077679055294</v>
      </c>
      <c r="BQ188" s="21">
        <f>EXP(-LN(2)/25)*BQ187+(1-EXP(-LN(2)/25))/(LN(2)/25)*Calculateur!BL188*Calculateur!BN188*VLOOKUP('Données projet'!$B$11,Paramètres!$A$1:$I$89,3,0)*0.475*44/12</f>
        <v>2.3942933518169749</v>
      </c>
      <c r="BR188" s="21">
        <f>EXP(-LN(2)/2)*BR187+(1-EXP(-LN(2)/2))/(LN(2)/2)*BL188*BO188*VLOOKUP('Données projet'!$B$11,Paramètres!$A$1:$I$89,3,0)*0.475*44/12</f>
        <v>1.5988483784615884E-13</v>
      </c>
      <c r="BS188" s="22">
        <f t="shared" si="169"/>
        <v>23.091371030872427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304.99999999999983</v>
      </c>
      <c r="BZ188" s="13">
        <f>BY188*VLOOKUP('Données projet'!$B$12,Paramètres!$A$1:$I$89,3,0)*VLOOKUP('Données projet'!$B$12,Paramètres!$A$1:$I$89,5,0)</f>
        <v>275.96399999999983</v>
      </c>
      <c r="CA188" s="13">
        <f t="shared" si="170"/>
        <v>66.113366665488854</v>
      </c>
      <c r="CB188" s="20">
        <f t="shared" si="171"/>
        <v>595.78474694239264</v>
      </c>
      <c r="CC188" s="59">
        <f t="shared" si="119"/>
        <v>889.11808027572602</v>
      </c>
      <c r="CD188" s="59">
        <f ca="1">AVERAGE(OFFSET($CC$3,0,0,'Données projet'!$E$12+1,1))-AVERAGE(OFFSET($H$3,0,0,'Données projet'!$E$12+1,1))</f>
        <v>366.69125512029831</v>
      </c>
      <c r="CE188" s="59">
        <f t="shared" si="148"/>
        <v>513.80016421153414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7.5055097930261036E-2</v>
      </c>
      <c r="CL188" s="21">
        <f>EXP(-LN(2)/25)*CL187+(1-EXP(-LN(2)/25))/(LN(2)/25)*Calculateur!CG188*Calculateur!CI188*VLOOKUP('Données projet'!$B$12,Paramètres!$A$1:$I$89,3,0)*0.475*44/12</f>
        <v>0.10042622811725765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0.1754813260475187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5.6843418860808015E-13</v>
      </c>
      <c r="CU188" s="17">
        <f>CT188*VLOOKUP('Données projet'!$B$13,Paramètres!$A$1:$I$89,3,0)*VLOOKUP('Données projet'!$B$13,Paramètres!$A$1:$I$89,5,0)</f>
        <v>3.8130565371830017E-13</v>
      </c>
      <c r="CV188" s="13">
        <f t="shared" si="173"/>
        <v>4.9019074112354236E-12</v>
      </c>
      <c r="CW188" s="20">
        <f t="shared" si="174"/>
        <v>9.2015960881277352E-12</v>
      </c>
      <c r="CX188" s="59">
        <f t="shared" si="122"/>
        <v>293.33333333334252</v>
      </c>
      <c r="CY188" s="59">
        <f ca="1">AVERAGE(OFFSET($CX$3,0,0,'Données projet'!$E$13+1,1))-AVERAGE(OFFSET($H$3,0,0,'Données projet'!$E$13+1,1))</f>
        <v>294.94331863127815</v>
      </c>
      <c r="CZ188" s="59">
        <f t="shared" si="150"/>
        <v>218.36990036643977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53.624307021802018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53.624307021802018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266.99999999999983</v>
      </c>
      <c r="DP188" s="17">
        <f>DO188*VLOOKUP('Données projet'!$B$14,Paramètres!$A$1:$I$89,3,0)*VLOOKUP('Données projet'!$B$14,Paramètres!$A$1:$I$89,5,0)</f>
        <v>195.76439999999985</v>
      </c>
      <c r="DQ188" s="13">
        <f t="shared" si="176"/>
        <v>48.812154563023455</v>
      </c>
      <c r="DR188" s="20">
        <f t="shared" si="177"/>
        <v>425.9708325305989</v>
      </c>
      <c r="DS188" s="59">
        <f t="shared" si="125"/>
        <v>719.30416586393221</v>
      </c>
      <c r="DT188" s="59">
        <f ca="1">AVERAGE(OFFSET($DS$3,0,0,'Données projet'!$E$14+1,1))-AVERAGE(OFFSET($H$3,0,0,'Données projet'!$E$14+1,1))</f>
        <v>278.45534008146865</v>
      </c>
      <c r="DU188" s="59">
        <f t="shared" si="152"/>
        <v>272.97841038165217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2.6908648696495741</v>
      </c>
      <c r="EB188" s="21">
        <f>EXP(-LN(2)/25)*EB187+(1-EXP(-LN(2)/25))/(LN(2)/25)*Calculateur!DW188*Calculateur!DY188*VLOOKUP('Données projet'!$B$14,Paramètres!$A$1:$I$89,3,0)*0.475*44/12</f>
        <v>0.33883088326064675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3.0296957529102206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5.6843418860808015E-13</v>
      </c>
      <c r="EK188" s="17">
        <f>EJ188*VLOOKUP('Données projet'!$B$15,Paramètres!$A$1:$I$89,3,0)*VLOOKUP('Données projet'!$B$15,Paramètres!$A$1:$I$89,5,0)</f>
        <v>6.1186256061773743E-13</v>
      </c>
      <c r="EL188" s="13">
        <f t="shared" si="179"/>
        <v>7.4445668332430206E-12</v>
      </c>
      <c r="EM188" s="20">
        <f t="shared" si="180"/>
        <v>1.4031614527640822E-11</v>
      </c>
      <c r="EN188" s="59">
        <f t="shared" si="128"/>
        <v>293.33333333334735</v>
      </c>
      <c r="EO188" s="59">
        <f ca="1">AVERAGE(OFFSET($EN$3,0,0,'Données projet'!$E$15+1,1))-AVERAGE(OFFSET($H$3,0,0,'Données projet'!$E$15+1,1))</f>
        <v>449.09332781196957</v>
      </c>
      <c r="EP188" s="59">
        <f t="shared" si="154"/>
        <v>324.85904971519432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69.812777066119608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69.812777066119608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5.6843418860808015E-13</v>
      </c>
      <c r="FF188" s="17">
        <f>FE188*VLOOKUP('Données projet'!$B$16,Paramètres!$A$1:$I$89,3,0)*VLOOKUP('Données projet'!$B$16,Paramètres!$A$1:$I$89,5,0)</f>
        <v>5.763922672485933E-13</v>
      </c>
      <c r="FG188" s="13">
        <f t="shared" si="182"/>
        <v>7.0619171555808457E-12</v>
      </c>
      <c r="FH188" s="20">
        <f t="shared" si="183"/>
        <v>1.3303388911427938E-11</v>
      </c>
      <c r="FI188" s="59">
        <f t="shared" si="131"/>
        <v>293.33333333334662</v>
      </c>
      <c r="FJ188" s="59">
        <f ca="1">AVERAGE(OFFSET($FI$3,0,0,'Données projet'!$E$16+1,1))-AVERAGE(OFFSET($H$3,0,0,'Données projet'!$E$16+1,1))</f>
        <v>419.51168383014721</v>
      </c>
      <c r="FK188" s="59">
        <f t="shared" si="156"/>
        <v>213.44145308833384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65.765659555040216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65.765659555040216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266.99999999999983</v>
      </c>
      <c r="GA188" s="17">
        <f>FZ188*VLOOKUP('Données projet'!$B$17,Paramètres!$A$1:$I$89,3,0)*VLOOKUP('Données projet'!$B$17,Paramètres!$A$1:$I$89,5,0)</f>
        <v>233.2511999999999</v>
      </c>
      <c r="GB188" s="13">
        <f t="shared" si="185"/>
        <v>56.985091661350864</v>
      </c>
      <c r="GC188" s="20">
        <f t="shared" si="186"/>
        <v>505.49487464351915</v>
      </c>
      <c r="GD188" s="59">
        <f t="shared" si="134"/>
        <v>798.82820797685247</v>
      </c>
      <c r="GE188" s="59">
        <f ca="1">AVERAGE(OFFSET($GD$3,0,0,'Données projet'!$E$17+1,1))-AVERAGE(OFFSET($H$3,0,0,'Données projet'!$E$17+1,1))</f>
        <v>324.86930206492627</v>
      </c>
      <c r="GF188" s="59">
        <f t="shared" si="158"/>
        <v>317.03005098025352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3.9517500906085772</v>
      </c>
      <c r="GM188" s="21">
        <f>EXP(-LN(2)/25)*GM187+(1-EXP(-LN(2)/25))/(LN(2)/25)*Calculateur!GH188*Calculateur!GJ188*VLOOKUP('Données projet'!$B$17,Paramètres!$A$1:$I$89,3,0)*0.475*44/12</f>
        <v>0.4976002283610092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4.4493503189695867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5.6843418860808015E-13</v>
      </c>
      <c r="GV188" s="17">
        <f>GU188*VLOOKUP('Données projet'!$B$18,Paramètres!$A$1:$I$89,3,0)*VLOOKUP('Données projet'!$B$18,Paramètres!$A$1:$I$89,5,0)</f>
        <v>5.4092197387944907E-13</v>
      </c>
      <c r="GW188" s="13">
        <f t="shared" si="188"/>
        <v>6.6765148417791561E-12</v>
      </c>
      <c r="GX188" s="20">
        <f t="shared" si="189"/>
        <v>1.2570369120605403E-11</v>
      </c>
      <c r="GY188" s="59">
        <f t="shared" si="137"/>
        <v>293.33333333334588</v>
      </c>
      <c r="GZ188" s="59">
        <f ca="1">AVERAGE(OFFSET($GY$3,0,0,'Données projet'!$E$18+1,1))-AVERAGE(OFFSET($H$3,0,0,'Données projet'!$E$18+1,1))</f>
        <v>401.81944956556271</v>
      </c>
      <c r="HA188" s="59">
        <f t="shared" si="160"/>
        <v>292.20785523952651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61.718542043960873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61.718542043960873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5.1431925385259092E-13</v>
      </c>
      <c r="P189" s="13">
        <f t="shared" si="141"/>
        <v>6.3855359115685756E-12</v>
      </c>
      <c r="Q189" s="20">
        <f t="shared" si="162"/>
        <v>1.2017247746441865E-11</v>
      </c>
      <c r="R189" s="59">
        <f t="shared" si="109"/>
        <v>293.33333333334531</v>
      </c>
      <c r="S189" s="59">
        <f ca="1">AVERAGE(OFFSET($R$3,0,0,'Données projet'!$E$9+1,1))-AVERAGE(OFFSET($H$3,0,0,'Données projet'!$E$9+1,1))</f>
        <v>384.05928630855732</v>
      </c>
      <c r="T189" s="59">
        <f t="shared" si="142"/>
        <v>279.93992813630513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-6.3550942286383367E-14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335.04906256888819</v>
      </c>
      <c r="AO189" s="59">
        <f t="shared" si="144"/>
        <v>440.84111898279554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16.930002559707628</v>
      </c>
      <c r="AV189" s="21">
        <f>EXP(-LN(2)/25)*AV188+(1-EXP(-LN(2)/25))/(LN(2)/25)*Calculateur!AQ189*Calculateur!AS189*VLOOKUP('Données projet'!$B$10,Paramètres!$A$1:$I$89,3,0)*0.475*44/12</f>
        <v>1.5243447914006536</v>
      </c>
      <c r="AW189" s="21">
        <f>EXP(-LN(2)/2)*AW188+(1-EXP(-LN(2)/2))/(LN(2)/2)*AQ189*AT189*VLOOKUP('Données projet'!$B$10,Paramètres!$A$1:$I$89,3,0)*0.475*44/12</f>
        <v>6.5474128168531303E-19</v>
      </c>
      <c r="AX189" s="21">
        <f t="shared" si="166"/>
        <v>18.454347351108282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-1.4210854715202004E-13</v>
      </c>
      <c r="BE189" s="13">
        <f>BD189*VLOOKUP('Données projet'!$B$11,Paramètres!$A$1:$I$89,3,0)*VLOOKUP('Données projet'!$B$11,Paramètres!$A$1:$I$89,5,0)</f>
        <v>-8.128608897095547E-14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320.76883487964511</v>
      </c>
      <c r="BJ189" s="59">
        <f t="shared" si="146"/>
        <v>290.51177680335746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20.291220609739892</v>
      </c>
      <c r="BQ189" s="21">
        <f>EXP(-LN(2)/25)*BQ188+(1-EXP(-LN(2)/25))/(LN(2)/25)*Calculateur!BL189*Calculateur!BN189*VLOOKUP('Données projet'!$B$11,Paramètres!$A$1:$I$89,3,0)*0.475*44/12</f>
        <v>2.3288212742011245</v>
      </c>
      <c r="BR189" s="21">
        <f>EXP(-LN(2)/2)*BR188+(1-EXP(-LN(2)/2))/(LN(2)/2)*BL189*BO189*VLOOKUP('Données projet'!$B$11,Paramètres!$A$1:$I$89,3,0)*0.475*44/12</f>
        <v>1.1305565304993048E-13</v>
      </c>
      <c r="BS189" s="22">
        <f t="shared" si="169"/>
        <v>22.620041883941131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304.99999999999983</v>
      </c>
      <c r="BZ189" s="13">
        <f>BY189*VLOOKUP('Données projet'!$B$12,Paramètres!$A$1:$I$89,3,0)*VLOOKUP('Données projet'!$B$12,Paramètres!$A$1:$I$89,5,0)</f>
        <v>275.96399999999983</v>
      </c>
      <c r="CA189" s="13">
        <f t="shared" si="170"/>
        <v>66.113366665488854</v>
      </c>
      <c r="CB189" s="20">
        <f t="shared" si="171"/>
        <v>595.78474694239264</v>
      </c>
      <c r="CC189" s="59">
        <f t="shared" si="119"/>
        <v>889.11808027572602</v>
      </c>
      <c r="CD189" s="59">
        <f ca="1">AVERAGE(OFFSET($CC$3,0,0,'Données projet'!$E$12+1,1))-AVERAGE(OFFSET($H$3,0,0,'Données projet'!$E$12+1,1))</f>
        <v>366.69125512029831</v>
      </c>
      <c r="CE189" s="59">
        <f t="shared" si="148"/>
        <v>513.80016421153414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7.3583313238938047E-2</v>
      </c>
      <c r="CL189" s="21">
        <f>EXP(-LN(2)/25)*CL188+(1-EXP(-LN(2)/25))/(LN(2)/25)*Calculateur!CG189*Calculateur!CI189*VLOOKUP('Données projet'!$B$12,Paramètres!$A$1:$I$89,3,0)*0.475*44/12</f>
        <v>9.7680067628205428E-2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0.17126338086714349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5.6843418860808015E-13</v>
      </c>
      <c r="CU189" s="17">
        <f>CT189*VLOOKUP('Données projet'!$B$13,Paramètres!$A$1:$I$89,3,0)*VLOOKUP('Données projet'!$B$13,Paramètres!$A$1:$I$89,5,0)</f>
        <v>3.8130565371830017E-13</v>
      </c>
      <c r="CV189" s="13">
        <f t="shared" si="173"/>
        <v>4.9019074112354236E-12</v>
      </c>
      <c r="CW189" s="20">
        <f t="shared" si="174"/>
        <v>9.2015960881277352E-12</v>
      </c>
      <c r="CX189" s="59">
        <f t="shared" si="122"/>
        <v>293.33333333334252</v>
      </c>
      <c r="CY189" s="59">
        <f ca="1">AVERAGE(OFFSET($CX$3,0,0,'Données projet'!$E$13+1,1))-AVERAGE(OFFSET($H$3,0,0,'Données projet'!$E$13+1,1))</f>
        <v>294.94331863127815</v>
      </c>
      <c r="CZ189" s="59">
        <f t="shared" si="150"/>
        <v>218.36990036643977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52.572767068702156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52.572767068702156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266.99999999999983</v>
      </c>
      <c r="DP189" s="17">
        <f>DO189*VLOOKUP('Données projet'!$B$14,Paramètres!$A$1:$I$89,3,0)*VLOOKUP('Données projet'!$B$14,Paramètres!$A$1:$I$89,5,0)</f>
        <v>195.76439999999985</v>
      </c>
      <c r="DQ189" s="13">
        <f t="shared" si="176"/>
        <v>48.812154563023455</v>
      </c>
      <c r="DR189" s="20">
        <f t="shared" si="177"/>
        <v>425.9708325305989</v>
      </c>
      <c r="DS189" s="59">
        <f t="shared" si="125"/>
        <v>719.30416586393221</v>
      </c>
      <c r="DT189" s="59">
        <f ca="1">AVERAGE(OFFSET($DS$3,0,0,'Données projet'!$E$14+1,1))-AVERAGE(OFFSET($H$3,0,0,'Données projet'!$E$14+1,1))</f>
        <v>278.45534008146865</v>
      </c>
      <c r="DU189" s="59">
        <f t="shared" si="152"/>
        <v>272.97841038165217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2.6380986508212549</v>
      </c>
      <c r="EB189" s="21">
        <f>EXP(-LN(2)/25)*EB188+(1-EXP(-LN(2)/25))/(LN(2)/25)*Calculateur!DW189*Calculateur!DY189*VLOOKUP('Données projet'!$B$14,Paramètres!$A$1:$I$89,3,0)*0.475*44/12</f>
        <v>0.3295655349395426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2.9676641857607975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5.6843418860808015E-13</v>
      </c>
      <c r="EK189" s="17">
        <f>EJ189*VLOOKUP('Données projet'!$B$15,Paramètres!$A$1:$I$89,3,0)*VLOOKUP('Données projet'!$B$15,Paramètres!$A$1:$I$89,5,0)</f>
        <v>6.1186256061773743E-13</v>
      </c>
      <c r="EL189" s="13">
        <f t="shared" si="179"/>
        <v>7.4445668332430206E-12</v>
      </c>
      <c r="EM189" s="20">
        <f t="shared" si="180"/>
        <v>1.4031614527640822E-11</v>
      </c>
      <c r="EN189" s="59">
        <f t="shared" si="128"/>
        <v>293.33333333334735</v>
      </c>
      <c r="EO189" s="59">
        <f ca="1">AVERAGE(OFFSET($EN$3,0,0,'Données projet'!$E$15+1,1))-AVERAGE(OFFSET($H$3,0,0,'Données projet'!$E$15+1,1))</f>
        <v>449.09332781196957</v>
      </c>
      <c r="EP189" s="59">
        <f t="shared" si="154"/>
        <v>324.85904971519432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68.443791089442428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68.443791089442428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5.6843418860808015E-13</v>
      </c>
      <c r="FF189" s="17">
        <f>FE189*VLOOKUP('Données projet'!$B$16,Paramètres!$A$1:$I$89,3,0)*VLOOKUP('Données projet'!$B$16,Paramètres!$A$1:$I$89,5,0)</f>
        <v>5.763922672485933E-13</v>
      </c>
      <c r="FG189" s="13">
        <f t="shared" si="182"/>
        <v>7.0619171555808457E-12</v>
      </c>
      <c r="FH189" s="20">
        <f t="shared" si="183"/>
        <v>1.3303388911427938E-11</v>
      </c>
      <c r="FI189" s="59">
        <f t="shared" si="131"/>
        <v>293.33333333334662</v>
      </c>
      <c r="FJ189" s="59">
        <f ca="1">AVERAGE(OFFSET($FI$3,0,0,'Données projet'!$E$16+1,1))-AVERAGE(OFFSET($H$3,0,0,'Données projet'!$E$16+1,1))</f>
        <v>419.51168383014721</v>
      </c>
      <c r="FK189" s="59">
        <f t="shared" si="156"/>
        <v>213.44145308833384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64.476035084257362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64.476035084257362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266.99999999999983</v>
      </c>
      <c r="GA189" s="17">
        <f>FZ189*VLOOKUP('Données projet'!$B$17,Paramètres!$A$1:$I$89,3,0)*VLOOKUP('Données projet'!$B$17,Paramètres!$A$1:$I$89,5,0)</f>
        <v>233.2511999999999</v>
      </c>
      <c r="GB189" s="13">
        <f t="shared" si="185"/>
        <v>56.985091661350864</v>
      </c>
      <c r="GC189" s="20">
        <f t="shared" si="186"/>
        <v>505.49487464351915</v>
      </c>
      <c r="GD189" s="59">
        <f t="shared" si="134"/>
        <v>798.82820797685247</v>
      </c>
      <c r="GE189" s="59">
        <f ca="1">AVERAGE(OFFSET($GD$3,0,0,'Données projet'!$E$17+1,1))-AVERAGE(OFFSET($H$3,0,0,'Données projet'!$E$17+1,1))</f>
        <v>324.86930206492627</v>
      </c>
      <c r="GF189" s="59">
        <f t="shared" si="158"/>
        <v>317.03005098025352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3.8742586816612978</v>
      </c>
      <c r="GM189" s="21">
        <f>EXP(-LN(2)/25)*GM188+(1-EXP(-LN(2)/25))/(LN(2)/25)*Calculateur!GH189*Calculateur!GJ189*VLOOKUP('Données projet'!$B$17,Paramètres!$A$1:$I$89,3,0)*0.475*44/12</f>
        <v>0.48399332394881867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4.3582520056101162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5.6843418860808015E-13</v>
      </c>
      <c r="GV189" s="17">
        <f>GU189*VLOOKUP('Données projet'!$B$18,Paramètres!$A$1:$I$89,3,0)*VLOOKUP('Données projet'!$B$18,Paramètres!$A$1:$I$89,5,0)</f>
        <v>5.4092197387944907E-13</v>
      </c>
      <c r="GW189" s="13">
        <f t="shared" si="188"/>
        <v>6.6765148417791561E-12</v>
      </c>
      <c r="GX189" s="20">
        <f t="shared" si="189"/>
        <v>1.2570369120605403E-11</v>
      </c>
      <c r="GY189" s="59">
        <f t="shared" si="137"/>
        <v>293.33333333334588</v>
      </c>
      <c r="GZ189" s="59">
        <f ca="1">AVERAGE(OFFSET($GY$3,0,0,'Données projet'!$E$18+1,1))-AVERAGE(OFFSET($H$3,0,0,'Données projet'!$E$18+1,1))</f>
        <v>401.81944956556271</v>
      </c>
      <c r="HA189" s="59">
        <f t="shared" si="160"/>
        <v>292.20785523952651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60.508279079072352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60.508279079072352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5.1431925385259092E-13</v>
      </c>
      <c r="P190" s="13">
        <f t="shared" si="141"/>
        <v>6.3855359115685756E-12</v>
      </c>
      <c r="Q190" s="20">
        <f t="shared" si="162"/>
        <v>1.2017247746441865E-11</v>
      </c>
      <c r="R190" s="59">
        <f t="shared" si="109"/>
        <v>293.33333333334531</v>
      </c>
      <c r="S190" s="59">
        <f ca="1">AVERAGE(OFFSET($R$3,0,0,'Données projet'!$E$9+1,1))-AVERAGE(OFFSET($H$3,0,0,'Données projet'!$E$9+1,1))</f>
        <v>384.05928630855732</v>
      </c>
      <c r="T190" s="59">
        <f t="shared" si="142"/>
        <v>279.93992813630513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-6.3550942286383367E-14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335.04906256888819</v>
      </c>
      <c r="AO190" s="59">
        <f t="shared" si="144"/>
        <v>440.84111898279554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16.598015535793689</v>
      </c>
      <c r="AV190" s="21">
        <f>EXP(-LN(2)/25)*AV189+(1-EXP(-LN(2)/25))/(LN(2)/25)*Calculateur!AQ190*Calculateur!AS190*VLOOKUP('Données projet'!$B$10,Paramètres!$A$1:$I$89,3,0)*0.475*44/12</f>
        <v>1.4826615029179941</v>
      </c>
      <c r="AW190" s="21">
        <f>EXP(-LN(2)/2)*AW189+(1-EXP(-LN(2)/2))/(LN(2)/2)*AQ190*AT190*VLOOKUP('Données projet'!$B$10,Paramètres!$A$1:$I$89,3,0)*0.475*44/12</f>
        <v>4.6297200020245631E-19</v>
      </c>
      <c r="AX190" s="21">
        <f t="shared" si="166"/>
        <v>18.080677038711684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-1.4210854715202004E-13</v>
      </c>
      <c r="BE190" s="13">
        <f>BD190*VLOOKUP('Données projet'!$B$11,Paramètres!$A$1:$I$89,3,0)*VLOOKUP('Données projet'!$B$11,Paramètres!$A$1:$I$89,5,0)</f>
        <v>-8.128608897095547E-14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320.76883487964511</v>
      </c>
      <c r="BJ190" s="59">
        <f t="shared" si="146"/>
        <v>290.51177680335746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19.893322150005393</v>
      </c>
      <c r="BQ190" s="21">
        <f>EXP(-LN(2)/25)*BQ189+(1-EXP(-LN(2)/25))/(LN(2)/25)*Calculateur!BL190*Calculateur!BN190*VLOOKUP('Données projet'!$B$11,Paramètres!$A$1:$I$89,3,0)*0.475*44/12</f>
        <v>2.2651395339907063</v>
      </c>
      <c r="BR190" s="21">
        <f>EXP(-LN(2)/2)*BR189+(1-EXP(-LN(2)/2))/(LN(2)/2)*BL190*BO190*VLOOKUP('Données projet'!$B$11,Paramètres!$A$1:$I$89,3,0)*0.475*44/12</f>
        <v>7.9942418923079433E-14</v>
      </c>
      <c r="BS190" s="22">
        <f t="shared" si="169"/>
        <v>22.15846168399618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304.99999999999983</v>
      </c>
      <c r="BZ190" s="13">
        <f>BY190*VLOOKUP('Données projet'!$B$12,Paramètres!$A$1:$I$89,3,0)*VLOOKUP('Données projet'!$B$12,Paramètres!$A$1:$I$89,5,0)</f>
        <v>275.96399999999983</v>
      </c>
      <c r="CA190" s="13">
        <f t="shared" si="170"/>
        <v>66.113366665488854</v>
      </c>
      <c r="CB190" s="20">
        <f t="shared" si="171"/>
        <v>595.78474694239264</v>
      </c>
      <c r="CC190" s="59">
        <f t="shared" si="119"/>
        <v>889.11808027572602</v>
      </c>
      <c r="CD190" s="59">
        <f ca="1">AVERAGE(OFFSET($CC$3,0,0,'Données projet'!$E$12+1,1))-AVERAGE(OFFSET($H$3,0,0,'Données projet'!$E$12+1,1))</f>
        <v>366.69125512029831</v>
      </c>
      <c r="CE190" s="59">
        <f t="shared" si="148"/>
        <v>513.80016421153414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7.2140389347711872E-2</v>
      </c>
      <c r="CL190" s="21">
        <f>EXP(-LN(2)/25)*CL189+(1-EXP(-LN(2)/25))/(LN(2)/25)*Calculateur!CG190*Calculateur!CI190*VLOOKUP('Données projet'!$B$12,Paramètres!$A$1:$I$89,3,0)*0.475*44/12</f>
        <v>9.5009001042140648E-2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0.16714939038985252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5.6843418860808015E-13</v>
      </c>
      <c r="CU190" s="17">
        <f>CT190*VLOOKUP('Données projet'!$B$13,Paramètres!$A$1:$I$89,3,0)*VLOOKUP('Données projet'!$B$13,Paramètres!$A$1:$I$89,5,0)</f>
        <v>3.8130565371830017E-13</v>
      </c>
      <c r="CV190" s="13">
        <f t="shared" si="173"/>
        <v>4.9019074112354236E-12</v>
      </c>
      <c r="CW190" s="20">
        <f t="shared" si="174"/>
        <v>9.2015960881277352E-12</v>
      </c>
      <c r="CX190" s="59">
        <f t="shared" si="122"/>
        <v>293.33333333334252</v>
      </c>
      <c r="CY190" s="59">
        <f ca="1">AVERAGE(OFFSET($CX$3,0,0,'Données projet'!$E$13+1,1))-AVERAGE(OFFSET($H$3,0,0,'Données projet'!$E$13+1,1))</f>
        <v>294.94331863127815</v>
      </c>
      <c r="CZ190" s="59">
        <f t="shared" si="150"/>
        <v>218.36990036643977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51.541847172706539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51.541847172706539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266.99999999999983</v>
      </c>
      <c r="DP190" s="17">
        <f>DO190*VLOOKUP('Données projet'!$B$14,Paramètres!$A$1:$I$89,3,0)*VLOOKUP('Données projet'!$B$14,Paramètres!$A$1:$I$89,5,0)</f>
        <v>195.76439999999985</v>
      </c>
      <c r="DQ190" s="13">
        <f t="shared" si="176"/>
        <v>48.812154563023455</v>
      </c>
      <c r="DR190" s="20">
        <f t="shared" si="177"/>
        <v>425.9708325305989</v>
      </c>
      <c r="DS190" s="59">
        <f t="shared" si="125"/>
        <v>719.30416586393221</v>
      </c>
      <c r="DT190" s="59">
        <f ca="1">AVERAGE(OFFSET($DS$3,0,0,'Données projet'!$E$14+1,1))-AVERAGE(OFFSET($H$3,0,0,'Données projet'!$E$14+1,1))</f>
        <v>278.45534008146865</v>
      </c>
      <c r="DU190" s="59">
        <f t="shared" si="152"/>
        <v>272.97841038165217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2.5863671453599437</v>
      </c>
      <c r="EB190" s="21">
        <f>EXP(-LN(2)/25)*EB189+(1-EXP(-LN(2)/25))/(LN(2)/25)*Calculateur!DW190*Calculateur!DY190*VLOOKUP('Données projet'!$B$14,Paramètres!$A$1:$I$89,3,0)*0.475*44/12</f>
        <v>0.32055354805552255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2.9069206934154663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5.6843418860808015E-13</v>
      </c>
      <c r="EK190" s="17">
        <f>EJ190*VLOOKUP('Données projet'!$B$15,Paramètres!$A$1:$I$89,3,0)*VLOOKUP('Données projet'!$B$15,Paramètres!$A$1:$I$89,5,0)</f>
        <v>6.1186256061773743E-13</v>
      </c>
      <c r="EL190" s="13">
        <f t="shared" si="179"/>
        <v>7.4445668332430206E-12</v>
      </c>
      <c r="EM190" s="20">
        <f t="shared" si="180"/>
        <v>1.4031614527640822E-11</v>
      </c>
      <c r="EN190" s="59">
        <f t="shared" si="128"/>
        <v>293.33333333334735</v>
      </c>
      <c r="EO190" s="59">
        <f ca="1">AVERAGE(OFFSET($EN$3,0,0,'Données projet'!$E$15+1,1))-AVERAGE(OFFSET($H$3,0,0,'Données projet'!$E$15+1,1))</f>
        <v>449.09332781196957</v>
      </c>
      <c r="EP190" s="59">
        <f t="shared" si="154"/>
        <v>324.85904971519432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67.101650092768892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67.101650092768892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5.6843418860808015E-13</v>
      </c>
      <c r="FF190" s="17">
        <f>FE190*VLOOKUP('Données projet'!$B$16,Paramètres!$A$1:$I$89,3,0)*VLOOKUP('Données projet'!$B$16,Paramètres!$A$1:$I$89,5,0)</f>
        <v>5.763922672485933E-13</v>
      </c>
      <c r="FG190" s="13">
        <f t="shared" si="182"/>
        <v>7.0619171555808457E-12</v>
      </c>
      <c r="FH190" s="20">
        <f t="shared" si="183"/>
        <v>1.3303388911427938E-11</v>
      </c>
      <c r="FI190" s="59">
        <f t="shared" si="131"/>
        <v>293.33333333334662</v>
      </c>
      <c r="FJ190" s="59">
        <f ca="1">AVERAGE(OFFSET($FI$3,0,0,'Données projet'!$E$16+1,1))-AVERAGE(OFFSET($H$3,0,0,'Données projet'!$E$16+1,1))</f>
        <v>419.51168383014721</v>
      </c>
      <c r="FK190" s="59">
        <f t="shared" si="156"/>
        <v>213.44145308833384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63.211699362753308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63.211699362753308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266.99999999999983</v>
      </c>
      <c r="GA190" s="17">
        <f>FZ190*VLOOKUP('Données projet'!$B$17,Paramètres!$A$1:$I$89,3,0)*VLOOKUP('Données projet'!$B$17,Paramètres!$A$1:$I$89,5,0)</f>
        <v>233.2511999999999</v>
      </c>
      <c r="GB190" s="13">
        <f t="shared" si="185"/>
        <v>56.985091661350864</v>
      </c>
      <c r="GC190" s="20">
        <f t="shared" si="186"/>
        <v>505.49487464351915</v>
      </c>
      <c r="GD190" s="59">
        <f t="shared" si="134"/>
        <v>798.82820797685247</v>
      </c>
      <c r="GE190" s="59">
        <f ca="1">AVERAGE(OFFSET($GD$3,0,0,'Données projet'!$E$17+1,1))-AVERAGE(OFFSET($H$3,0,0,'Données projet'!$E$17+1,1))</f>
        <v>324.86930206492627</v>
      </c>
      <c r="GF190" s="59">
        <f t="shared" si="158"/>
        <v>317.03005098025352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3.7982868319783822</v>
      </c>
      <c r="GM190" s="21">
        <f>EXP(-LN(2)/25)*GM189+(1-EXP(-LN(2)/25))/(LN(2)/25)*Calculateur!GH190*Calculateur!GJ190*VLOOKUP('Données projet'!$B$17,Paramètres!$A$1:$I$89,3,0)*0.475*44/12</f>
        <v>0.4707585010533355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4.269045333031718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5.6843418860808015E-13</v>
      </c>
      <c r="GV190" s="17">
        <f>GU190*VLOOKUP('Données projet'!$B$18,Paramètres!$A$1:$I$89,3,0)*VLOOKUP('Données projet'!$B$18,Paramètres!$A$1:$I$89,5,0)</f>
        <v>5.4092197387944907E-13</v>
      </c>
      <c r="GW190" s="13">
        <f t="shared" si="188"/>
        <v>6.6765148417791561E-12</v>
      </c>
      <c r="GX190" s="20">
        <f t="shared" si="189"/>
        <v>1.2570369120605403E-11</v>
      </c>
      <c r="GY190" s="59">
        <f t="shared" si="137"/>
        <v>293.33333333334588</v>
      </c>
      <c r="GZ190" s="59">
        <f ca="1">AVERAGE(OFFSET($GY$3,0,0,'Données projet'!$E$18+1,1))-AVERAGE(OFFSET($H$3,0,0,'Données projet'!$E$18+1,1))</f>
        <v>401.81944956556271</v>
      </c>
      <c r="HA190" s="59">
        <f t="shared" si="160"/>
        <v>292.20785523952651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59.32174863273778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59.32174863273778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5.1431925385259092E-13</v>
      </c>
      <c r="P191" s="13">
        <f t="shared" si="141"/>
        <v>6.3855359115685756E-12</v>
      </c>
      <c r="Q191" s="20">
        <f t="shared" si="162"/>
        <v>1.2017247746441865E-11</v>
      </c>
      <c r="R191" s="59">
        <f t="shared" si="109"/>
        <v>293.33333333334531</v>
      </c>
      <c r="S191" s="59">
        <f ca="1">AVERAGE(OFFSET($R$3,0,0,'Données projet'!$E$9+1,1))-AVERAGE(OFFSET($H$3,0,0,'Données projet'!$E$9+1,1))</f>
        <v>384.05928630855732</v>
      </c>
      <c r="T191" s="59">
        <f t="shared" si="142"/>
        <v>279.93992813630513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-6.3550942286383367E-14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335.04906256888819</v>
      </c>
      <c r="AO191" s="59">
        <f t="shared" si="144"/>
        <v>440.84111898279554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16.27253857492661</v>
      </c>
      <c r="AV191" s="21">
        <f>EXP(-LN(2)/25)*AV190+(1-EXP(-LN(2)/25))/(LN(2)/25)*Calculateur!AQ191*Calculateur!AS191*VLOOKUP('Données projet'!$B$10,Paramètres!$A$1:$I$89,3,0)*0.475*44/12</f>
        <v>1.4421180461509218</v>
      </c>
      <c r="AW191" s="21">
        <f>EXP(-LN(2)/2)*AW190+(1-EXP(-LN(2)/2))/(LN(2)/2)*AQ191*AT191*VLOOKUP('Données projet'!$B$10,Paramètres!$A$1:$I$89,3,0)*0.475*44/12</f>
        <v>3.2737064084265651E-19</v>
      </c>
      <c r="AX191" s="21">
        <f t="shared" si="166"/>
        <v>17.71465662107753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-1.4210854715202004E-13</v>
      </c>
      <c r="BE191" s="13">
        <f>BD191*VLOOKUP('Données projet'!$B$11,Paramètres!$A$1:$I$89,3,0)*VLOOKUP('Données projet'!$B$11,Paramètres!$A$1:$I$89,5,0)</f>
        <v>-8.128608897095547E-14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320.76883487964511</v>
      </c>
      <c r="BJ191" s="59">
        <f t="shared" si="146"/>
        <v>290.51177680335746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19.503226236372193</v>
      </c>
      <c r="BQ191" s="21">
        <f>EXP(-LN(2)/25)*BQ190+(1-EXP(-LN(2)/25))/(LN(2)/25)*Calculateur!BL191*Calculateur!BN191*VLOOKUP('Données projet'!$B$11,Paramètres!$A$1:$I$89,3,0)*0.475*44/12</f>
        <v>2.2031991743152193</v>
      </c>
      <c r="BR191" s="21">
        <f>EXP(-LN(2)/2)*BR190+(1-EXP(-LN(2)/2))/(LN(2)/2)*BL191*BO191*VLOOKUP('Données projet'!$B$11,Paramètres!$A$1:$I$89,3,0)*0.475*44/12</f>
        <v>5.6527826524965248E-14</v>
      </c>
      <c r="BS191" s="22">
        <f t="shared" si="169"/>
        <v>21.706425410687469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304.99999999999983</v>
      </c>
      <c r="BZ191" s="13">
        <f>BY191*VLOOKUP('Données projet'!$B$12,Paramètres!$A$1:$I$89,3,0)*VLOOKUP('Données projet'!$B$12,Paramètres!$A$1:$I$89,5,0)</f>
        <v>275.96399999999983</v>
      </c>
      <c r="CA191" s="13">
        <f t="shared" si="170"/>
        <v>66.113366665488854</v>
      </c>
      <c r="CB191" s="20">
        <f t="shared" si="171"/>
        <v>595.78474694239264</v>
      </c>
      <c r="CC191" s="59">
        <f t="shared" si="119"/>
        <v>889.11808027572602</v>
      </c>
      <c r="CD191" s="59">
        <f ca="1">AVERAGE(OFFSET($CC$3,0,0,'Données projet'!$E$12+1,1))-AVERAGE(OFFSET($H$3,0,0,'Données projet'!$E$12+1,1))</f>
        <v>366.69125512029831</v>
      </c>
      <c r="CE191" s="59">
        <f t="shared" si="148"/>
        <v>513.80016421153414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7.0725760313895977E-2</v>
      </c>
      <c r="CL191" s="21">
        <f>EXP(-LN(2)/25)*CL190+(1-EXP(-LN(2)/25))/(LN(2)/25)*Calculateur!CG191*Calculateur!CI191*VLOOKUP('Données projet'!$B$12,Paramètres!$A$1:$I$89,3,0)*0.475*44/12</f>
        <v>9.2410974912337088E-2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0.16313673522623306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5.6843418860808015E-13</v>
      </c>
      <c r="CU191" s="17">
        <f>CT191*VLOOKUP('Données projet'!$B$13,Paramètres!$A$1:$I$89,3,0)*VLOOKUP('Données projet'!$B$13,Paramètres!$A$1:$I$89,5,0)</f>
        <v>3.8130565371830017E-13</v>
      </c>
      <c r="CV191" s="13">
        <f t="shared" si="173"/>
        <v>4.9019074112354236E-12</v>
      </c>
      <c r="CW191" s="20">
        <f t="shared" si="174"/>
        <v>9.2015960881277352E-12</v>
      </c>
      <c r="CX191" s="59">
        <f t="shared" si="122"/>
        <v>293.33333333334252</v>
      </c>
      <c r="CY191" s="59">
        <f ca="1">AVERAGE(OFFSET($CX$3,0,0,'Données projet'!$E$13+1,1))-AVERAGE(OFFSET($H$3,0,0,'Données projet'!$E$13+1,1))</f>
        <v>294.94331863127815</v>
      </c>
      <c r="CZ191" s="59">
        <f t="shared" si="150"/>
        <v>218.36990036643977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50.53114298707235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50.53114298707235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266.99999999999983</v>
      </c>
      <c r="DP191" s="17">
        <f>DO191*VLOOKUP('Données projet'!$B$14,Paramètres!$A$1:$I$89,3,0)*VLOOKUP('Données projet'!$B$14,Paramètres!$A$1:$I$89,5,0)</f>
        <v>195.76439999999985</v>
      </c>
      <c r="DQ191" s="13">
        <f t="shared" si="176"/>
        <v>48.812154563023455</v>
      </c>
      <c r="DR191" s="20">
        <f t="shared" si="177"/>
        <v>425.9708325305989</v>
      </c>
      <c r="DS191" s="59">
        <f t="shared" si="125"/>
        <v>719.30416586393221</v>
      </c>
      <c r="DT191" s="59">
        <f ca="1">AVERAGE(OFFSET($DS$3,0,0,'Données projet'!$E$14+1,1))-AVERAGE(OFFSET($H$3,0,0,'Données projet'!$E$14+1,1))</f>
        <v>278.45534008146865</v>
      </c>
      <c r="DU191" s="59">
        <f t="shared" si="152"/>
        <v>272.97841038165217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2.5356500631676258</v>
      </c>
      <c r="EB191" s="21">
        <f>EXP(-LN(2)/25)*EB190+(1-EXP(-LN(2)/25))/(LN(2)/25)*Calculateur!DW191*Calculateur!DY191*VLOOKUP('Données projet'!$B$14,Paramètres!$A$1:$I$89,3,0)*0.475*44/12</f>
        <v>0.31178799442676586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2.8474380575943918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5.6843418860808015E-13</v>
      </c>
      <c r="EK191" s="17">
        <f>EJ191*VLOOKUP('Données projet'!$B$15,Paramètres!$A$1:$I$89,3,0)*VLOOKUP('Données projet'!$B$15,Paramètres!$A$1:$I$89,5,0)</f>
        <v>6.1186256061773743E-13</v>
      </c>
      <c r="EL191" s="13">
        <f t="shared" si="179"/>
        <v>7.4445668332430206E-12</v>
      </c>
      <c r="EM191" s="20">
        <f t="shared" si="180"/>
        <v>1.4031614527640822E-11</v>
      </c>
      <c r="EN191" s="59">
        <f t="shared" si="128"/>
        <v>293.33333333334735</v>
      </c>
      <c r="EO191" s="59">
        <f ca="1">AVERAGE(OFFSET($EN$3,0,0,'Données projet'!$E$15+1,1))-AVERAGE(OFFSET($H$3,0,0,'Données projet'!$E$15+1,1))</f>
        <v>449.09332781196957</v>
      </c>
      <c r="EP191" s="59">
        <f t="shared" si="154"/>
        <v>324.85904971519432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65.785827662414945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65.785827662414945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5.6843418860808015E-13</v>
      </c>
      <c r="FF191" s="17">
        <f>FE191*VLOOKUP('Données projet'!$B$16,Paramètres!$A$1:$I$89,3,0)*VLOOKUP('Données projet'!$B$16,Paramètres!$A$1:$I$89,5,0)</f>
        <v>5.763922672485933E-13</v>
      </c>
      <c r="FG191" s="13">
        <f t="shared" si="182"/>
        <v>7.0619171555808457E-12</v>
      </c>
      <c r="FH191" s="20">
        <f t="shared" si="183"/>
        <v>1.3303388911427938E-11</v>
      </c>
      <c r="FI191" s="59">
        <f t="shared" si="131"/>
        <v>293.33333333334662</v>
      </c>
      <c r="FJ191" s="59">
        <f ca="1">AVERAGE(OFFSET($FI$3,0,0,'Données projet'!$E$16+1,1))-AVERAGE(OFFSET($H$3,0,0,'Données projet'!$E$16+1,1))</f>
        <v>419.51168383014721</v>
      </c>
      <c r="FK191" s="59">
        <f t="shared" si="156"/>
        <v>213.44145308833384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61.972156493579305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61.972156493579305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266.99999999999983</v>
      </c>
      <c r="GA191" s="17">
        <f>FZ191*VLOOKUP('Données projet'!$B$17,Paramètres!$A$1:$I$89,3,0)*VLOOKUP('Données projet'!$B$17,Paramètres!$A$1:$I$89,5,0)</f>
        <v>233.2511999999999</v>
      </c>
      <c r="GB191" s="13">
        <f t="shared" si="185"/>
        <v>56.985091661350864</v>
      </c>
      <c r="GC191" s="20">
        <f t="shared" si="186"/>
        <v>505.49487464351915</v>
      </c>
      <c r="GD191" s="59">
        <f t="shared" si="134"/>
        <v>798.82820797685247</v>
      </c>
      <c r="GE191" s="59">
        <f ca="1">AVERAGE(OFFSET($GD$3,0,0,'Données projet'!$E$17+1,1))-AVERAGE(OFFSET($H$3,0,0,'Données projet'!$E$17+1,1))</f>
        <v>324.86930206492627</v>
      </c>
      <c r="GF191" s="59">
        <f t="shared" si="158"/>
        <v>317.03005098025352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3.7238047439294961</v>
      </c>
      <c r="GM191" s="21">
        <f>EXP(-LN(2)/25)*GM190+(1-EXP(-LN(2)/25))/(LN(2)/25)*Calculateur!GH191*Calculateur!GJ191*VLOOKUP('Données projet'!$B$17,Paramètres!$A$1:$I$89,3,0)*0.475*44/12</f>
        <v>0.45788558508591842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4.1816903290154146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5.6843418860808015E-13</v>
      </c>
      <c r="GV191" s="17">
        <f>GU191*VLOOKUP('Données projet'!$B$18,Paramètres!$A$1:$I$89,3,0)*VLOOKUP('Données projet'!$B$18,Paramètres!$A$1:$I$89,5,0)</f>
        <v>5.4092197387944907E-13</v>
      </c>
      <c r="GW191" s="13">
        <f t="shared" si="188"/>
        <v>6.6765148417791561E-12</v>
      </c>
      <c r="GX191" s="20">
        <f t="shared" si="189"/>
        <v>1.2570369120605403E-11</v>
      </c>
      <c r="GY191" s="59">
        <f t="shared" si="137"/>
        <v>293.33333333334588</v>
      </c>
      <c r="GZ191" s="59">
        <f ca="1">AVERAGE(OFFSET($GY$3,0,0,'Données projet'!$E$18+1,1))-AVERAGE(OFFSET($H$3,0,0,'Données projet'!$E$18+1,1))</f>
        <v>401.81944956556271</v>
      </c>
      <c r="HA191" s="59">
        <f t="shared" si="160"/>
        <v>292.20785523952651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58.158485324743715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58.158485324743715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5.1431925385259092E-13</v>
      </c>
      <c r="P192" s="13">
        <f t="shared" si="141"/>
        <v>6.3855359115685756E-12</v>
      </c>
      <c r="Q192" s="20">
        <f t="shared" si="162"/>
        <v>1.2017247746441865E-11</v>
      </c>
      <c r="R192" s="59">
        <f t="shared" si="109"/>
        <v>293.33333333334531</v>
      </c>
      <c r="S192" s="59">
        <f ca="1">AVERAGE(OFFSET($R$3,0,0,'Données projet'!$E$9+1,1))-AVERAGE(OFFSET($H$3,0,0,'Données projet'!$E$9+1,1))</f>
        <v>384.05928630855732</v>
      </c>
      <c r="T192" s="59">
        <f t="shared" si="142"/>
        <v>279.93992813630513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-6.3550942286383367E-14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335.04906256888819</v>
      </c>
      <c r="AO192" s="59">
        <f t="shared" si="144"/>
        <v>440.84111898279554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15.953444018740791</v>
      </c>
      <c r="AV192" s="21">
        <f>EXP(-LN(2)/25)*AV191+(1-EXP(-LN(2)/25))/(LN(2)/25)*Calculateur!AQ192*Calculateur!AS192*VLOOKUP('Données projet'!$B$10,Paramètres!$A$1:$I$89,3,0)*0.475*44/12</f>
        <v>1.4026832523412327</v>
      </c>
      <c r="AW192" s="21">
        <f>EXP(-LN(2)/2)*AW191+(1-EXP(-LN(2)/2))/(LN(2)/2)*AQ192*AT192*VLOOKUP('Données projet'!$B$10,Paramètres!$A$1:$I$89,3,0)*0.475*44/12</f>
        <v>2.3148600010122816E-19</v>
      </c>
      <c r="AX192" s="21">
        <f t="shared" si="166"/>
        <v>17.356127271082023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-1.4210854715202004E-13</v>
      </c>
      <c r="BE192" s="13">
        <f>BD192*VLOOKUP('Données projet'!$B$11,Paramètres!$A$1:$I$89,3,0)*VLOOKUP('Données projet'!$B$11,Paramètres!$A$1:$I$89,5,0)</f>
        <v>-8.128608897095547E-14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320.76883487964511</v>
      </c>
      <c r="BJ192" s="59">
        <f t="shared" si="146"/>
        <v>290.51177680335746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19.120779865670325</v>
      </c>
      <c r="BQ192" s="21">
        <f>EXP(-LN(2)/25)*BQ191+(1-EXP(-LN(2)/25))/(LN(2)/25)*Calculateur!BL192*Calculateur!BN192*VLOOKUP('Données projet'!$B$11,Paramètres!$A$1:$I$89,3,0)*0.475*44/12</f>
        <v>2.1429525770323603</v>
      </c>
      <c r="BR192" s="21">
        <f>EXP(-LN(2)/2)*BR191+(1-EXP(-LN(2)/2))/(LN(2)/2)*BL192*BO192*VLOOKUP('Données projet'!$B$11,Paramètres!$A$1:$I$89,3,0)*0.475*44/12</f>
        <v>3.9971209461539723E-14</v>
      </c>
      <c r="BS192" s="22">
        <f t="shared" si="169"/>
        <v>21.263732442702725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304.99999999999983</v>
      </c>
      <c r="BZ192" s="13">
        <f>BY192*VLOOKUP('Données projet'!$B$12,Paramètres!$A$1:$I$89,3,0)*VLOOKUP('Données projet'!$B$12,Paramètres!$A$1:$I$89,5,0)</f>
        <v>275.96399999999983</v>
      </c>
      <c r="CA192" s="13">
        <f t="shared" si="170"/>
        <v>66.113366665488854</v>
      </c>
      <c r="CB192" s="20">
        <f t="shared" si="171"/>
        <v>595.78474694239264</v>
      </c>
      <c r="CC192" s="59">
        <f t="shared" si="119"/>
        <v>889.11808027572602</v>
      </c>
      <c r="CD192" s="59">
        <f ca="1">AVERAGE(OFFSET($CC$3,0,0,'Données projet'!$E$12+1,1))-AVERAGE(OFFSET($H$3,0,0,'Données projet'!$E$12+1,1))</f>
        <v>366.69125512029831</v>
      </c>
      <c r="CE192" s="59">
        <f t="shared" si="148"/>
        <v>513.80016421153414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6.9338871292594695E-2</v>
      </c>
      <c r="CL192" s="21">
        <f>EXP(-LN(2)/25)*CL191+(1-EXP(-LN(2)/25))/(LN(2)/25)*Calculateur!CG192*Calculateur!CI192*VLOOKUP('Données projet'!$B$12,Paramètres!$A$1:$I$89,3,0)*0.475*44/12</f>
        <v>8.9883991943677272E-2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0.15922286323627197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5.6843418860808015E-13</v>
      </c>
      <c r="CU192" s="17">
        <f>CT192*VLOOKUP('Données projet'!$B$13,Paramètres!$A$1:$I$89,3,0)*VLOOKUP('Données projet'!$B$13,Paramètres!$A$1:$I$89,5,0)</f>
        <v>3.8130565371830017E-13</v>
      </c>
      <c r="CV192" s="13">
        <f t="shared" si="173"/>
        <v>4.9019074112354236E-12</v>
      </c>
      <c r="CW192" s="20">
        <f t="shared" si="174"/>
        <v>9.2015960881277352E-12</v>
      </c>
      <c r="CX192" s="59">
        <f t="shared" si="122"/>
        <v>293.33333333334252</v>
      </c>
      <c r="CY192" s="59">
        <f ca="1">AVERAGE(OFFSET($CX$3,0,0,'Données projet'!$E$13+1,1))-AVERAGE(OFFSET($H$3,0,0,'Données projet'!$E$13+1,1))</f>
        <v>294.94331863127815</v>
      </c>
      <c r="CZ192" s="59">
        <f t="shared" si="150"/>
        <v>218.36990036643977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49.540258094049769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49.540258094049769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266.99999999999983</v>
      </c>
      <c r="DP192" s="17">
        <f>DO192*VLOOKUP('Données projet'!$B$14,Paramètres!$A$1:$I$89,3,0)*VLOOKUP('Données projet'!$B$14,Paramètres!$A$1:$I$89,5,0)</f>
        <v>195.76439999999985</v>
      </c>
      <c r="DQ192" s="13">
        <f t="shared" si="176"/>
        <v>48.812154563023455</v>
      </c>
      <c r="DR192" s="20">
        <f t="shared" si="177"/>
        <v>425.9708325305989</v>
      </c>
      <c r="DS192" s="59">
        <f t="shared" si="125"/>
        <v>719.30416586393221</v>
      </c>
      <c r="DT192" s="59">
        <f ca="1">AVERAGE(OFFSET($DS$3,0,0,'Données projet'!$E$14+1,1))-AVERAGE(OFFSET($H$3,0,0,'Données projet'!$E$14+1,1))</f>
        <v>278.45534008146865</v>
      </c>
      <c r="DU192" s="59">
        <f t="shared" si="152"/>
        <v>272.97841038165217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2.4859275120227338</v>
      </c>
      <c r="EB192" s="21">
        <f>EXP(-LN(2)/25)*EB191+(1-EXP(-LN(2)/25))/(LN(2)/25)*Calculateur!DW192*Calculateur!DY192*VLOOKUP('Données projet'!$B$14,Paramètres!$A$1:$I$89,3,0)*0.475*44/12</f>
        <v>0.30326213532294793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2.7891896473456819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5.6843418860808015E-13</v>
      </c>
      <c r="EK192" s="17">
        <f>EJ192*VLOOKUP('Données projet'!$B$15,Paramètres!$A$1:$I$89,3,0)*VLOOKUP('Données projet'!$B$15,Paramètres!$A$1:$I$89,5,0)</f>
        <v>6.1186256061773743E-13</v>
      </c>
      <c r="EL192" s="13">
        <f t="shared" si="179"/>
        <v>7.4445668332430206E-12</v>
      </c>
      <c r="EM192" s="20">
        <f t="shared" si="180"/>
        <v>1.4031614527640822E-11</v>
      </c>
      <c r="EN192" s="59">
        <f t="shared" si="128"/>
        <v>293.33333333334735</v>
      </c>
      <c r="EO192" s="59">
        <f ca="1">AVERAGE(OFFSET($EN$3,0,0,'Données projet'!$E$15+1,1))-AVERAGE(OFFSET($H$3,0,0,'Données projet'!$E$15+1,1))</f>
        <v>449.09332781196957</v>
      </c>
      <c r="EP192" s="59">
        <f t="shared" si="154"/>
        <v>324.85904971519432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64.495807707347808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64.495807707347808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5.6843418860808015E-13</v>
      </c>
      <c r="FF192" s="17">
        <f>FE192*VLOOKUP('Données projet'!$B$16,Paramètres!$A$1:$I$89,3,0)*VLOOKUP('Données projet'!$B$16,Paramètres!$A$1:$I$89,5,0)</f>
        <v>5.763922672485933E-13</v>
      </c>
      <c r="FG192" s="13">
        <f t="shared" si="182"/>
        <v>7.0619171555808457E-12</v>
      </c>
      <c r="FH192" s="20">
        <f t="shared" si="183"/>
        <v>1.3303388911427938E-11</v>
      </c>
      <c r="FI192" s="59">
        <f t="shared" si="131"/>
        <v>293.33333333334662</v>
      </c>
      <c r="FJ192" s="59">
        <f ca="1">AVERAGE(OFFSET($FI$3,0,0,'Données projet'!$E$16+1,1))-AVERAGE(OFFSET($H$3,0,0,'Données projet'!$E$16+1,1))</f>
        <v>419.51168383014721</v>
      </c>
      <c r="FK192" s="59">
        <f t="shared" si="156"/>
        <v>213.44145308833384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60.756920304023311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60.756920304023311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266.99999999999983</v>
      </c>
      <c r="GA192" s="17">
        <f>FZ192*VLOOKUP('Données projet'!$B$17,Paramètres!$A$1:$I$89,3,0)*VLOOKUP('Données projet'!$B$17,Paramètres!$A$1:$I$89,5,0)</f>
        <v>233.2511999999999</v>
      </c>
      <c r="GB192" s="13">
        <f t="shared" si="185"/>
        <v>56.985091661350864</v>
      </c>
      <c r="GC192" s="20">
        <f t="shared" si="186"/>
        <v>505.49487464351915</v>
      </c>
      <c r="GD192" s="59">
        <f t="shared" si="134"/>
        <v>798.82820797685247</v>
      </c>
      <c r="GE192" s="59">
        <f ca="1">AVERAGE(OFFSET($GD$3,0,0,'Données projet'!$E$17+1,1))-AVERAGE(OFFSET($H$3,0,0,'Données projet'!$E$17+1,1))</f>
        <v>324.86930206492627</v>
      </c>
      <c r="GF192" s="59">
        <f t="shared" si="158"/>
        <v>317.03005098025352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3.6507832041976607</v>
      </c>
      <c r="GM192" s="21">
        <f>EXP(-LN(2)/25)*GM191+(1-EXP(-LN(2)/25))/(LN(2)/25)*Calculateur!GH192*Calculateur!GJ192*VLOOKUP('Données projet'!$B$17,Paramètres!$A$1:$I$89,3,0)*0.475*44/12</f>
        <v>0.44536467968258758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4.0961478838802483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5.6843418860808015E-13</v>
      </c>
      <c r="GV192" s="17">
        <f>GU192*VLOOKUP('Données projet'!$B$18,Paramètres!$A$1:$I$89,3,0)*VLOOKUP('Données projet'!$B$18,Paramètres!$A$1:$I$89,5,0)</f>
        <v>5.4092197387944907E-13</v>
      </c>
      <c r="GW192" s="13">
        <f t="shared" si="188"/>
        <v>6.6765148417791561E-12</v>
      </c>
      <c r="GX192" s="20">
        <f t="shared" si="189"/>
        <v>1.2570369120605403E-11</v>
      </c>
      <c r="GY192" s="59">
        <f t="shared" si="137"/>
        <v>293.33333333334588</v>
      </c>
      <c r="GZ192" s="59">
        <f ca="1">AVERAGE(OFFSET($GY$3,0,0,'Données projet'!$E$18+1,1))-AVERAGE(OFFSET($H$3,0,0,'Données projet'!$E$18+1,1))</f>
        <v>401.81944956556271</v>
      </c>
      <c r="HA192" s="59">
        <f t="shared" si="160"/>
        <v>292.20785523952651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57.018032900698856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57.018032900698856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5.1431925385259092E-13</v>
      </c>
      <c r="P193" s="13">
        <f t="shared" si="141"/>
        <v>6.3855359115685756E-12</v>
      </c>
      <c r="Q193" s="20">
        <f t="shared" si="162"/>
        <v>1.2017247746441865E-11</v>
      </c>
      <c r="R193" s="59">
        <f t="shared" si="109"/>
        <v>293.33333333334531</v>
      </c>
      <c r="S193" s="59">
        <f ca="1">AVERAGE(OFFSET($R$3,0,0,'Données projet'!$E$9+1,1))-AVERAGE(OFFSET($H$3,0,0,'Données projet'!$E$9+1,1))</f>
        <v>384.05928630855732</v>
      </c>
      <c r="T193" s="59">
        <f t="shared" si="142"/>
        <v>279.93992813630513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-6.3550942286383367E-14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335.04906256888819</v>
      </c>
      <c r="AO193" s="59">
        <f t="shared" si="144"/>
        <v>440.84111898279554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15.640606712173314</v>
      </c>
      <c r="AV193" s="21">
        <f>EXP(-LN(2)/25)*AV192+(1-EXP(-LN(2)/25))/(LN(2)/25)*Calculateur!AQ193*Calculateur!AS193*VLOOKUP('Données projet'!$B$10,Paramètres!$A$1:$I$89,3,0)*0.475*44/12</f>
        <v>1.3643268050420554</v>
      </c>
      <c r="AW193" s="21">
        <f>EXP(-LN(2)/2)*AW192+(1-EXP(-LN(2)/2))/(LN(2)/2)*AQ193*AT193*VLOOKUP('Données projet'!$B$10,Paramètres!$A$1:$I$89,3,0)*0.475*44/12</f>
        <v>1.6368532042132826E-19</v>
      </c>
      <c r="AX193" s="21">
        <f t="shared" si="166"/>
        <v>17.00493351721537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-1.4210854715202004E-13</v>
      </c>
      <c r="BE193" s="13">
        <f>BD193*VLOOKUP('Données projet'!$B$11,Paramètres!$A$1:$I$89,3,0)*VLOOKUP('Données projet'!$B$11,Paramètres!$A$1:$I$89,5,0)</f>
        <v>-8.128608897095547E-14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320.76883487964511</v>
      </c>
      <c r="BJ193" s="59">
        <f t="shared" si="146"/>
        <v>290.51177680335746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18.745833035028671</v>
      </c>
      <c r="BQ193" s="21">
        <f>EXP(-LN(2)/25)*BQ192+(1-EXP(-LN(2)/25))/(LN(2)/25)*Calculateur!BL193*Calculateur!BN193*VLOOKUP('Données projet'!$B$11,Paramètres!$A$1:$I$89,3,0)*0.475*44/12</f>
        <v>2.084353426120432</v>
      </c>
      <c r="BR193" s="21">
        <f>EXP(-LN(2)/2)*BR192+(1-EXP(-LN(2)/2))/(LN(2)/2)*BL193*BO193*VLOOKUP('Données projet'!$B$11,Paramètres!$A$1:$I$89,3,0)*0.475*44/12</f>
        <v>2.826391326248263E-14</v>
      </c>
      <c r="BS193" s="22">
        <f t="shared" si="169"/>
        <v>20.830186461149133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304.99999999999983</v>
      </c>
      <c r="BZ193" s="13">
        <f>BY193*VLOOKUP('Données projet'!$B$12,Paramètres!$A$1:$I$89,3,0)*VLOOKUP('Données projet'!$B$12,Paramètres!$A$1:$I$89,5,0)</f>
        <v>275.96399999999983</v>
      </c>
      <c r="CA193" s="13">
        <f t="shared" si="170"/>
        <v>66.113366665488854</v>
      </c>
      <c r="CB193" s="20">
        <f t="shared" si="171"/>
        <v>595.78474694239264</v>
      </c>
      <c r="CC193" s="59">
        <f t="shared" si="119"/>
        <v>889.11808027572602</v>
      </c>
      <c r="CD193" s="59">
        <f ca="1">AVERAGE(OFFSET($CC$3,0,0,'Données projet'!$E$12+1,1))-AVERAGE(OFFSET($H$3,0,0,'Données projet'!$E$12+1,1))</f>
        <v>366.69125512029831</v>
      </c>
      <c r="CE193" s="59">
        <f t="shared" si="148"/>
        <v>513.80016421153414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6.7979178319082359E-2</v>
      </c>
      <c r="CL193" s="21">
        <f>EXP(-LN(2)/25)*CL192+(1-EXP(-LN(2)/25))/(LN(2)/25)*Calculateur!CG193*Calculateur!CI193*VLOOKUP('Données projet'!$B$12,Paramètres!$A$1:$I$89,3,0)*0.475*44/12</f>
        <v>8.7426109457183709E-2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0.15540528777626605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5.6843418860808015E-13</v>
      </c>
      <c r="CU193" s="17">
        <f>CT193*VLOOKUP('Données projet'!$B$13,Paramètres!$A$1:$I$89,3,0)*VLOOKUP('Données projet'!$B$13,Paramètres!$A$1:$I$89,5,0)</f>
        <v>3.8130565371830017E-13</v>
      </c>
      <c r="CV193" s="13">
        <f t="shared" si="173"/>
        <v>4.9019074112354236E-12</v>
      </c>
      <c r="CW193" s="20">
        <f t="shared" si="174"/>
        <v>9.2015960881277352E-12</v>
      </c>
      <c r="CX193" s="59">
        <f t="shared" si="122"/>
        <v>293.33333333334252</v>
      </c>
      <c r="CY193" s="59">
        <f ca="1">AVERAGE(OFFSET($CX$3,0,0,'Données projet'!$E$13+1,1))-AVERAGE(OFFSET($H$3,0,0,'Données projet'!$E$13+1,1))</f>
        <v>294.94331863127815</v>
      </c>
      <c r="CZ193" s="59">
        <f t="shared" si="150"/>
        <v>218.36990036643977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48.568803849399252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48.568803849399252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266.99999999999983</v>
      </c>
      <c r="DP193" s="17">
        <f>DO193*VLOOKUP('Données projet'!$B$14,Paramètres!$A$1:$I$89,3,0)*VLOOKUP('Données projet'!$B$14,Paramètres!$A$1:$I$89,5,0)</f>
        <v>195.76439999999985</v>
      </c>
      <c r="DQ193" s="13">
        <f t="shared" si="176"/>
        <v>48.812154563023455</v>
      </c>
      <c r="DR193" s="20">
        <f t="shared" si="177"/>
        <v>425.9708325305989</v>
      </c>
      <c r="DS193" s="59">
        <f t="shared" si="125"/>
        <v>719.30416586393221</v>
      </c>
      <c r="DT193" s="59">
        <f ca="1">AVERAGE(OFFSET($DS$3,0,0,'Données projet'!$E$14+1,1))-AVERAGE(OFFSET($H$3,0,0,'Données projet'!$E$14+1,1))</f>
        <v>278.45534008146865</v>
      </c>
      <c r="DU193" s="59">
        <f t="shared" si="152"/>
        <v>272.97841038165217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2.4371799897780315</v>
      </c>
      <c r="EB193" s="21">
        <f>EXP(-LN(2)/25)*EB192+(1-EXP(-LN(2)/25))/(LN(2)/25)*Calculateur!DW193*Calculateur!DY193*VLOOKUP('Données projet'!$B$14,Paramètres!$A$1:$I$89,3,0)*0.475*44/12</f>
        <v>0.29496941628467932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2.7321494060627107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5.6843418860808015E-13</v>
      </c>
      <c r="EK193" s="17">
        <f>EJ193*VLOOKUP('Données projet'!$B$15,Paramètres!$A$1:$I$89,3,0)*VLOOKUP('Données projet'!$B$15,Paramètres!$A$1:$I$89,5,0)</f>
        <v>6.1186256061773743E-13</v>
      </c>
      <c r="EL193" s="13">
        <f t="shared" si="179"/>
        <v>7.4445668332430206E-12</v>
      </c>
      <c r="EM193" s="20">
        <f t="shared" si="180"/>
        <v>1.4031614527640822E-11</v>
      </c>
      <c r="EN193" s="59">
        <f t="shared" si="128"/>
        <v>293.33333333334735</v>
      </c>
      <c r="EO193" s="59">
        <f ca="1">AVERAGE(OFFSET($EN$3,0,0,'Données projet'!$E$15+1,1))-AVERAGE(OFFSET($H$3,0,0,'Données projet'!$E$15+1,1))</f>
        <v>449.09332781196957</v>
      </c>
      <c r="EP193" s="59">
        <f t="shared" si="154"/>
        <v>324.85904971519432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63.231084256765058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63.231084256765058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5.6843418860808015E-13</v>
      </c>
      <c r="FF193" s="17">
        <f>FE193*VLOOKUP('Données projet'!$B$16,Paramètres!$A$1:$I$89,3,0)*VLOOKUP('Données projet'!$B$16,Paramètres!$A$1:$I$89,5,0)</f>
        <v>5.763922672485933E-13</v>
      </c>
      <c r="FG193" s="13">
        <f t="shared" si="182"/>
        <v>7.0619171555808457E-12</v>
      </c>
      <c r="FH193" s="20">
        <f t="shared" si="183"/>
        <v>1.3303388911427938E-11</v>
      </c>
      <c r="FI193" s="59">
        <f t="shared" si="131"/>
        <v>293.33333333334662</v>
      </c>
      <c r="FJ193" s="59">
        <f ca="1">AVERAGE(OFFSET($FI$3,0,0,'Données projet'!$E$16+1,1))-AVERAGE(OFFSET($H$3,0,0,'Données projet'!$E$16+1,1))</f>
        <v>419.51168383014721</v>
      </c>
      <c r="FK193" s="59">
        <f t="shared" si="156"/>
        <v>213.44145308833384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59.565514154923619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59.565514154923619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266.99999999999983</v>
      </c>
      <c r="GA193" s="17">
        <f>FZ193*VLOOKUP('Données projet'!$B$17,Paramètres!$A$1:$I$89,3,0)*VLOOKUP('Données projet'!$B$17,Paramètres!$A$1:$I$89,5,0)</f>
        <v>233.2511999999999</v>
      </c>
      <c r="GB193" s="13">
        <f t="shared" si="185"/>
        <v>56.985091661350864</v>
      </c>
      <c r="GC193" s="20">
        <f t="shared" si="186"/>
        <v>505.49487464351915</v>
      </c>
      <c r="GD193" s="59">
        <f t="shared" si="134"/>
        <v>798.82820797685247</v>
      </c>
      <c r="GE193" s="59">
        <f ca="1">AVERAGE(OFFSET($GD$3,0,0,'Données projet'!$E$17+1,1))-AVERAGE(OFFSET($H$3,0,0,'Données projet'!$E$17+1,1))</f>
        <v>324.86930206492627</v>
      </c>
      <c r="GF193" s="59">
        <f t="shared" si="158"/>
        <v>317.03005098025352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3.5791935723212251</v>
      </c>
      <c r="GM193" s="21">
        <f>EXP(-LN(2)/25)*GM192+(1-EXP(-LN(2)/25))/(LN(2)/25)*Calculateur!GH193*Calculateur!GJ193*VLOOKUP('Données projet'!$B$17,Paramètres!$A$1:$I$89,3,0)*0.475*44/12</f>
        <v>0.43318615909595659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4.0123797314171821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5.6843418860808015E-13</v>
      </c>
      <c r="GV193" s="17">
        <f>GU193*VLOOKUP('Données projet'!$B$18,Paramètres!$A$1:$I$89,3,0)*VLOOKUP('Données projet'!$B$18,Paramètres!$A$1:$I$89,5,0)</f>
        <v>5.4092197387944907E-13</v>
      </c>
      <c r="GW193" s="13">
        <f t="shared" si="188"/>
        <v>6.6765148417791561E-12</v>
      </c>
      <c r="GX193" s="20">
        <f t="shared" si="189"/>
        <v>1.2570369120605403E-11</v>
      </c>
      <c r="GY193" s="59">
        <f t="shared" si="137"/>
        <v>293.33333333334588</v>
      </c>
      <c r="GZ193" s="59">
        <f ca="1">AVERAGE(OFFSET($GY$3,0,0,'Données projet'!$E$18+1,1))-AVERAGE(OFFSET($H$3,0,0,'Données projet'!$E$18+1,1))</f>
        <v>401.81944956556271</v>
      </c>
      <c r="HA193" s="59">
        <f t="shared" si="160"/>
        <v>292.20785523952651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55.899944053082223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55.899944053082223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5.1431925385259092E-13</v>
      </c>
      <c r="P194" s="13">
        <f t="shared" si="141"/>
        <v>6.3855359115685756E-12</v>
      </c>
      <c r="Q194" s="20">
        <f t="shared" si="162"/>
        <v>1.2017247746441865E-11</v>
      </c>
      <c r="R194" s="59">
        <f t="shared" si="109"/>
        <v>293.33333333334531</v>
      </c>
      <c r="S194" s="59">
        <f ca="1">AVERAGE(OFFSET($R$3,0,0,'Données projet'!$E$9+1,1))-AVERAGE(OFFSET($H$3,0,0,'Données projet'!$E$9+1,1))</f>
        <v>384.05928630855732</v>
      </c>
      <c r="T194" s="59">
        <f t="shared" si="142"/>
        <v>279.93992813630513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-6.3550942286383367E-14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335.04906256888819</v>
      </c>
      <c r="AO194" s="59">
        <f t="shared" si="144"/>
        <v>440.84111898279554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15.33390395437571</v>
      </c>
      <c r="AV194" s="21">
        <f>EXP(-LN(2)/25)*AV193+(1-EXP(-LN(2)/25))/(LN(2)/25)*Calculateur!AQ194*Calculateur!AS194*VLOOKUP('Données projet'!$B$10,Paramètres!$A$1:$I$89,3,0)*0.475*44/12</f>
        <v>1.3270192168113519</v>
      </c>
      <c r="AW194" s="21">
        <f>EXP(-LN(2)/2)*AW193+(1-EXP(-LN(2)/2))/(LN(2)/2)*AQ194*AT194*VLOOKUP('Données projet'!$B$10,Paramètres!$A$1:$I$89,3,0)*0.475*44/12</f>
        <v>1.1574300005061408E-19</v>
      </c>
      <c r="AX194" s="21">
        <f t="shared" si="166"/>
        <v>16.660923171187061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-1.4210854715202004E-13</v>
      </c>
      <c r="BE194" s="13">
        <f>BD194*VLOOKUP('Données projet'!$B$11,Paramètres!$A$1:$I$89,3,0)*VLOOKUP('Données projet'!$B$11,Paramètres!$A$1:$I$89,5,0)</f>
        <v>-8.128608897095547E-14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320.76883487964511</v>
      </c>
      <c r="BJ194" s="59">
        <f t="shared" si="146"/>
        <v>290.51177680335746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18.378238683040912</v>
      </c>
      <c r="BQ194" s="21">
        <f>EXP(-LN(2)/25)*BQ193+(1-EXP(-LN(2)/25))/(LN(2)/25)*Calculateur!BL194*Calculateur!BN194*VLOOKUP('Données projet'!$B$11,Paramètres!$A$1:$I$89,3,0)*0.475*44/12</f>
        <v>2.0273566720717859</v>
      </c>
      <c r="BR194" s="21">
        <f>EXP(-LN(2)/2)*BR193+(1-EXP(-LN(2)/2))/(LN(2)/2)*BL194*BO194*VLOOKUP('Données projet'!$B$11,Paramètres!$A$1:$I$89,3,0)*0.475*44/12</f>
        <v>1.9985604730769865E-14</v>
      </c>
      <c r="BS194" s="22">
        <f t="shared" si="169"/>
        <v>20.40559535511272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304.99999999999983</v>
      </c>
      <c r="BZ194" s="13">
        <f>BY194*VLOOKUP('Données projet'!$B$12,Paramètres!$A$1:$I$89,3,0)*VLOOKUP('Données projet'!$B$12,Paramètres!$A$1:$I$89,5,0)</f>
        <v>275.96399999999983</v>
      </c>
      <c r="CA194" s="13">
        <f t="shared" si="170"/>
        <v>66.113366665488854</v>
      </c>
      <c r="CB194" s="20">
        <f t="shared" si="171"/>
        <v>595.78474694239264</v>
      </c>
      <c r="CC194" s="59">
        <f t="shared" si="119"/>
        <v>889.11808027572602</v>
      </c>
      <c r="CD194" s="59">
        <f ca="1">AVERAGE(OFFSET($CC$3,0,0,'Données projet'!$E$12+1,1))-AVERAGE(OFFSET($H$3,0,0,'Données projet'!$E$12+1,1))</f>
        <v>366.69125512029831</v>
      </c>
      <c r="CE194" s="59">
        <f t="shared" si="148"/>
        <v>513.80016421153414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6.6646148095449775E-2</v>
      </c>
      <c r="CL194" s="21">
        <f>EXP(-LN(2)/25)*CL193+(1-EXP(-LN(2)/25))/(LN(2)/25)*Calculateur!CG194*Calculateur!CI194*VLOOKUP('Données projet'!$B$12,Paramètres!$A$1:$I$89,3,0)*0.475*44/12</f>
        <v>8.5035437896537738E-2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0.1516815859919875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5.6843418860808015E-13</v>
      </c>
      <c r="CU194" s="17">
        <f>CT194*VLOOKUP('Données projet'!$B$13,Paramètres!$A$1:$I$89,3,0)*VLOOKUP('Données projet'!$B$13,Paramètres!$A$1:$I$89,5,0)</f>
        <v>3.8130565371830017E-13</v>
      </c>
      <c r="CV194" s="13">
        <f t="shared" si="173"/>
        <v>4.9019074112354236E-12</v>
      </c>
      <c r="CW194" s="20">
        <f t="shared" si="174"/>
        <v>9.2015960881277352E-12</v>
      </c>
      <c r="CX194" s="59">
        <f t="shared" si="122"/>
        <v>293.33333333334252</v>
      </c>
      <c r="CY194" s="59">
        <f ca="1">AVERAGE(OFFSET($CX$3,0,0,'Données projet'!$E$13+1,1))-AVERAGE(OFFSET($H$3,0,0,'Données projet'!$E$13+1,1))</f>
        <v>294.94331863127815</v>
      </c>
      <c r="CZ194" s="59">
        <f t="shared" si="150"/>
        <v>218.36990036643977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47.61639922995775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47.61639922995775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266.99999999999983</v>
      </c>
      <c r="DP194" s="17">
        <f>DO194*VLOOKUP('Données projet'!$B$14,Paramètres!$A$1:$I$89,3,0)*VLOOKUP('Données projet'!$B$14,Paramètres!$A$1:$I$89,5,0)</f>
        <v>195.76439999999985</v>
      </c>
      <c r="DQ194" s="13">
        <f t="shared" si="176"/>
        <v>48.812154563023455</v>
      </c>
      <c r="DR194" s="20">
        <f t="shared" si="177"/>
        <v>425.9708325305989</v>
      </c>
      <c r="DS194" s="59">
        <f t="shared" si="125"/>
        <v>719.30416586393221</v>
      </c>
      <c r="DT194" s="59">
        <f ca="1">AVERAGE(OFFSET($DS$3,0,0,'Données projet'!$E$14+1,1))-AVERAGE(OFFSET($H$3,0,0,'Données projet'!$E$14+1,1))</f>
        <v>278.45534008146865</v>
      </c>
      <c r="DU194" s="59">
        <f t="shared" si="152"/>
        <v>272.97841038165217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2.3893883767114952</v>
      </c>
      <c r="EB194" s="21">
        <f>EXP(-LN(2)/25)*EB193+(1-EXP(-LN(2)/25))/(LN(2)/25)*Calculateur!DW194*Calculateur!DY194*VLOOKUP('Données projet'!$B$14,Paramètres!$A$1:$I$89,3,0)*0.475*44/12</f>
        <v>0.28690346208460732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2.6762918387961023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5.6843418860808015E-13</v>
      </c>
      <c r="EK194" s="17">
        <f>EJ194*VLOOKUP('Données projet'!$B$15,Paramètres!$A$1:$I$89,3,0)*VLOOKUP('Données projet'!$B$15,Paramètres!$A$1:$I$89,5,0)</f>
        <v>6.1186256061773743E-13</v>
      </c>
      <c r="EL194" s="13">
        <f t="shared" si="179"/>
        <v>7.4445668332430206E-12</v>
      </c>
      <c r="EM194" s="20">
        <f t="shared" si="180"/>
        <v>1.4031614527640822E-11</v>
      </c>
      <c r="EN194" s="59">
        <f t="shared" si="128"/>
        <v>293.33333333334735</v>
      </c>
      <c r="EO194" s="59">
        <f ca="1">AVERAGE(OFFSET($EN$3,0,0,'Données projet'!$E$15+1,1))-AVERAGE(OFFSET($H$3,0,0,'Données projet'!$E$15+1,1))</f>
        <v>449.09332781196957</v>
      </c>
      <c r="EP194" s="59">
        <f t="shared" si="154"/>
        <v>324.85904971519432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61.9911612616431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61.9911612616431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5.6843418860808015E-13</v>
      </c>
      <c r="FF194" s="17">
        <f>FE194*VLOOKUP('Données projet'!$B$16,Paramètres!$A$1:$I$89,3,0)*VLOOKUP('Données projet'!$B$16,Paramètres!$A$1:$I$89,5,0)</f>
        <v>5.763922672485933E-13</v>
      </c>
      <c r="FG194" s="13">
        <f t="shared" si="182"/>
        <v>7.0619171555808457E-12</v>
      </c>
      <c r="FH194" s="20">
        <f t="shared" si="183"/>
        <v>1.3303388911427938E-11</v>
      </c>
      <c r="FI194" s="59">
        <f t="shared" si="131"/>
        <v>293.33333333334662</v>
      </c>
      <c r="FJ194" s="59">
        <f ca="1">AVERAGE(OFFSET($FI$3,0,0,'Données projet'!$E$16+1,1))-AVERAGE(OFFSET($H$3,0,0,'Données projet'!$E$16+1,1))</f>
        <v>419.51168383014721</v>
      </c>
      <c r="FK194" s="59">
        <f t="shared" si="156"/>
        <v>213.44145308833384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58.397470753721777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58.397470753721777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266.99999999999983</v>
      </c>
      <c r="GA194" s="17">
        <f>FZ194*VLOOKUP('Données projet'!$B$17,Paramètres!$A$1:$I$89,3,0)*VLOOKUP('Données projet'!$B$17,Paramètres!$A$1:$I$89,5,0)</f>
        <v>233.2511999999999</v>
      </c>
      <c r="GB194" s="13">
        <f t="shared" si="185"/>
        <v>56.985091661350864</v>
      </c>
      <c r="GC194" s="20">
        <f t="shared" si="186"/>
        <v>505.49487464351915</v>
      </c>
      <c r="GD194" s="59">
        <f t="shared" si="134"/>
        <v>798.82820797685247</v>
      </c>
      <c r="GE194" s="59">
        <f ca="1">AVERAGE(OFFSET($GD$3,0,0,'Données projet'!$E$17+1,1))-AVERAGE(OFFSET($H$3,0,0,'Données projet'!$E$17+1,1))</f>
        <v>324.86930206492627</v>
      </c>
      <c r="GF194" s="59">
        <f t="shared" si="158"/>
        <v>317.03005098025352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3.5090077694605224</v>
      </c>
      <c r="GM194" s="21">
        <f>EXP(-LN(2)/25)*GM193+(1-EXP(-LN(2)/25))/(LN(2)/25)*Calculateur!GH194*Calculateur!GJ194*VLOOKUP('Données projet'!$B$17,Paramètres!$A$1:$I$89,3,0)*0.475*44/12</f>
        <v>0.4213406607952076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3.9303484302557301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5.6843418860808015E-13</v>
      </c>
      <c r="GV194" s="17">
        <f>GU194*VLOOKUP('Données projet'!$B$18,Paramètres!$A$1:$I$89,3,0)*VLOOKUP('Données projet'!$B$18,Paramètres!$A$1:$I$89,5,0)</f>
        <v>5.4092197387944907E-13</v>
      </c>
      <c r="GW194" s="13">
        <f t="shared" si="188"/>
        <v>6.6765148417791561E-12</v>
      </c>
      <c r="GX194" s="20">
        <f t="shared" si="189"/>
        <v>1.2570369120605403E-11</v>
      </c>
      <c r="GY194" s="59">
        <f t="shared" si="137"/>
        <v>293.33333333334588</v>
      </c>
      <c r="GZ194" s="59">
        <f ca="1">AVERAGE(OFFSET($GY$3,0,0,'Données projet'!$E$18+1,1))-AVERAGE(OFFSET($H$3,0,0,'Données projet'!$E$18+1,1))</f>
        <v>401.81944956556271</v>
      </c>
      <c r="HA194" s="59">
        <f t="shared" si="160"/>
        <v>292.20785523952651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54.803780245800489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54.803780245800489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5.1431925385259092E-13</v>
      </c>
      <c r="P195" s="13">
        <f t="shared" si="141"/>
        <v>6.3855359115685756E-12</v>
      </c>
      <c r="Q195" s="20">
        <f t="shared" si="162"/>
        <v>1.2017247746441865E-11</v>
      </c>
      <c r="R195" s="59">
        <f t="shared" ref="R195:R203" si="191">Q195+(I195+J195)*44/12</f>
        <v>293.33333333334531</v>
      </c>
      <c r="S195" s="59">
        <f ca="1">AVERAGE(OFFSET($R$3,0,0,'Données projet'!$E$9+1,1))-AVERAGE(OFFSET($H$3,0,0,'Données projet'!$E$9+1,1))</f>
        <v>384.05928630855732</v>
      </c>
      <c r="T195" s="59">
        <f t="shared" si="142"/>
        <v>279.93992813630513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-6.3550942286383367E-14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335.04906256888819</v>
      </c>
      <c r="AO195" s="59">
        <f t="shared" si="144"/>
        <v>440.84111898279554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15.033215450588306</v>
      </c>
      <c r="AV195" s="21">
        <f>EXP(-LN(2)/25)*AV194+(1-EXP(-LN(2)/25))/(LN(2)/25)*Calculateur!AQ195*Calculateur!AS195*VLOOKUP('Données projet'!$B$10,Paramètres!$A$1:$I$89,3,0)*0.475*44/12</f>
        <v>1.2907318065427378</v>
      </c>
      <c r="AW195" s="21">
        <f>EXP(-LN(2)/2)*AW194+(1-EXP(-LN(2)/2))/(LN(2)/2)*AQ195*AT195*VLOOKUP('Données projet'!$B$10,Paramètres!$A$1:$I$89,3,0)*0.475*44/12</f>
        <v>8.1842660210664128E-20</v>
      </c>
      <c r="AX195" s="21">
        <f t="shared" si="166"/>
        <v>16.323947257131046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-1.4210854715202004E-13</v>
      </c>
      <c r="BE195" s="13">
        <f>BD195*VLOOKUP('Données projet'!$B$11,Paramètres!$A$1:$I$89,3,0)*VLOOKUP('Données projet'!$B$11,Paramètres!$A$1:$I$89,5,0)</f>
        <v>-8.128608897095547E-14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320.76883487964511</v>
      </c>
      <c r="BJ195" s="59">
        <f t="shared" si="146"/>
        <v>290.51177680335746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18.017852632085219</v>
      </c>
      <c r="BQ195" s="21">
        <f>EXP(-LN(2)/25)*BQ194+(1-EXP(-LN(2)/25))/(LN(2)/25)*Calculateur!BL195*Calculateur!BN195*VLOOKUP('Données projet'!$B$11,Paramètres!$A$1:$I$89,3,0)*0.475*44/12</f>
        <v>1.9719184972599291</v>
      </c>
      <c r="BR195" s="21">
        <f>EXP(-LN(2)/2)*BR194+(1-EXP(-LN(2)/2))/(LN(2)/2)*BL195*BO195*VLOOKUP('Données projet'!$B$11,Paramètres!$A$1:$I$89,3,0)*0.475*44/12</f>
        <v>1.4131956631241317E-14</v>
      </c>
      <c r="BS195" s="22">
        <f t="shared" si="169"/>
        <v>19.989771129345161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304.99999999999983</v>
      </c>
      <c r="BZ195" s="13">
        <f>BY195*VLOOKUP('Données projet'!$B$12,Paramètres!$A$1:$I$89,3,0)*VLOOKUP('Données projet'!$B$12,Paramètres!$A$1:$I$89,5,0)</f>
        <v>275.96399999999983</v>
      </c>
      <c r="CA195" s="13">
        <f t="shared" si="170"/>
        <v>66.113366665488854</v>
      </c>
      <c r="CB195" s="20">
        <f t="shared" si="171"/>
        <v>595.78474694239264</v>
      </c>
      <c r="CC195" s="59">
        <f t="shared" si="119"/>
        <v>889.11808027572602</v>
      </c>
      <c r="CD195" s="59">
        <f ca="1">AVERAGE(OFFSET($CC$3,0,0,'Données projet'!$E$12+1,1))-AVERAGE(OFFSET($H$3,0,0,'Données projet'!$E$12+1,1))</f>
        <v>366.69125512029831</v>
      </c>
      <c r="CE195" s="59">
        <f t="shared" si="148"/>
        <v>513.80016421153414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6.533925778143447E-2</v>
      </c>
      <c r="CL195" s="21">
        <f>EXP(-LN(2)/25)*CL194+(1-EXP(-LN(2)/25))/(LN(2)/25)*Calculateur!CG195*Calculateur!CI195*VLOOKUP('Données projet'!$B$12,Paramètres!$A$1:$I$89,3,0)*0.475*44/12</f>
        <v>8.2710139375437586E-2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0.14804939715687204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5.6843418860808015E-13</v>
      </c>
      <c r="CU195" s="17">
        <f>CT195*VLOOKUP('Données projet'!$B$13,Paramètres!$A$1:$I$89,3,0)*VLOOKUP('Données projet'!$B$13,Paramètres!$A$1:$I$89,5,0)</f>
        <v>3.8130565371830017E-13</v>
      </c>
      <c r="CV195" s="13">
        <f t="shared" si="173"/>
        <v>4.9019074112354236E-12</v>
      </c>
      <c r="CW195" s="20">
        <f t="shared" si="174"/>
        <v>9.2015960881277352E-12</v>
      </c>
      <c r="CX195" s="59">
        <f t="shared" si="122"/>
        <v>293.33333333334252</v>
      </c>
      <c r="CY195" s="59">
        <f ca="1">AVERAGE(OFFSET($CX$3,0,0,'Données projet'!$E$13+1,1))-AVERAGE(OFFSET($H$3,0,0,'Données projet'!$E$13+1,1))</f>
        <v>294.94331863127815</v>
      </c>
      <c r="CZ195" s="59">
        <f t="shared" si="150"/>
        <v>218.36990036643977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46.682670684194036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46.682670684194036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266.99999999999983</v>
      </c>
      <c r="DP195" s="17">
        <f>DO195*VLOOKUP('Données projet'!$B$14,Paramètres!$A$1:$I$89,3,0)*VLOOKUP('Données projet'!$B$14,Paramètres!$A$1:$I$89,5,0)</f>
        <v>195.76439999999985</v>
      </c>
      <c r="DQ195" s="13">
        <f t="shared" si="176"/>
        <v>48.812154563023455</v>
      </c>
      <c r="DR195" s="20">
        <f t="shared" si="177"/>
        <v>425.9708325305989</v>
      </c>
      <c r="DS195" s="59">
        <f t="shared" si="125"/>
        <v>719.30416586393221</v>
      </c>
      <c r="DT195" s="59">
        <f ca="1">AVERAGE(OFFSET($DS$3,0,0,'Données projet'!$E$14+1,1))-AVERAGE(OFFSET($H$3,0,0,'Données projet'!$E$14+1,1))</f>
        <v>278.45534008146865</v>
      </c>
      <c r="DU195" s="59">
        <f t="shared" si="152"/>
        <v>272.97841038165217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2.342533928027188</v>
      </c>
      <c r="EB195" s="21">
        <f>EXP(-LN(2)/25)*EB194+(1-EXP(-LN(2)/25))/(LN(2)/25)*Calculateur!DW195*Calculateur!DY195*VLOOKUP('Données projet'!$B$14,Paramètres!$A$1:$I$89,3,0)*0.475*44/12</f>
        <v>0.27905807182630638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2.6215919998534942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5.6843418860808015E-13</v>
      </c>
      <c r="EK195" s="17">
        <f>EJ195*VLOOKUP('Données projet'!$B$15,Paramètres!$A$1:$I$89,3,0)*VLOOKUP('Données projet'!$B$15,Paramètres!$A$1:$I$89,5,0)</f>
        <v>6.1186256061773743E-13</v>
      </c>
      <c r="EL195" s="13">
        <f t="shared" si="179"/>
        <v>7.4445668332430206E-12</v>
      </c>
      <c r="EM195" s="20">
        <f t="shared" si="180"/>
        <v>1.4031614527640822E-11</v>
      </c>
      <c r="EN195" s="59">
        <f t="shared" si="128"/>
        <v>293.33333333334735</v>
      </c>
      <c r="EO195" s="59">
        <f ca="1">AVERAGE(OFFSET($EN$3,0,0,'Données projet'!$E$15+1,1))-AVERAGE(OFFSET($H$3,0,0,'Données projet'!$E$15+1,1))</f>
        <v>449.09332781196957</v>
      </c>
      <c r="EP195" s="59">
        <f t="shared" si="154"/>
        <v>324.85904971519432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60.775552400177133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60.775552400177133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5.6843418860808015E-13</v>
      </c>
      <c r="FF195" s="17">
        <f>FE195*VLOOKUP('Données projet'!$B$16,Paramètres!$A$1:$I$89,3,0)*VLOOKUP('Données projet'!$B$16,Paramètres!$A$1:$I$89,5,0)</f>
        <v>5.763922672485933E-13</v>
      </c>
      <c r="FG195" s="13">
        <f t="shared" si="182"/>
        <v>7.0619171555808457E-12</v>
      </c>
      <c r="FH195" s="20">
        <f t="shared" si="183"/>
        <v>1.3303388911427938E-11</v>
      </c>
      <c r="FI195" s="59">
        <f t="shared" si="131"/>
        <v>293.33333333334662</v>
      </c>
      <c r="FJ195" s="59">
        <f ca="1">AVERAGE(OFFSET($FI$3,0,0,'Données projet'!$E$16+1,1))-AVERAGE(OFFSET($H$3,0,0,'Données projet'!$E$16+1,1))</f>
        <v>419.51168383014721</v>
      </c>
      <c r="FK195" s="59">
        <f t="shared" si="156"/>
        <v>213.44145308833384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57.252331971181377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57.252331971181377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266.99999999999983</v>
      </c>
      <c r="GA195" s="17">
        <f>FZ195*VLOOKUP('Données projet'!$B$17,Paramètres!$A$1:$I$89,3,0)*VLOOKUP('Données projet'!$B$17,Paramètres!$A$1:$I$89,5,0)</f>
        <v>233.2511999999999</v>
      </c>
      <c r="GB195" s="13">
        <f t="shared" si="185"/>
        <v>56.985091661350864</v>
      </c>
      <c r="GC195" s="20">
        <f t="shared" si="186"/>
        <v>505.49487464351915</v>
      </c>
      <c r="GD195" s="59">
        <f t="shared" si="134"/>
        <v>798.82820797685247</v>
      </c>
      <c r="GE195" s="59">
        <f ca="1">AVERAGE(OFFSET($GD$3,0,0,'Données projet'!$E$17+1,1))-AVERAGE(OFFSET($H$3,0,0,'Données projet'!$E$17+1,1))</f>
        <v>324.86930206492627</v>
      </c>
      <c r="GF195" s="59">
        <f t="shared" si="158"/>
        <v>317.03005098025352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3.4401982673848055</v>
      </c>
      <c r="GM195" s="21">
        <f>EXP(-LN(2)/25)*GM194+(1-EXP(-LN(2)/25))/(LN(2)/25)*Calculateur!GH195*Calculateur!GJ195*VLOOKUP('Données projet'!$B$17,Paramètres!$A$1:$I$89,3,0)*0.475*44/12</f>
        <v>0.40981907826842029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3.8500173456532258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5.6843418860808015E-13</v>
      </c>
      <c r="GV195" s="17">
        <f>GU195*VLOOKUP('Données projet'!$B$18,Paramètres!$A$1:$I$89,3,0)*VLOOKUP('Données projet'!$B$18,Paramètres!$A$1:$I$89,5,0)</f>
        <v>5.4092197387944907E-13</v>
      </c>
      <c r="GW195" s="13">
        <f t="shared" si="188"/>
        <v>6.6765148417791561E-12</v>
      </c>
      <c r="GX195" s="20">
        <f t="shared" si="189"/>
        <v>1.2570369120605403E-11</v>
      </c>
      <c r="GY195" s="59">
        <f t="shared" si="137"/>
        <v>293.33333333334588</v>
      </c>
      <c r="GZ195" s="59">
        <f ca="1">AVERAGE(OFFSET($GY$3,0,0,'Données projet'!$E$18+1,1))-AVERAGE(OFFSET($H$3,0,0,'Données projet'!$E$18+1,1))</f>
        <v>401.81944956556271</v>
      </c>
      <c r="HA195" s="59">
        <f t="shared" si="160"/>
        <v>292.20785523952651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53.729111542185649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53.729111542185649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5.1431925385259092E-13</v>
      </c>
      <c r="P196" s="13">
        <f t="shared" si="141"/>
        <v>6.3855359115685756E-12</v>
      </c>
      <c r="Q196" s="20">
        <f t="shared" si="162"/>
        <v>1.2017247746441865E-11</v>
      </c>
      <c r="R196" s="59">
        <f t="shared" si="191"/>
        <v>293.33333333334531</v>
      </c>
      <c r="S196" s="59">
        <f ca="1">AVERAGE(OFFSET($R$3,0,0,'Données projet'!$E$9+1,1))-AVERAGE(OFFSET($H$3,0,0,'Données projet'!$E$9+1,1))</f>
        <v>384.05928630855732</v>
      </c>
      <c r="T196" s="59">
        <f t="shared" si="142"/>
        <v>279.93992813630513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-6.3550942286383367E-14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335.04906256888819</v>
      </c>
      <c r="AO196" s="59">
        <f t="shared" si="144"/>
        <v>440.84111898279554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14.738423264958296</v>
      </c>
      <c r="AV196" s="21">
        <f>EXP(-LN(2)/25)*AV195+(1-EXP(-LN(2)/25))/(LN(2)/25)*Calculateur!AQ196*Calculateur!AS196*VLOOKUP('Données projet'!$B$10,Paramètres!$A$1:$I$89,3,0)*0.475*44/12</f>
        <v>1.2554366774161909</v>
      </c>
      <c r="AW196" s="21">
        <f>EXP(-LN(2)/2)*AW195+(1-EXP(-LN(2)/2))/(LN(2)/2)*AQ196*AT196*VLOOKUP('Données projet'!$B$10,Paramètres!$A$1:$I$89,3,0)*0.475*44/12</f>
        <v>5.7871500025307039E-20</v>
      </c>
      <c r="AX196" s="21">
        <f t="shared" si="166"/>
        <v>15.993859942374486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-1.4210854715202004E-13</v>
      </c>
      <c r="BE196" s="13">
        <f>BD196*VLOOKUP('Données projet'!$B$11,Paramètres!$A$1:$I$89,3,0)*VLOOKUP('Données projet'!$B$11,Paramètres!$A$1:$I$89,5,0)</f>
        <v>-8.128608897095547E-14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320.76883487964511</v>
      </c>
      <c r="BJ196" s="59">
        <f t="shared" si="146"/>
        <v>290.51177680335746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17.664533531774982</v>
      </c>
      <c r="BQ196" s="21">
        <f>EXP(-LN(2)/25)*BQ195+(1-EXP(-LN(2)/25))/(LN(2)/25)*Calculateur!BL196*Calculateur!BN196*VLOOKUP('Données projet'!$B$11,Paramètres!$A$1:$I$89,3,0)*0.475*44/12</f>
        <v>1.9179962822536694</v>
      </c>
      <c r="BR196" s="21">
        <f>EXP(-LN(2)/2)*BR195+(1-EXP(-LN(2)/2))/(LN(2)/2)*BL196*BO196*VLOOKUP('Données projet'!$B$11,Paramètres!$A$1:$I$89,3,0)*0.475*44/12</f>
        <v>9.9928023653849339E-15</v>
      </c>
      <c r="BS196" s="22">
        <f t="shared" si="169"/>
        <v>19.582529814028661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304.99999999999983</v>
      </c>
      <c r="BZ196" s="13">
        <f>BY196*VLOOKUP('Données projet'!$B$12,Paramètres!$A$1:$I$89,3,0)*VLOOKUP('Données projet'!$B$12,Paramètres!$A$1:$I$89,5,0)</f>
        <v>275.96399999999983</v>
      </c>
      <c r="CA196" s="13">
        <f t="shared" si="170"/>
        <v>66.113366665488854</v>
      </c>
      <c r="CB196" s="20">
        <f t="shared" si="171"/>
        <v>595.78474694239264</v>
      </c>
      <c r="CC196" s="59">
        <f t="shared" ref="CC196:CC203" si="195">CB196+(BT196+BU196)*44/12</f>
        <v>889.11808027572602</v>
      </c>
      <c r="CD196" s="59">
        <f ca="1">AVERAGE(OFFSET($CC$3,0,0,'Données projet'!$E$12+1,1))-AVERAGE(OFFSET($H$3,0,0,'Données projet'!$E$12+1,1))</f>
        <v>366.69125512029831</v>
      </c>
      <c r="CE196" s="59">
        <f t="shared" si="148"/>
        <v>513.80016421153414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6.4057994789352632E-2</v>
      </c>
      <c r="CL196" s="21">
        <f>EXP(-LN(2)/25)*CL195+(1-EXP(-LN(2)/25))/(LN(2)/25)*Calculateur!CG196*Calculateur!CI196*VLOOKUP('Données projet'!$B$12,Paramètres!$A$1:$I$89,3,0)*0.475*44/12</f>
        <v>8.0448426264679046E-2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0.14450642105403166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5.6843418860808015E-13</v>
      </c>
      <c r="CU196" s="17">
        <f>CT196*VLOOKUP('Données projet'!$B$13,Paramètres!$A$1:$I$89,3,0)*VLOOKUP('Données projet'!$B$13,Paramètres!$A$1:$I$89,5,0)</f>
        <v>3.8130565371830017E-13</v>
      </c>
      <c r="CV196" s="13">
        <f t="shared" si="173"/>
        <v>4.9019074112354236E-12</v>
      </c>
      <c r="CW196" s="20">
        <f t="shared" si="174"/>
        <v>9.2015960881277352E-12</v>
      </c>
      <c r="CX196" s="59">
        <f t="shared" ref="CX196:CX203" si="196">CW196+(CO196+CP196)*44/12</f>
        <v>293.33333333334252</v>
      </c>
      <c r="CY196" s="59">
        <f ca="1">AVERAGE(OFFSET($CX$3,0,0,'Données projet'!$E$13+1,1))-AVERAGE(OFFSET($H$3,0,0,'Données projet'!$E$13+1,1))</f>
        <v>294.94331863127815</v>
      </c>
      <c r="CZ196" s="59">
        <f t="shared" si="150"/>
        <v>218.36990036643977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45.767251985694571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45.767251985694571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266.99999999999983</v>
      </c>
      <c r="DP196" s="17">
        <f>DO196*VLOOKUP('Données projet'!$B$14,Paramètres!$A$1:$I$89,3,0)*VLOOKUP('Données projet'!$B$14,Paramètres!$A$1:$I$89,5,0)</f>
        <v>195.76439999999985</v>
      </c>
      <c r="DQ196" s="13">
        <f t="shared" si="176"/>
        <v>48.812154563023455</v>
      </c>
      <c r="DR196" s="20">
        <f t="shared" si="177"/>
        <v>425.9708325305989</v>
      </c>
      <c r="DS196" s="59">
        <f t="shared" ref="DS196:DS203" si="197">DR196+(DJ196+DK196)*44/12</f>
        <v>719.30416586393221</v>
      </c>
      <c r="DT196" s="59">
        <f ca="1">AVERAGE(OFFSET($DS$3,0,0,'Données projet'!$E$14+1,1))-AVERAGE(OFFSET($H$3,0,0,'Données projet'!$E$14+1,1))</f>
        <v>278.45534008146865</v>
      </c>
      <c r="DU196" s="59">
        <f t="shared" si="152"/>
        <v>272.97841038165217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2.2965982665031883</v>
      </c>
      <c r="EB196" s="21">
        <f>EXP(-LN(2)/25)*EB195+(1-EXP(-LN(2)/25))/(LN(2)/25)*Calculateur!DW196*Calculateur!DY196*VLOOKUP('Données projet'!$B$14,Paramètres!$A$1:$I$89,3,0)*0.475*44/12</f>
        <v>0.27142721417718985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2.5680254806803782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5.6843418860808015E-13</v>
      </c>
      <c r="EK196" s="17">
        <f>EJ196*VLOOKUP('Données projet'!$B$15,Paramètres!$A$1:$I$89,3,0)*VLOOKUP('Données projet'!$B$15,Paramètres!$A$1:$I$89,5,0)</f>
        <v>6.1186256061773743E-13</v>
      </c>
      <c r="EL196" s="13">
        <f t="shared" si="179"/>
        <v>7.4445668332430206E-12</v>
      </c>
      <c r="EM196" s="20">
        <f t="shared" si="180"/>
        <v>1.4031614527640822E-11</v>
      </c>
      <c r="EN196" s="59">
        <f t="shared" ref="EN196:EN203" si="198">EM196+(EE196+EF196)*44/12</f>
        <v>293.33333333334735</v>
      </c>
      <c r="EO196" s="59">
        <f ca="1">AVERAGE(OFFSET($EN$3,0,0,'Données projet'!$E$15+1,1))-AVERAGE(OFFSET($H$3,0,0,'Données projet'!$E$15+1,1))</f>
        <v>449.09332781196957</v>
      </c>
      <c r="EP196" s="59">
        <f t="shared" si="154"/>
        <v>324.85904971519432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59.583780887036319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59.583780887036319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5.6843418860808015E-13</v>
      </c>
      <c r="FF196" s="17">
        <f>FE196*VLOOKUP('Données projet'!$B$16,Paramètres!$A$1:$I$89,3,0)*VLOOKUP('Données projet'!$B$16,Paramètres!$A$1:$I$89,5,0)</f>
        <v>5.763922672485933E-13</v>
      </c>
      <c r="FG196" s="13">
        <f t="shared" si="182"/>
        <v>7.0619171555808457E-12</v>
      </c>
      <c r="FH196" s="20">
        <f t="shared" si="183"/>
        <v>1.3303388911427938E-11</v>
      </c>
      <c r="FI196" s="59">
        <f t="shared" ref="FI196:FI203" si="199">FH196+(EZ196+FA196)*44/12</f>
        <v>293.33333333334662</v>
      </c>
      <c r="FJ196" s="59">
        <f ca="1">AVERAGE(OFFSET($FI$3,0,0,'Données projet'!$E$16+1,1))-AVERAGE(OFFSET($H$3,0,0,'Données projet'!$E$16+1,1))</f>
        <v>419.51168383014721</v>
      </c>
      <c r="FK196" s="59">
        <f t="shared" si="156"/>
        <v>213.44145308833384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56.129648661700905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56.129648661700905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266.99999999999983</v>
      </c>
      <c r="GA196" s="17">
        <f>FZ196*VLOOKUP('Données projet'!$B$17,Paramètres!$A$1:$I$89,3,0)*VLOOKUP('Données projet'!$B$17,Paramètres!$A$1:$I$89,5,0)</f>
        <v>233.2511999999999</v>
      </c>
      <c r="GB196" s="13">
        <f t="shared" si="185"/>
        <v>56.985091661350864</v>
      </c>
      <c r="GC196" s="20">
        <f t="shared" si="186"/>
        <v>505.49487464351915</v>
      </c>
      <c r="GD196" s="59">
        <f t="shared" ref="GD196:GD203" si="200">GC196+(FU196+FV196)*44/12</f>
        <v>798.82820797685247</v>
      </c>
      <c r="GE196" s="59">
        <f ca="1">AVERAGE(OFFSET($GD$3,0,0,'Données projet'!$E$17+1,1))-AVERAGE(OFFSET($H$3,0,0,'Données projet'!$E$17+1,1))</f>
        <v>324.86930206492627</v>
      </c>
      <c r="GF196" s="59">
        <f t="shared" si="158"/>
        <v>317.03005098025352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3.3727380776751414</v>
      </c>
      <c r="GM196" s="21">
        <f>EXP(-LN(2)/25)*GM195+(1-EXP(-LN(2)/25))/(LN(2)/25)*Calculateur!GH196*Calculateur!GJ196*VLOOKUP('Données projet'!$B$17,Paramètres!$A$1:$I$89,3,0)*0.475*44/12</f>
        <v>0.39861255402172169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3.7713506316968632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5.6843418860808015E-13</v>
      </c>
      <c r="GV196" s="17">
        <f>GU196*VLOOKUP('Données projet'!$B$18,Paramètres!$A$1:$I$89,3,0)*VLOOKUP('Données projet'!$B$18,Paramètres!$A$1:$I$89,5,0)</f>
        <v>5.4092197387944907E-13</v>
      </c>
      <c r="GW196" s="13">
        <f t="shared" si="188"/>
        <v>6.6765148417791561E-12</v>
      </c>
      <c r="GX196" s="20">
        <f t="shared" si="189"/>
        <v>1.2570369120605403E-11</v>
      </c>
      <c r="GY196" s="59">
        <f t="shared" ref="GY196:GY203" si="201">GX196+(GP196+GQ196)*44/12</f>
        <v>293.33333333334588</v>
      </c>
      <c r="GZ196" s="59">
        <f ca="1">AVERAGE(OFFSET($GY$3,0,0,'Données projet'!$E$18+1,1))-AVERAGE(OFFSET($H$3,0,0,'Données projet'!$E$18+1,1))</f>
        <v>401.81944956556271</v>
      </c>
      <c r="HA196" s="59">
        <f t="shared" si="160"/>
        <v>292.20785523952651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52.675516436365513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52.675516436365513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5.1431925385259092E-13</v>
      </c>
      <c r="P197" s="13">
        <f t="shared" ref="P197:P203" si="203">EXP(-1.0587+0.8836*LN(O197)+0.284)</f>
        <v>6.3855359115685756E-12</v>
      </c>
      <c r="Q197" s="20">
        <f t="shared" si="162"/>
        <v>1.2017247746441865E-11</v>
      </c>
      <c r="R197" s="59">
        <f t="shared" si="191"/>
        <v>293.33333333334531</v>
      </c>
      <c r="S197" s="59">
        <f ca="1">AVERAGE(OFFSET($R$3,0,0,'Données projet'!$E$9+1,1))-AVERAGE(OFFSET($H$3,0,0,'Données projet'!$E$9+1,1))</f>
        <v>384.05928630855732</v>
      </c>
      <c r="T197" s="59">
        <f t="shared" ref="T197:T203" si="204">$T$3</f>
        <v>279.93992813630513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-6.3550942286383367E-14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335.04906256888819</v>
      </c>
      <c r="AO197" s="59">
        <f t="shared" ref="AO197:AO203" si="205">$AO$3</f>
        <v>440.84111898279554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14.449411774283011</v>
      </c>
      <c r="AV197" s="21">
        <f>EXP(-LN(2)/25)*AV196+(1-EXP(-LN(2)/25))/(LN(2)/25)*Calculateur!AQ197*Calculateur!AS197*VLOOKUP('Données projet'!$B$10,Paramètres!$A$1:$I$89,3,0)*0.475*44/12</f>
        <v>1.2211066954516996</v>
      </c>
      <c r="AW197" s="21">
        <f>EXP(-LN(2)/2)*AW196+(1-EXP(-LN(2)/2))/(LN(2)/2)*AQ197*AT197*VLOOKUP('Données projet'!$B$10,Paramètres!$A$1:$I$89,3,0)*0.475*44/12</f>
        <v>4.0921330105332064E-20</v>
      </c>
      <c r="AX197" s="21">
        <f t="shared" si="166"/>
        <v>15.670518469734709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-1.4210854715202004E-13</v>
      </c>
      <c r="BE197" s="13">
        <f>BD197*VLOOKUP('Données projet'!$B$11,Paramètres!$A$1:$I$89,3,0)*VLOOKUP('Données projet'!$B$11,Paramètres!$A$1:$I$89,5,0)</f>
        <v>-8.128608897095547E-14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320.76883487964511</v>
      </c>
      <c r="BJ197" s="59">
        <f t="shared" ref="BJ197:BJ203" si="206">$BJ$3</f>
        <v>290.51177680335746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17.318142803518455</v>
      </c>
      <c r="BQ197" s="21">
        <f>EXP(-LN(2)/25)*BQ196+(1-EXP(-LN(2)/25))/(LN(2)/25)*Calculateur!BL197*Calculateur!BN197*VLOOKUP('Données projet'!$B$11,Paramètres!$A$1:$I$89,3,0)*0.475*44/12</f>
        <v>1.865548573052402</v>
      </c>
      <c r="BR197" s="21">
        <f>EXP(-LN(2)/2)*BR196+(1-EXP(-LN(2)/2))/(LN(2)/2)*BL197*BO197*VLOOKUP('Données projet'!$B$11,Paramètres!$A$1:$I$89,3,0)*0.475*44/12</f>
        <v>7.0659783156206592E-15</v>
      </c>
      <c r="BS197" s="22">
        <f t="shared" si="169"/>
        <v>19.183691376570863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304.99999999999983</v>
      </c>
      <c r="BZ197" s="13">
        <f>BY197*VLOOKUP('Données projet'!$B$12,Paramètres!$A$1:$I$89,3,0)*VLOOKUP('Données projet'!$B$12,Paramètres!$A$1:$I$89,5,0)</f>
        <v>275.96399999999983</v>
      </c>
      <c r="CA197" s="13">
        <f t="shared" si="170"/>
        <v>66.113366665488854</v>
      </c>
      <c r="CB197" s="20">
        <f t="shared" si="171"/>
        <v>595.78474694239264</v>
      </c>
      <c r="CC197" s="59">
        <f t="shared" si="195"/>
        <v>889.11808027572602</v>
      </c>
      <c r="CD197" s="59">
        <f ca="1">AVERAGE(OFFSET($CC$3,0,0,'Données projet'!$E$12+1,1))-AVERAGE(OFFSET($H$3,0,0,'Données projet'!$E$12+1,1))</f>
        <v>366.69125512029831</v>
      </c>
      <c r="CE197" s="59">
        <f t="shared" ref="CE197:CE203" si="207">$CE$3</f>
        <v>513.80016421153414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6.2801856583052262E-2</v>
      </c>
      <c r="CL197" s="21">
        <f>EXP(-LN(2)/25)*CL196+(1-EXP(-LN(2)/25))/(LN(2)/25)*Calculateur!CG197*Calculateur!CI197*VLOOKUP('Données projet'!$B$12,Paramètres!$A$1:$I$89,3,0)*0.475*44/12</f>
        <v>7.8248559817872529E-2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0.14105041640092481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5.6843418860808015E-13</v>
      </c>
      <c r="CU197" s="17">
        <f>CT197*VLOOKUP('Données projet'!$B$13,Paramètres!$A$1:$I$89,3,0)*VLOOKUP('Données projet'!$B$13,Paramètres!$A$1:$I$89,5,0)</f>
        <v>3.8130565371830017E-13</v>
      </c>
      <c r="CV197" s="13">
        <f t="shared" si="173"/>
        <v>4.9019074112354236E-12</v>
      </c>
      <c r="CW197" s="20">
        <f t="shared" si="174"/>
        <v>9.2015960881277352E-12</v>
      </c>
      <c r="CX197" s="59">
        <f t="shared" si="196"/>
        <v>293.33333333334252</v>
      </c>
      <c r="CY197" s="59">
        <f ca="1">AVERAGE(OFFSET($CX$3,0,0,'Données projet'!$E$13+1,1))-AVERAGE(OFFSET($H$3,0,0,'Données projet'!$E$13+1,1))</f>
        <v>294.94331863127815</v>
      </c>
      <c r="CZ197" s="59">
        <f t="shared" ref="CZ197:CZ203" si="208">$CZ$3</f>
        <v>218.36990036643977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44.869784089522405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44.869784089522405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266.99999999999983</v>
      </c>
      <c r="DP197" s="17">
        <f>DO197*VLOOKUP('Données projet'!$B$14,Paramètres!$A$1:$I$89,3,0)*VLOOKUP('Données projet'!$B$14,Paramètres!$A$1:$I$89,5,0)</f>
        <v>195.76439999999985</v>
      </c>
      <c r="DQ197" s="13">
        <f t="shared" si="176"/>
        <v>48.812154563023455</v>
      </c>
      <c r="DR197" s="20">
        <f t="shared" si="177"/>
        <v>425.9708325305989</v>
      </c>
      <c r="DS197" s="59">
        <f t="shared" si="197"/>
        <v>719.30416586393221</v>
      </c>
      <c r="DT197" s="59">
        <f ca="1">AVERAGE(OFFSET($DS$3,0,0,'Données projet'!$E$14+1,1))-AVERAGE(OFFSET($H$3,0,0,'Données projet'!$E$14+1,1))</f>
        <v>278.45534008146865</v>
      </c>
      <c r="DU197" s="59">
        <f t="shared" ref="DU197:DU203" si="209">$DU$3</f>
        <v>272.97841038165217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2.2515633752836872</v>
      </c>
      <c r="EB197" s="21">
        <f>EXP(-LN(2)/25)*EB196+(1-EXP(-LN(2)/25))/(LN(2)/25)*Calculateur!DW197*Calculateur!DY197*VLOOKUP('Données projet'!$B$14,Paramètres!$A$1:$I$89,3,0)*0.475*44/12</f>
        <v>0.26400502273177773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2.5155683980154651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5.6843418860808015E-13</v>
      </c>
      <c r="EK197" s="17">
        <f>EJ197*VLOOKUP('Données projet'!$B$15,Paramètres!$A$1:$I$89,3,0)*VLOOKUP('Données projet'!$B$15,Paramètres!$A$1:$I$89,5,0)</f>
        <v>6.1186256061773743E-13</v>
      </c>
      <c r="EL197" s="13">
        <f t="shared" si="179"/>
        <v>7.4445668332430206E-12</v>
      </c>
      <c r="EM197" s="20">
        <f t="shared" si="180"/>
        <v>1.4031614527640822E-11</v>
      </c>
      <c r="EN197" s="59">
        <f t="shared" si="198"/>
        <v>293.33333333334735</v>
      </c>
      <c r="EO197" s="59">
        <f ca="1">AVERAGE(OFFSET($EN$3,0,0,'Données projet'!$E$15+1,1))-AVERAGE(OFFSET($H$3,0,0,'Données projet'!$E$15+1,1))</f>
        <v>449.09332781196957</v>
      </c>
      <c r="EP197" s="59">
        <f t="shared" ref="EP197:EP203" si="210">$EP$3</f>
        <v>324.85904971519432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58.415379286359354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58.415379286359354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5.6843418860808015E-13</v>
      </c>
      <c r="FF197" s="17">
        <f>FE197*VLOOKUP('Données projet'!$B$16,Paramètres!$A$1:$I$89,3,0)*VLOOKUP('Données projet'!$B$16,Paramètres!$A$1:$I$89,5,0)</f>
        <v>5.763922672485933E-13</v>
      </c>
      <c r="FG197" s="13">
        <f t="shared" si="182"/>
        <v>7.0619171555808457E-12</v>
      </c>
      <c r="FH197" s="20">
        <f t="shared" si="183"/>
        <v>1.3303388911427938E-11</v>
      </c>
      <c r="FI197" s="59">
        <f t="shared" si="199"/>
        <v>293.33333333334662</v>
      </c>
      <c r="FJ197" s="59">
        <f ca="1">AVERAGE(OFFSET($FI$3,0,0,'Données projet'!$E$16+1,1))-AVERAGE(OFFSET($H$3,0,0,'Données projet'!$E$16+1,1))</f>
        <v>419.51168383014721</v>
      </c>
      <c r="FK197" s="59">
        <f t="shared" ref="FK197:FK203" si="211">$FK$3</f>
        <v>213.44145308833384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55.028980487150136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55.028980487150136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266.99999999999983</v>
      </c>
      <c r="GA197" s="17">
        <f>FZ197*VLOOKUP('Données projet'!$B$17,Paramètres!$A$1:$I$89,3,0)*VLOOKUP('Données projet'!$B$17,Paramètres!$A$1:$I$89,5,0)</f>
        <v>233.2511999999999</v>
      </c>
      <c r="GB197" s="13">
        <f t="shared" si="185"/>
        <v>56.985091661350864</v>
      </c>
      <c r="GC197" s="20">
        <f t="shared" si="186"/>
        <v>505.49487464351915</v>
      </c>
      <c r="GD197" s="59">
        <f t="shared" si="200"/>
        <v>798.82820797685247</v>
      </c>
      <c r="GE197" s="59">
        <f ca="1">AVERAGE(OFFSET($GD$3,0,0,'Données projet'!$E$17+1,1))-AVERAGE(OFFSET($H$3,0,0,'Données projet'!$E$17+1,1))</f>
        <v>324.86930206492627</v>
      </c>
      <c r="GF197" s="59">
        <f t="shared" ref="GF197:GF203" si="212">$GF$3</f>
        <v>317.03005098025352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3.306600741139031</v>
      </c>
      <c r="GM197" s="21">
        <f>EXP(-LN(2)/25)*GM196+(1-EXP(-LN(2)/25))/(LN(2)/25)*Calculateur!GH197*Calculateur!GJ197*VLOOKUP('Données projet'!$B$17,Paramètres!$A$1:$I$89,3,0)*0.475*44/12</f>
        <v>0.38771247276987453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3.6943132139089054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5.6843418860808015E-13</v>
      </c>
      <c r="GV197" s="17">
        <f>GU197*VLOOKUP('Données projet'!$B$18,Paramètres!$A$1:$I$89,3,0)*VLOOKUP('Données projet'!$B$18,Paramètres!$A$1:$I$89,5,0)</f>
        <v>5.4092197387944907E-13</v>
      </c>
      <c r="GW197" s="13">
        <f t="shared" si="188"/>
        <v>6.6765148417791561E-12</v>
      </c>
      <c r="GX197" s="20">
        <f t="shared" si="189"/>
        <v>1.2570369120605403E-11</v>
      </c>
      <c r="GY197" s="59">
        <f t="shared" si="201"/>
        <v>293.33333333334588</v>
      </c>
      <c r="GZ197" s="59">
        <f ca="1">AVERAGE(OFFSET($GY$3,0,0,'Données projet'!$E$18+1,1))-AVERAGE(OFFSET($H$3,0,0,'Données projet'!$E$18+1,1))</f>
        <v>401.81944956556271</v>
      </c>
      <c r="HA197" s="59">
        <f t="shared" ref="HA197:HA203" si="213">$HA$3</f>
        <v>292.20785523952651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51.642581687940947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51.642581687940947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5.1431925385259092E-13</v>
      </c>
      <c r="P198" s="13">
        <f t="shared" si="203"/>
        <v>6.3855359115685756E-12</v>
      </c>
      <c r="Q198" s="20">
        <f t="shared" si="162"/>
        <v>1.2017247746441865E-11</v>
      </c>
      <c r="R198" s="59">
        <f t="shared" si="191"/>
        <v>293.33333333334531</v>
      </c>
      <c r="S198" s="59">
        <f ca="1">AVERAGE(OFFSET($R$3,0,0,'Données projet'!$E$9+1,1))-AVERAGE(OFFSET($H$3,0,0,'Données projet'!$E$9+1,1))</f>
        <v>384.05928630855732</v>
      </c>
      <c r="T198" s="59">
        <f t="shared" si="204"/>
        <v>279.93992813630513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-6.3550942286383367E-14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335.04906256888819</v>
      </c>
      <c r="AO198" s="59">
        <f t="shared" si="205"/>
        <v>440.84111898279554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14.166067622660265</v>
      </c>
      <c r="AV198" s="21">
        <f>EXP(-LN(2)/25)*AV197+(1-EXP(-LN(2)/25))/(LN(2)/25)*Calculateur!AQ198*Calculateur!AS198*VLOOKUP('Données projet'!$B$10,Paramètres!$A$1:$I$89,3,0)*0.475*44/12</f>
        <v>1.1877154686493627</v>
      </c>
      <c r="AW198" s="21">
        <f>EXP(-LN(2)/2)*AW197+(1-EXP(-LN(2)/2))/(LN(2)/2)*AQ198*AT198*VLOOKUP('Données projet'!$B$10,Paramètres!$A$1:$I$89,3,0)*0.475*44/12</f>
        <v>2.893575001265352E-20</v>
      </c>
      <c r="AX198" s="21">
        <f t="shared" si="166"/>
        <v>15.353783091309626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-1.4210854715202004E-13</v>
      </c>
      <c r="BE198" s="13">
        <f>BD198*VLOOKUP('Données projet'!$B$11,Paramètres!$A$1:$I$89,3,0)*VLOOKUP('Données projet'!$B$11,Paramètres!$A$1:$I$89,5,0)</f>
        <v>-8.128608897095547E-14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320.76883487964511</v>
      </c>
      <c r="BJ198" s="59">
        <f t="shared" si="206"/>
        <v>290.51177680335746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16.978544586165558</v>
      </c>
      <c r="BQ198" s="21">
        <f>EXP(-LN(2)/25)*BQ197+(1-EXP(-LN(2)/25))/(LN(2)/25)*Calculateur!BL198*Calculateur!BN198*VLOOKUP('Données projet'!$B$11,Paramètres!$A$1:$I$89,3,0)*0.475*44/12</f>
        <v>1.8145350492173484</v>
      </c>
      <c r="BR198" s="21">
        <f>EXP(-LN(2)/2)*BR197+(1-EXP(-LN(2)/2))/(LN(2)/2)*BL198*BO198*VLOOKUP('Données projet'!$B$11,Paramètres!$A$1:$I$89,3,0)*0.475*44/12</f>
        <v>4.9964011826924677E-15</v>
      </c>
      <c r="BS198" s="22">
        <f t="shared" si="169"/>
        <v>18.793079635382909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304.99999999999983</v>
      </c>
      <c r="BZ198" s="13">
        <f>BY198*VLOOKUP('Données projet'!$B$12,Paramètres!$A$1:$I$89,3,0)*VLOOKUP('Données projet'!$B$12,Paramètres!$A$1:$I$89,5,0)</f>
        <v>275.96399999999983</v>
      </c>
      <c r="CA198" s="13">
        <f t="shared" si="170"/>
        <v>66.113366665488854</v>
      </c>
      <c r="CB198" s="20">
        <f t="shared" si="171"/>
        <v>595.78474694239264</v>
      </c>
      <c r="CC198" s="59">
        <f t="shared" si="195"/>
        <v>889.11808027572602</v>
      </c>
      <c r="CD198" s="59">
        <f ca="1">AVERAGE(OFFSET($CC$3,0,0,'Données projet'!$E$12+1,1))-AVERAGE(OFFSET($H$3,0,0,'Données projet'!$E$12+1,1))</f>
        <v>366.69125512029831</v>
      </c>
      <c r="CE198" s="59">
        <f t="shared" si="207"/>
        <v>513.80016421153414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6.1570350480808785E-2</v>
      </c>
      <c r="CL198" s="21">
        <f>EXP(-LN(2)/25)*CL197+(1-EXP(-LN(2)/25))/(LN(2)/25)*Calculateur!CG198*Calculateur!CI198*VLOOKUP('Données projet'!$B$12,Paramètres!$A$1:$I$89,3,0)*0.475*44/12</f>
        <v>7.6108848834739881E-2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0.13767919931554867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5.6843418860808015E-13</v>
      </c>
      <c r="CU198" s="17">
        <f>CT198*VLOOKUP('Données projet'!$B$13,Paramètres!$A$1:$I$89,3,0)*VLOOKUP('Données projet'!$B$13,Paramètres!$A$1:$I$89,5,0)</f>
        <v>3.8130565371830017E-13</v>
      </c>
      <c r="CV198" s="13">
        <f t="shared" si="173"/>
        <v>4.9019074112354236E-12</v>
      </c>
      <c r="CW198" s="20">
        <f t="shared" si="174"/>
        <v>9.2015960881277352E-12</v>
      </c>
      <c r="CX198" s="59">
        <f t="shared" si="196"/>
        <v>293.33333333334252</v>
      </c>
      <c r="CY198" s="59">
        <f ca="1">AVERAGE(OFFSET($CX$3,0,0,'Données projet'!$E$13+1,1))-AVERAGE(OFFSET($H$3,0,0,'Données projet'!$E$13+1,1))</f>
        <v>294.94331863127815</v>
      </c>
      <c r="CZ198" s="59">
        <f t="shared" si="208"/>
        <v>218.36990036643977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43.989914991392816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43.989914991392816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266.99999999999983</v>
      </c>
      <c r="DP198" s="17">
        <f>DO198*VLOOKUP('Données projet'!$B$14,Paramètres!$A$1:$I$89,3,0)*VLOOKUP('Données projet'!$B$14,Paramètres!$A$1:$I$89,5,0)</f>
        <v>195.76439999999985</v>
      </c>
      <c r="DQ198" s="13">
        <f t="shared" si="176"/>
        <v>48.812154563023455</v>
      </c>
      <c r="DR198" s="20">
        <f t="shared" si="177"/>
        <v>425.9708325305989</v>
      </c>
      <c r="DS198" s="59">
        <f t="shared" si="197"/>
        <v>719.30416586393221</v>
      </c>
      <c r="DT198" s="59">
        <f ca="1">AVERAGE(OFFSET($DS$3,0,0,'Données projet'!$E$14+1,1))-AVERAGE(OFFSET($H$3,0,0,'Données projet'!$E$14+1,1))</f>
        <v>278.45534008146865</v>
      </c>
      <c r="DU198" s="59">
        <f t="shared" si="209"/>
        <v>272.97841038165217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2.2074115908124292</v>
      </c>
      <c r="EB198" s="21">
        <f>EXP(-LN(2)/25)*EB197+(1-EXP(-LN(2)/25))/(LN(2)/25)*Calculateur!DW198*Calculateur!DY198*VLOOKUP('Données projet'!$B$14,Paramètres!$A$1:$I$89,3,0)*0.475*44/12</f>
        <v>0.25678579150175651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2.4641973823141856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5.6843418860808015E-13</v>
      </c>
      <c r="EK198" s="17">
        <f>EJ198*VLOOKUP('Données projet'!$B$15,Paramètres!$A$1:$I$89,3,0)*VLOOKUP('Données projet'!$B$15,Paramètres!$A$1:$I$89,5,0)</f>
        <v>6.1186256061773743E-13</v>
      </c>
      <c r="EL198" s="13">
        <f t="shared" si="179"/>
        <v>7.4445668332430206E-12</v>
      </c>
      <c r="EM198" s="20">
        <f t="shared" si="180"/>
        <v>1.4031614527640822E-11</v>
      </c>
      <c r="EN198" s="59">
        <f t="shared" si="198"/>
        <v>293.33333333334735</v>
      </c>
      <c r="EO198" s="59">
        <f ca="1">AVERAGE(OFFSET($EN$3,0,0,'Données projet'!$E$15+1,1))-AVERAGE(OFFSET($H$3,0,0,'Données projet'!$E$15+1,1))</f>
        <v>449.09332781196957</v>
      </c>
      <c r="EP198" s="59">
        <f t="shared" si="210"/>
        <v>324.85904971519432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57.269889328417058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57.269889328417058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5.6843418860808015E-13</v>
      </c>
      <c r="FF198" s="17">
        <f>FE198*VLOOKUP('Données projet'!$B$16,Paramètres!$A$1:$I$89,3,0)*VLOOKUP('Données projet'!$B$16,Paramètres!$A$1:$I$89,5,0)</f>
        <v>5.763922672485933E-13</v>
      </c>
      <c r="FG198" s="13">
        <f t="shared" si="182"/>
        <v>7.0619171555808457E-12</v>
      </c>
      <c r="FH198" s="20">
        <f t="shared" si="183"/>
        <v>1.3303388911427938E-11</v>
      </c>
      <c r="FI198" s="59">
        <f t="shared" si="199"/>
        <v>293.33333333334662</v>
      </c>
      <c r="FJ198" s="59">
        <f ca="1">AVERAGE(OFFSET($FI$3,0,0,'Données projet'!$E$16+1,1))-AVERAGE(OFFSET($H$3,0,0,'Données projet'!$E$16+1,1))</f>
        <v>419.51168383014721</v>
      </c>
      <c r="FK198" s="59">
        <f t="shared" si="211"/>
        <v>213.44145308833384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53.949895744161012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53.949895744161012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266.99999999999983</v>
      </c>
      <c r="GA198" s="17">
        <f>FZ198*VLOOKUP('Données projet'!$B$17,Paramètres!$A$1:$I$89,3,0)*VLOOKUP('Données projet'!$B$17,Paramètres!$A$1:$I$89,5,0)</f>
        <v>233.2511999999999</v>
      </c>
      <c r="GB198" s="13">
        <f t="shared" si="185"/>
        <v>56.985091661350864</v>
      </c>
      <c r="GC198" s="20">
        <f t="shared" si="186"/>
        <v>505.49487464351915</v>
      </c>
      <c r="GD198" s="59">
        <f t="shared" si="200"/>
        <v>798.82820797685247</v>
      </c>
      <c r="GE198" s="59">
        <f ca="1">AVERAGE(OFFSET($GD$3,0,0,'Données projet'!$E$17+1,1))-AVERAGE(OFFSET($H$3,0,0,'Données projet'!$E$17+1,1))</f>
        <v>324.86930206492627</v>
      </c>
      <c r="GF198" s="59">
        <f t="shared" si="212"/>
        <v>317.03005098025352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3.2417603174326017</v>
      </c>
      <c r="GM198" s="21">
        <f>EXP(-LN(2)/25)*GM197+(1-EXP(-LN(2)/25))/(LN(2)/25)*Calculateur!GH198*Calculateur!GJ198*VLOOKUP('Données projet'!$B$17,Paramètres!$A$1:$I$89,3,0)*0.475*44/12</f>
        <v>0.37711045481306948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3.6188707722456712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5.6843418860808015E-13</v>
      </c>
      <c r="GV198" s="17">
        <f>GU198*VLOOKUP('Données projet'!$B$18,Paramètres!$A$1:$I$89,3,0)*VLOOKUP('Données projet'!$B$18,Paramètres!$A$1:$I$89,5,0)</f>
        <v>5.4092197387944907E-13</v>
      </c>
      <c r="GW198" s="13">
        <f t="shared" si="188"/>
        <v>6.6765148417791561E-12</v>
      </c>
      <c r="GX198" s="20">
        <f t="shared" si="189"/>
        <v>1.2570369120605403E-11</v>
      </c>
      <c r="GY198" s="59">
        <f t="shared" si="201"/>
        <v>293.33333333334588</v>
      </c>
      <c r="GZ198" s="59">
        <f ca="1">AVERAGE(OFFSET($GY$3,0,0,'Données projet'!$E$18+1,1))-AVERAGE(OFFSET($H$3,0,0,'Données projet'!$E$18+1,1))</f>
        <v>401.81944956556271</v>
      </c>
      <c r="HA198" s="59">
        <f t="shared" si="213"/>
        <v>292.20785523952651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50.629902159905001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50.629902159905001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5.1431925385259092E-13</v>
      </c>
      <c r="P199" s="13">
        <f t="shared" si="203"/>
        <v>6.3855359115685756E-12</v>
      </c>
      <c r="Q199" s="20">
        <f t="shared" si="162"/>
        <v>1.2017247746441865E-11</v>
      </c>
      <c r="R199" s="59">
        <f t="shared" si="191"/>
        <v>293.33333333334531</v>
      </c>
      <c r="S199" s="59">
        <f ca="1">AVERAGE(OFFSET($R$3,0,0,'Données projet'!$E$9+1,1))-AVERAGE(OFFSET($H$3,0,0,'Données projet'!$E$9+1,1))</f>
        <v>384.05928630855732</v>
      </c>
      <c r="T199" s="59">
        <f t="shared" si="204"/>
        <v>279.93992813630513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-6.3550942286383367E-14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335.04906256888819</v>
      </c>
      <c r="AO199" s="59">
        <f t="shared" si="205"/>
        <v>440.84111898279554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13.888279677027974</v>
      </c>
      <c r="AV199" s="21">
        <f>EXP(-LN(2)/25)*AV198+(1-EXP(-LN(2)/25))/(LN(2)/25)*Calculateur!AQ199*Calculateur!AS199*VLOOKUP('Données projet'!$B$10,Paramètres!$A$1:$I$89,3,0)*0.475*44/12</f>
        <v>1.1552373266999039</v>
      </c>
      <c r="AW199" s="21">
        <f>EXP(-LN(2)/2)*AW198+(1-EXP(-LN(2)/2))/(LN(2)/2)*AQ199*AT199*VLOOKUP('Données projet'!$B$10,Paramètres!$A$1:$I$89,3,0)*0.475*44/12</f>
        <v>2.0460665052666032E-20</v>
      </c>
      <c r="AX199" s="21">
        <f t="shared" si="166"/>
        <v>15.043517003727878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-1.4210854715202004E-13</v>
      </c>
      <c r="BE199" s="13">
        <f>BD199*VLOOKUP('Données projet'!$B$11,Paramètres!$A$1:$I$89,3,0)*VLOOKUP('Données projet'!$B$11,Paramètres!$A$1:$I$89,5,0)</f>
        <v>-8.128608897095547E-14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320.76883487964511</v>
      </c>
      <c r="BJ199" s="59">
        <f t="shared" si="206"/>
        <v>290.51177680335746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16.64560568272049</v>
      </c>
      <c r="BQ199" s="21">
        <f>EXP(-LN(2)/25)*BQ198+(1-EXP(-LN(2)/25))/(LN(2)/25)*Calculateur!BL199*Calculateur!BN199*VLOOKUP('Données projet'!$B$11,Paramètres!$A$1:$I$89,3,0)*0.475*44/12</f>
        <v>1.7649164928742489</v>
      </c>
      <c r="BR199" s="21">
        <f>EXP(-LN(2)/2)*BR198+(1-EXP(-LN(2)/2))/(LN(2)/2)*BL199*BO199*VLOOKUP('Données projet'!$B$11,Paramètres!$A$1:$I$89,3,0)*0.475*44/12</f>
        <v>3.5329891578103304E-15</v>
      </c>
      <c r="BS199" s="22">
        <f t="shared" si="169"/>
        <v>18.410522175594743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304.99999999999983</v>
      </c>
      <c r="BZ199" s="13">
        <f>BY199*VLOOKUP('Données projet'!$B$12,Paramètres!$A$1:$I$89,3,0)*VLOOKUP('Données projet'!$B$12,Paramètres!$A$1:$I$89,5,0)</f>
        <v>275.96399999999983</v>
      </c>
      <c r="CA199" s="13">
        <f t="shared" si="170"/>
        <v>66.113366665488854</v>
      </c>
      <c r="CB199" s="20">
        <f t="shared" si="171"/>
        <v>595.78474694239264</v>
      </c>
      <c r="CC199" s="59">
        <f t="shared" si="195"/>
        <v>889.11808027572602</v>
      </c>
      <c r="CD199" s="59">
        <f ca="1">AVERAGE(OFFSET($CC$3,0,0,'Données projet'!$E$12+1,1))-AVERAGE(OFFSET($H$3,0,0,'Données projet'!$E$12+1,1))</f>
        <v>366.69125512029831</v>
      </c>
      <c r="CE199" s="59">
        <f t="shared" si="207"/>
        <v>513.80016421153414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6.0362993462085748E-2</v>
      </c>
      <c r="CL199" s="21">
        <f>EXP(-LN(2)/25)*CL198+(1-EXP(-LN(2)/25))/(LN(2)/25)*Calculateur!CG199*Calculateur!CI199*VLOOKUP('Données projet'!$B$12,Paramètres!$A$1:$I$89,3,0)*0.475*44/12</f>
        <v>7.4027648360963511E-2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0.13439064182304927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5.6843418860808015E-13</v>
      </c>
      <c r="CU199" s="17">
        <f>CT199*VLOOKUP('Données projet'!$B$13,Paramètres!$A$1:$I$89,3,0)*VLOOKUP('Données projet'!$B$13,Paramètres!$A$1:$I$89,5,0)</f>
        <v>3.8130565371830017E-13</v>
      </c>
      <c r="CV199" s="13">
        <f t="shared" si="173"/>
        <v>4.9019074112354236E-12</v>
      </c>
      <c r="CW199" s="20">
        <f t="shared" si="174"/>
        <v>9.2015960881277352E-12</v>
      </c>
      <c r="CX199" s="59">
        <f t="shared" si="196"/>
        <v>293.33333333334252</v>
      </c>
      <c r="CY199" s="59">
        <f ca="1">AVERAGE(OFFSET($CX$3,0,0,'Données projet'!$E$13+1,1))-AVERAGE(OFFSET($H$3,0,0,'Données projet'!$E$13+1,1))</f>
        <v>294.94331863127815</v>
      </c>
      <c r="CZ199" s="59">
        <f t="shared" si="208"/>
        <v>218.36990036643977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43.127299589610388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43.127299589610388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266.99999999999983</v>
      </c>
      <c r="DP199" s="17">
        <f>DO199*VLOOKUP('Données projet'!$B$14,Paramètres!$A$1:$I$89,3,0)*VLOOKUP('Données projet'!$B$14,Paramètres!$A$1:$I$89,5,0)</f>
        <v>195.76439999999985</v>
      </c>
      <c r="DQ199" s="13">
        <f t="shared" si="176"/>
        <v>48.812154563023455</v>
      </c>
      <c r="DR199" s="20">
        <f t="shared" si="177"/>
        <v>425.9708325305989</v>
      </c>
      <c r="DS199" s="59">
        <f t="shared" si="197"/>
        <v>719.30416586393221</v>
      </c>
      <c r="DT199" s="59">
        <f ca="1">AVERAGE(OFFSET($DS$3,0,0,'Données projet'!$E$14+1,1))-AVERAGE(OFFSET($H$3,0,0,'Données projet'!$E$14+1,1))</f>
        <v>278.45534008146865</v>
      </c>
      <c r="DU199" s="59">
        <f t="shared" si="209"/>
        <v>272.97841038165217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2.1641255959047232</v>
      </c>
      <c r="EB199" s="21">
        <f>EXP(-LN(2)/25)*EB198+(1-EXP(-LN(2)/25))/(LN(2)/25)*Calculateur!DW199*Calculateur!DY199*VLOOKUP('Données projet'!$B$14,Paramètres!$A$1:$I$89,3,0)*0.475*44/12</f>
        <v>0.24976397052936308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2.4138895664340865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5.6843418860808015E-13</v>
      </c>
      <c r="EK199" s="17">
        <f>EJ199*VLOOKUP('Données projet'!$B$15,Paramètres!$A$1:$I$89,3,0)*VLOOKUP('Données projet'!$B$15,Paramètres!$A$1:$I$89,5,0)</f>
        <v>6.1186256061773743E-13</v>
      </c>
      <c r="EL199" s="13">
        <f t="shared" si="179"/>
        <v>7.4445668332430206E-12</v>
      </c>
      <c r="EM199" s="20">
        <f t="shared" si="180"/>
        <v>1.4031614527640822E-11</v>
      </c>
      <c r="EN199" s="59">
        <f t="shared" si="198"/>
        <v>293.33333333334735</v>
      </c>
      <c r="EO199" s="59">
        <f ca="1">AVERAGE(OFFSET($EN$3,0,0,'Données projet'!$E$15+1,1))-AVERAGE(OFFSET($H$3,0,0,'Données projet'!$E$15+1,1))</f>
        <v>449.09332781196957</v>
      </c>
      <c r="EP199" s="59">
        <f t="shared" si="210"/>
        <v>324.85904971519432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56.146861729870125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56.146861729870125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5.6843418860808015E-13</v>
      </c>
      <c r="FF199" s="17">
        <f>FE199*VLOOKUP('Données projet'!$B$16,Paramètres!$A$1:$I$89,3,0)*VLOOKUP('Données projet'!$B$16,Paramètres!$A$1:$I$89,5,0)</f>
        <v>5.763922672485933E-13</v>
      </c>
      <c r="FG199" s="13">
        <f t="shared" si="182"/>
        <v>7.0619171555808457E-12</v>
      </c>
      <c r="FH199" s="20">
        <f t="shared" si="183"/>
        <v>1.3303388911427938E-11</v>
      </c>
      <c r="FI199" s="59">
        <f t="shared" si="199"/>
        <v>293.33333333334662</v>
      </c>
      <c r="FJ199" s="59">
        <f ca="1">AVERAGE(OFFSET($FI$3,0,0,'Données projet'!$E$16+1,1))-AVERAGE(OFFSET($H$3,0,0,'Données projet'!$E$16+1,1))</f>
        <v>419.51168383014721</v>
      </c>
      <c r="FK199" s="59">
        <f t="shared" si="211"/>
        <v>213.44145308833384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52.891971194805201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52.891971194805201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266.99999999999983</v>
      </c>
      <c r="GA199" s="17">
        <f>FZ199*VLOOKUP('Données projet'!$B$17,Paramètres!$A$1:$I$89,3,0)*VLOOKUP('Données projet'!$B$17,Paramètres!$A$1:$I$89,5,0)</f>
        <v>233.2511999999999</v>
      </c>
      <c r="GB199" s="13">
        <f t="shared" si="185"/>
        <v>56.985091661350864</v>
      </c>
      <c r="GC199" s="20">
        <f t="shared" si="186"/>
        <v>505.49487464351915</v>
      </c>
      <c r="GD199" s="59">
        <f t="shared" si="200"/>
        <v>798.82820797685247</v>
      </c>
      <c r="GE199" s="59">
        <f ca="1">AVERAGE(OFFSET($GD$3,0,0,'Données projet'!$E$17+1,1))-AVERAGE(OFFSET($H$3,0,0,'Données projet'!$E$17+1,1))</f>
        <v>324.86930206492627</v>
      </c>
      <c r="GF199" s="59">
        <f t="shared" si="212"/>
        <v>317.03005098025352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3.178191374886302</v>
      </c>
      <c r="GM199" s="21">
        <f>EXP(-LN(2)/25)*GM198+(1-EXP(-LN(2)/25))/(LN(2)/25)*Calculateur!GH199*Calculateur!GJ199*VLOOKUP('Données projet'!$B$17,Paramètres!$A$1:$I$89,3,0)*0.475*44/12</f>
        <v>0.36679834959482915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3.5449897244811313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5.6843418860808015E-13</v>
      </c>
      <c r="GV199" s="17">
        <f>GU199*VLOOKUP('Données projet'!$B$18,Paramètres!$A$1:$I$89,3,0)*VLOOKUP('Données projet'!$B$18,Paramètres!$A$1:$I$89,5,0)</f>
        <v>5.4092197387944907E-13</v>
      </c>
      <c r="GW199" s="13">
        <f t="shared" si="188"/>
        <v>6.6765148417791561E-12</v>
      </c>
      <c r="GX199" s="20">
        <f t="shared" si="189"/>
        <v>1.2570369120605403E-11</v>
      </c>
      <c r="GY199" s="59">
        <f t="shared" si="201"/>
        <v>293.33333333334588</v>
      </c>
      <c r="GZ199" s="59">
        <f ca="1">AVERAGE(OFFSET($GY$3,0,0,'Données projet'!$E$18+1,1))-AVERAGE(OFFSET($H$3,0,0,'Données projet'!$E$18+1,1))</f>
        <v>401.81944956556271</v>
      </c>
      <c r="HA199" s="59">
        <f t="shared" si="213"/>
        <v>292.20785523952651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49.63708065974032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49.63708065974032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5.1431925385259092E-13</v>
      </c>
      <c r="P200" s="13">
        <f t="shared" si="203"/>
        <v>6.3855359115685756E-12</v>
      </c>
      <c r="Q200" s="20">
        <f t="shared" si="162"/>
        <v>1.2017247746441865E-11</v>
      </c>
      <c r="R200" s="59">
        <f t="shared" si="191"/>
        <v>293.33333333334531</v>
      </c>
      <c r="S200" s="59">
        <f ca="1">AVERAGE(OFFSET($R$3,0,0,'Données projet'!$E$9+1,1))-AVERAGE(OFFSET($H$3,0,0,'Données projet'!$E$9+1,1))</f>
        <v>384.05928630855732</v>
      </c>
      <c r="T200" s="59">
        <f t="shared" si="204"/>
        <v>279.93992813630513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-6.3550942286383367E-14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335.04906256888819</v>
      </c>
      <c r="AO200" s="59">
        <f t="shared" si="205"/>
        <v>440.84111898279554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13.615938983575615</v>
      </c>
      <c r="AV200" s="21">
        <f>EXP(-LN(2)/25)*AV199+(1-EXP(-LN(2)/25))/(LN(2)/25)*Calculateur!AQ200*Calculateur!AS200*VLOOKUP('Données projet'!$B$10,Paramètres!$A$1:$I$89,3,0)*0.475*44/12</f>
        <v>1.1236473012500043</v>
      </c>
      <c r="AW200" s="21">
        <f>EXP(-LN(2)/2)*AW199+(1-EXP(-LN(2)/2))/(LN(2)/2)*AQ200*AT200*VLOOKUP('Données projet'!$B$10,Paramètres!$A$1:$I$89,3,0)*0.475*44/12</f>
        <v>1.446787500632676E-20</v>
      </c>
      <c r="AX200" s="21">
        <f t="shared" si="166"/>
        <v>14.73958628482562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-1.4210854715202004E-13</v>
      </c>
      <c r="BE200" s="13">
        <f>BD200*VLOOKUP('Données projet'!$B$11,Paramètres!$A$1:$I$89,3,0)*VLOOKUP('Données projet'!$B$11,Paramètres!$A$1:$I$89,5,0)</f>
        <v>-8.128608897095547E-14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320.76883487964511</v>
      </c>
      <c r="BJ200" s="59">
        <f t="shared" si="206"/>
        <v>290.51177680335746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16.319195508099298</v>
      </c>
      <c r="BQ200" s="21">
        <f>EXP(-LN(2)/25)*BQ199+(1-EXP(-LN(2)/25))/(LN(2)/25)*Calculateur!BL200*Calculateur!BN200*VLOOKUP('Données projet'!$B$11,Paramètres!$A$1:$I$89,3,0)*0.475*44/12</f>
        <v>1.716654758563678</v>
      </c>
      <c r="BR200" s="21">
        <f>EXP(-LN(2)/2)*BR199+(1-EXP(-LN(2)/2))/(LN(2)/2)*BL200*BO200*VLOOKUP('Données projet'!$B$11,Paramètres!$A$1:$I$89,3,0)*0.475*44/12</f>
        <v>2.4982005913462343E-15</v>
      </c>
      <c r="BS200" s="22">
        <f t="shared" si="169"/>
        <v>18.03585026666298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304.99999999999983</v>
      </c>
      <c r="BZ200" s="13">
        <f>BY200*VLOOKUP('Données projet'!$B$12,Paramètres!$A$1:$I$89,3,0)*VLOOKUP('Données projet'!$B$12,Paramètres!$A$1:$I$89,5,0)</f>
        <v>275.96399999999983</v>
      </c>
      <c r="CA200" s="13">
        <f t="shared" si="170"/>
        <v>66.113366665488854</v>
      </c>
      <c r="CB200" s="20">
        <f t="shared" si="171"/>
        <v>595.78474694239264</v>
      </c>
      <c r="CC200" s="59">
        <f t="shared" si="195"/>
        <v>889.11808027572602</v>
      </c>
      <c r="CD200" s="59">
        <f ca="1">AVERAGE(OFFSET($CC$3,0,0,'Données projet'!$E$12+1,1))-AVERAGE(OFFSET($H$3,0,0,'Données projet'!$E$12+1,1))</f>
        <v>366.69125512029831</v>
      </c>
      <c r="CE200" s="59">
        <f t="shared" si="207"/>
        <v>513.80016421153414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5.9179311978084806E-2</v>
      </c>
      <c r="CL200" s="21">
        <f>EXP(-LN(2)/25)*CL199+(1-EXP(-LN(2)/25))/(LN(2)/25)*Calculateur!CG200*Calculateur!CI200*VLOOKUP('Données projet'!$B$12,Paramètres!$A$1:$I$89,3,0)*0.475*44/12</f>
        <v>7.2003358423588126E-2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0.13118267040167292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5.6843418860808015E-13</v>
      </c>
      <c r="CU200" s="17">
        <f>CT200*VLOOKUP('Données projet'!$B$13,Paramètres!$A$1:$I$89,3,0)*VLOOKUP('Données projet'!$B$13,Paramètres!$A$1:$I$89,5,0)</f>
        <v>3.8130565371830017E-13</v>
      </c>
      <c r="CV200" s="13">
        <f t="shared" si="173"/>
        <v>4.9019074112354236E-12</v>
      </c>
      <c r="CW200" s="20">
        <f t="shared" si="174"/>
        <v>9.2015960881277352E-12</v>
      </c>
      <c r="CX200" s="59">
        <f t="shared" si="196"/>
        <v>293.33333333334252</v>
      </c>
      <c r="CY200" s="59">
        <f ca="1">AVERAGE(OFFSET($CX$3,0,0,'Données projet'!$E$13+1,1))-AVERAGE(OFFSET($H$3,0,0,'Données projet'!$E$13+1,1))</f>
        <v>294.94331863127815</v>
      </c>
      <c r="CZ200" s="59">
        <f t="shared" si="208"/>
        <v>218.36990036643977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42.281599549713469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42.281599549713469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266.99999999999983</v>
      </c>
      <c r="DP200" s="17">
        <f>DO200*VLOOKUP('Données projet'!$B$14,Paramètres!$A$1:$I$89,3,0)*VLOOKUP('Données projet'!$B$14,Paramètres!$A$1:$I$89,5,0)</f>
        <v>195.76439999999985</v>
      </c>
      <c r="DQ200" s="13">
        <f t="shared" si="176"/>
        <v>48.812154563023455</v>
      </c>
      <c r="DR200" s="20">
        <f t="shared" si="177"/>
        <v>425.9708325305989</v>
      </c>
      <c r="DS200" s="59">
        <f t="shared" si="197"/>
        <v>719.30416586393221</v>
      </c>
      <c r="DT200" s="59">
        <f ca="1">AVERAGE(OFFSET($DS$3,0,0,'Données projet'!$E$14+1,1))-AVERAGE(OFFSET($H$3,0,0,'Données projet'!$E$14+1,1))</f>
        <v>278.45534008146865</v>
      </c>
      <c r="DU200" s="59">
        <f t="shared" si="209"/>
        <v>272.97841038165217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2.1216884129553071</v>
      </c>
      <c r="EB200" s="21">
        <f>EXP(-LN(2)/25)*EB199+(1-EXP(-LN(2)/25))/(LN(2)/25)*Calculateur!DW200*Calculateur!DY200*VLOOKUP('Données projet'!$B$14,Paramètres!$A$1:$I$89,3,0)*0.475*44/12</f>
        <v>0.24293416162072129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2.3646225745760283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5.6843418860808015E-13</v>
      </c>
      <c r="EK200" s="17">
        <f>EJ200*VLOOKUP('Données projet'!$B$15,Paramètres!$A$1:$I$89,3,0)*VLOOKUP('Données projet'!$B$15,Paramètres!$A$1:$I$89,5,0)</f>
        <v>6.1186256061773743E-13</v>
      </c>
      <c r="EL200" s="13">
        <f t="shared" si="179"/>
        <v>7.4445668332430206E-12</v>
      </c>
      <c r="EM200" s="20">
        <f t="shared" si="180"/>
        <v>1.4031614527640822E-11</v>
      </c>
      <c r="EN200" s="59">
        <f t="shared" si="198"/>
        <v>293.33333333334735</v>
      </c>
      <c r="EO200" s="59">
        <f ca="1">AVERAGE(OFFSET($EN$3,0,0,'Données projet'!$E$15+1,1))-AVERAGE(OFFSET($H$3,0,0,'Données projet'!$E$15+1,1))</f>
        <v>449.09332781196957</v>
      </c>
      <c r="EP200" s="59">
        <f t="shared" si="210"/>
        <v>324.85904971519432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55.045856017551493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55.045856017551493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5.6843418860808015E-13</v>
      </c>
      <c r="FF200" s="17">
        <f>FE200*VLOOKUP('Données projet'!$B$16,Paramètres!$A$1:$I$89,3,0)*VLOOKUP('Données projet'!$B$16,Paramètres!$A$1:$I$89,5,0)</f>
        <v>5.763922672485933E-13</v>
      </c>
      <c r="FG200" s="13">
        <f t="shared" si="182"/>
        <v>7.0619171555808457E-12</v>
      </c>
      <c r="FH200" s="20">
        <f t="shared" si="183"/>
        <v>1.3303388911427938E-11</v>
      </c>
      <c r="FI200" s="59">
        <f t="shared" si="199"/>
        <v>293.33333333334662</v>
      </c>
      <c r="FJ200" s="59">
        <f ca="1">AVERAGE(OFFSET($FI$3,0,0,'Données projet'!$E$16+1,1))-AVERAGE(OFFSET($H$3,0,0,'Données projet'!$E$16+1,1))</f>
        <v>419.51168383014721</v>
      </c>
      <c r="FK200" s="59">
        <f t="shared" si="211"/>
        <v>213.44145308833384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51.854791900591998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51.854791900591998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266.99999999999983</v>
      </c>
      <c r="GA200" s="17">
        <f>FZ200*VLOOKUP('Données projet'!$B$17,Paramètres!$A$1:$I$89,3,0)*VLOOKUP('Données projet'!$B$17,Paramètres!$A$1:$I$89,5,0)</f>
        <v>233.2511999999999</v>
      </c>
      <c r="GB200" s="13">
        <f t="shared" si="185"/>
        <v>56.985091661350864</v>
      </c>
      <c r="GC200" s="20">
        <f t="shared" si="186"/>
        <v>505.49487464351915</v>
      </c>
      <c r="GD200" s="59">
        <f t="shared" si="200"/>
        <v>798.82820797685247</v>
      </c>
      <c r="GE200" s="59">
        <f ca="1">AVERAGE(OFFSET($GD$3,0,0,'Données projet'!$E$17+1,1))-AVERAGE(OFFSET($H$3,0,0,'Données projet'!$E$17+1,1))</f>
        <v>324.86930206492627</v>
      </c>
      <c r="GF200" s="59">
        <f t="shared" si="212"/>
        <v>317.03005098025352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3.115868980530109</v>
      </c>
      <c r="GM200" s="21">
        <f>EXP(-LN(2)/25)*GM199+(1-EXP(-LN(2)/25))/(LN(2)/25)*Calculateur!GH200*Calculateur!GJ200*VLOOKUP('Données projet'!$B$17,Paramètres!$A$1:$I$89,3,0)*0.475*44/12</f>
        <v>0.35676822943607167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3.4726372099661806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5.6843418860808015E-13</v>
      </c>
      <c r="GV200" s="17">
        <f>GU200*VLOOKUP('Données projet'!$B$18,Paramètres!$A$1:$I$89,3,0)*VLOOKUP('Données projet'!$B$18,Paramètres!$A$1:$I$89,5,0)</f>
        <v>5.4092197387944907E-13</v>
      </c>
      <c r="GW200" s="13">
        <f t="shared" si="188"/>
        <v>6.6765148417791561E-12</v>
      </c>
      <c r="GX200" s="20">
        <f t="shared" si="189"/>
        <v>1.2570369120605403E-11</v>
      </c>
      <c r="GY200" s="59">
        <f t="shared" si="201"/>
        <v>293.33333333334588</v>
      </c>
      <c r="GZ200" s="59">
        <f ca="1">AVERAGE(OFFSET($GY$3,0,0,'Données projet'!$E$18+1,1))-AVERAGE(OFFSET($H$3,0,0,'Données projet'!$E$18+1,1))</f>
        <v>401.81944956556271</v>
      </c>
      <c r="HA200" s="59">
        <f t="shared" si="213"/>
        <v>292.20785523952651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48.663727783632545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48.663727783632545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5.1431925385259092E-13</v>
      </c>
      <c r="P201" s="13">
        <f t="shared" si="203"/>
        <v>6.3855359115685756E-12</v>
      </c>
      <c r="Q201" s="20">
        <f t="shared" si="162"/>
        <v>1.2017247746441865E-11</v>
      </c>
      <c r="R201" s="59">
        <f t="shared" si="191"/>
        <v>293.33333333334531</v>
      </c>
      <c r="S201" s="59">
        <f ca="1">AVERAGE(OFFSET($R$3,0,0,'Données projet'!$E$9+1,1))-AVERAGE(OFFSET($H$3,0,0,'Données projet'!$E$9+1,1))</f>
        <v>384.05928630855732</v>
      </c>
      <c r="T201" s="59">
        <f t="shared" si="204"/>
        <v>279.93992813630513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-6.3550942286383367E-14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335.04906256888819</v>
      </c>
      <c r="AO201" s="59">
        <f t="shared" si="205"/>
        <v>440.84111898279554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13.348938725010436</v>
      </c>
      <c r="AV201" s="21">
        <f>EXP(-LN(2)/25)*AV200+(1-EXP(-LN(2)/25))/(LN(2)/25)*Calculateur!AQ201*Calculateur!AS201*VLOOKUP('Données projet'!$B$10,Paramètres!$A$1:$I$89,3,0)*0.475*44/12</f>
        <v>1.0929211067072795</v>
      </c>
      <c r="AW201" s="21">
        <f>EXP(-LN(2)/2)*AW200+(1-EXP(-LN(2)/2))/(LN(2)/2)*AQ201*AT201*VLOOKUP('Données projet'!$B$10,Paramètres!$A$1:$I$89,3,0)*0.475*44/12</f>
        <v>1.0230332526333016E-20</v>
      </c>
      <c r="AX201" s="21">
        <f t="shared" si="166"/>
        <v>14.441859831717716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-1.4210854715202004E-13</v>
      </c>
      <c r="BE201" s="13">
        <f>BD201*VLOOKUP('Données projet'!$B$11,Paramètres!$A$1:$I$89,3,0)*VLOOKUP('Données projet'!$B$11,Paramètres!$A$1:$I$89,5,0)</f>
        <v>-8.128608897095547E-14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320.76883487964511</v>
      </c>
      <c r="BJ201" s="59">
        <f t="shared" si="206"/>
        <v>290.51177680335746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15.999186037911882</v>
      </c>
      <c r="BQ201" s="21">
        <f>EXP(-LN(2)/25)*BQ200+(1-EXP(-LN(2)/25))/(LN(2)/25)*Calculateur!BL201*Calculateur!BN201*VLOOKUP('Données projet'!$B$11,Paramètres!$A$1:$I$89,3,0)*0.475*44/12</f>
        <v>1.6697127439158039</v>
      </c>
      <c r="BR201" s="21">
        <f>EXP(-LN(2)/2)*BR200+(1-EXP(-LN(2)/2))/(LN(2)/2)*BL201*BO201*VLOOKUP('Données projet'!$B$11,Paramètres!$A$1:$I$89,3,0)*0.475*44/12</f>
        <v>1.7664945789051654E-15</v>
      </c>
      <c r="BS201" s="22">
        <f t="shared" si="169"/>
        <v>17.668898781827686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304.99999999999983</v>
      </c>
      <c r="BZ201" s="13">
        <f>BY201*VLOOKUP('Données projet'!$B$12,Paramètres!$A$1:$I$89,3,0)*VLOOKUP('Données projet'!$B$12,Paramètres!$A$1:$I$89,5,0)</f>
        <v>275.96399999999983</v>
      </c>
      <c r="CA201" s="13">
        <f t="shared" si="170"/>
        <v>66.113366665488854</v>
      </c>
      <c r="CB201" s="20">
        <f t="shared" si="171"/>
        <v>595.78474694239264</v>
      </c>
      <c r="CC201" s="59">
        <f t="shared" si="195"/>
        <v>889.11808027572602</v>
      </c>
      <c r="CD201" s="59">
        <f ca="1">AVERAGE(OFFSET($CC$3,0,0,'Données projet'!$E$12+1,1))-AVERAGE(OFFSET($H$3,0,0,'Données projet'!$E$12+1,1))</f>
        <v>366.69125512029831</v>
      </c>
      <c r="CE201" s="59">
        <f t="shared" si="207"/>
        <v>513.80016421153414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5.8018841766010701E-2</v>
      </c>
      <c r="CL201" s="21">
        <f>EXP(-LN(2)/25)*CL200+(1-EXP(-LN(2)/25))/(LN(2)/25)*Calculateur!CG201*Calculateur!CI201*VLOOKUP('Données projet'!$B$12,Paramètres!$A$1:$I$89,3,0)*0.475*44/12</f>
        <v>7.0034422801003055E-2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0.12805326456701377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5.6843418860808015E-13</v>
      </c>
      <c r="CU201" s="17">
        <f>CT201*VLOOKUP('Données projet'!$B$13,Paramètres!$A$1:$I$89,3,0)*VLOOKUP('Données projet'!$B$13,Paramètres!$A$1:$I$89,5,0)</f>
        <v>3.8130565371830017E-13</v>
      </c>
      <c r="CV201" s="13">
        <f t="shared" si="173"/>
        <v>4.9019074112354236E-12</v>
      </c>
      <c r="CW201" s="20">
        <f t="shared" si="174"/>
        <v>9.2015960881277352E-12</v>
      </c>
      <c r="CX201" s="59">
        <f t="shared" si="196"/>
        <v>293.33333333334252</v>
      </c>
      <c r="CY201" s="59">
        <f ca="1">AVERAGE(OFFSET($CX$3,0,0,'Données projet'!$E$13+1,1))-AVERAGE(OFFSET($H$3,0,0,'Données projet'!$E$13+1,1))</f>
        <v>294.94331863127815</v>
      </c>
      <c r="CZ201" s="59">
        <f t="shared" si="208"/>
        <v>218.36990036643977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41.45248317177284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41.45248317177284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266.99999999999983</v>
      </c>
      <c r="DP201" s="17">
        <f>DO201*VLOOKUP('Données projet'!$B$14,Paramètres!$A$1:$I$89,3,0)*VLOOKUP('Données projet'!$B$14,Paramètres!$A$1:$I$89,5,0)</f>
        <v>195.76439999999985</v>
      </c>
      <c r="DQ201" s="13">
        <f t="shared" si="176"/>
        <v>48.812154563023455</v>
      </c>
      <c r="DR201" s="20">
        <f t="shared" si="177"/>
        <v>425.9708325305989</v>
      </c>
      <c r="DS201" s="59">
        <f t="shared" si="197"/>
        <v>719.30416586393221</v>
      </c>
      <c r="DT201" s="59">
        <f ca="1">AVERAGE(OFFSET($DS$3,0,0,'Données projet'!$E$14+1,1))-AVERAGE(OFFSET($H$3,0,0,'Données projet'!$E$14+1,1))</f>
        <v>278.45534008146865</v>
      </c>
      <c r="DU201" s="59">
        <f t="shared" si="209"/>
        <v>272.97841038165217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2.0800833972794033</v>
      </c>
      <c r="EB201" s="21">
        <f>EXP(-LN(2)/25)*EB200+(1-EXP(-LN(2)/25))/(LN(2)/25)*Calculateur!DW201*Calculateur!DY201*VLOOKUP('Données projet'!$B$14,Paramètres!$A$1:$I$89,3,0)*0.475*44/12</f>
        <v>0.23629111419585033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2.3163745114752534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5.6843418860808015E-13</v>
      </c>
      <c r="EK201" s="17">
        <f>EJ201*VLOOKUP('Données projet'!$B$15,Paramètres!$A$1:$I$89,3,0)*VLOOKUP('Données projet'!$B$15,Paramètres!$A$1:$I$89,5,0)</f>
        <v>6.1186256061773743E-13</v>
      </c>
      <c r="EL201" s="13">
        <f t="shared" si="179"/>
        <v>7.4445668332430206E-12</v>
      </c>
      <c r="EM201" s="20">
        <f t="shared" si="180"/>
        <v>1.4031614527640822E-11</v>
      </c>
      <c r="EN201" s="59">
        <f t="shared" si="198"/>
        <v>293.33333333334735</v>
      </c>
      <c r="EO201" s="59">
        <f ca="1">AVERAGE(OFFSET($EN$3,0,0,'Données projet'!$E$15+1,1))-AVERAGE(OFFSET($H$3,0,0,'Données projet'!$E$15+1,1))</f>
        <v>449.09332781196957</v>
      </c>
      <c r="EP201" s="59">
        <f t="shared" si="210"/>
        <v>324.85904971519432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53.966440355704258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53.966440355704258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5.6843418860808015E-13</v>
      </c>
      <c r="FF201" s="17">
        <f>FE201*VLOOKUP('Données projet'!$B$16,Paramètres!$A$1:$I$89,3,0)*VLOOKUP('Données projet'!$B$16,Paramètres!$A$1:$I$89,5,0)</f>
        <v>5.763922672485933E-13</v>
      </c>
      <c r="FG201" s="13">
        <f t="shared" si="182"/>
        <v>7.0619171555808457E-12</v>
      </c>
      <c r="FH201" s="20">
        <f t="shared" si="183"/>
        <v>1.3303388911427938E-11</v>
      </c>
      <c r="FI201" s="59">
        <f t="shared" si="199"/>
        <v>293.33333333334662</v>
      </c>
      <c r="FJ201" s="59">
        <f ca="1">AVERAGE(OFFSET($FI$3,0,0,'Données projet'!$E$16+1,1))-AVERAGE(OFFSET($H$3,0,0,'Données projet'!$E$16+1,1))</f>
        <v>419.51168383014721</v>
      </c>
      <c r="FK201" s="59">
        <f t="shared" si="211"/>
        <v>213.44145308833384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50.837951059721412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50.837951059721412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266.99999999999983</v>
      </c>
      <c r="GA201" s="17">
        <f>FZ201*VLOOKUP('Données projet'!$B$17,Paramètres!$A$1:$I$89,3,0)*VLOOKUP('Données projet'!$B$17,Paramètres!$A$1:$I$89,5,0)</f>
        <v>233.2511999999999</v>
      </c>
      <c r="GB201" s="13">
        <f t="shared" si="185"/>
        <v>56.985091661350864</v>
      </c>
      <c r="GC201" s="20">
        <f t="shared" si="186"/>
        <v>505.49487464351915</v>
      </c>
      <c r="GD201" s="59">
        <f t="shared" si="200"/>
        <v>798.82820797685247</v>
      </c>
      <c r="GE201" s="59">
        <f ca="1">AVERAGE(OFFSET($GD$3,0,0,'Données projet'!$E$17+1,1))-AVERAGE(OFFSET($H$3,0,0,'Données projet'!$E$17+1,1))</f>
        <v>324.86930206492627</v>
      </c>
      <c r="GF201" s="59">
        <f t="shared" si="212"/>
        <v>317.03005098025352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3.0547686903143334</v>
      </c>
      <c r="GM201" s="21">
        <f>EXP(-LN(2)/25)*GM200+(1-EXP(-LN(2)/25))/(LN(2)/25)*Calculateur!GH201*Calculateur!GJ201*VLOOKUP('Données projet'!$B$17,Paramètres!$A$1:$I$89,3,0)*0.475*44/12</f>
        <v>0.34701238344051649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3.4017810737548499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5.6843418860808015E-13</v>
      </c>
      <c r="GV201" s="17">
        <f>GU201*VLOOKUP('Données projet'!$B$18,Paramètres!$A$1:$I$89,3,0)*VLOOKUP('Données projet'!$B$18,Paramètres!$A$1:$I$89,5,0)</f>
        <v>5.4092197387944907E-13</v>
      </c>
      <c r="GW201" s="13">
        <f t="shared" si="188"/>
        <v>6.6765148417791561E-12</v>
      </c>
      <c r="GX201" s="20">
        <f t="shared" si="189"/>
        <v>1.2570369120605403E-11</v>
      </c>
      <c r="GY201" s="59">
        <f t="shared" si="201"/>
        <v>293.33333333334588</v>
      </c>
      <c r="GZ201" s="59">
        <f ca="1">AVERAGE(OFFSET($GY$3,0,0,'Données projet'!$E$18+1,1))-AVERAGE(OFFSET($H$3,0,0,'Données projet'!$E$18+1,1))</f>
        <v>401.81944956556271</v>
      </c>
      <c r="HA201" s="59">
        <f t="shared" si="213"/>
        <v>292.20785523952651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47.709461763738609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47.709461763738609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5.1431925385259092E-13</v>
      </c>
      <c r="P202" s="13">
        <f t="shared" si="203"/>
        <v>6.3855359115685756E-12</v>
      </c>
      <c r="Q202" s="20">
        <f t="shared" si="162"/>
        <v>1.2017247746441865E-11</v>
      </c>
      <c r="R202" s="59">
        <f t="shared" si="191"/>
        <v>293.33333333334531</v>
      </c>
      <c r="S202" s="59">
        <f ca="1">AVERAGE(OFFSET($R$3,0,0,'Données projet'!$E$9+1,1))-AVERAGE(OFFSET($H$3,0,0,'Données projet'!$E$9+1,1))</f>
        <v>384.05928630855732</v>
      </c>
      <c r="T202" s="59">
        <f t="shared" si="204"/>
        <v>279.93992813630513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-6.3550942286383367E-14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335.04906256888819</v>
      </c>
      <c r="AO202" s="59">
        <f t="shared" si="205"/>
        <v>440.84111898279554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13.087174178661643</v>
      </c>
      <c r="AV202" s="21">
        <f>EXP(-LN(2)/25)*AV201+(1-EXP(-LN(2)/25))/(LN(2)/25)*Calculateur!AQ202*Calculateur!AS202*VLOOKUP('Données projet'!$B$10,Paramètres!$A$1:$I$89,3,0)*0.475*44/12</f>
        <v>1.0630351215701459</v>
      </c>
      <c r="AW202" s="21">
        <f>EXP(-LN(2)/2)*AW201+(1-EXP(-LN(2)/2))/(LN(2)/2)*AQ202*AT202*VLOOKUP('Données projet'!$B$10,Paramètres!$A$1:$I$89,3,0)*0.475*44/12</f>
        <v>7.2339375031633799E-21</v>
      </c>
      <c r="AX202" s="21">
        <f t="shared" si="166"/>
        <v>14.150209300231788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-1.4210854715202004E-13</v>
      </c>
      <c r="BE202" s="13">
        <f>BD202*VLOOKUP('Données projet'!$B$11,Paramètres!$A$1:$I$89,3,0)*VLOOKUP('Données projet'!$B$11,Paramètres!$A$1:$I$89,5,0)</f>
        <v>-8.128608897095547E-14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320.76883487964511</v>
      </c>
      <c r="BJ202" s="59">
        <f t="shared" si="206"/>
        <v>290.51177680335746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15.685451758248337</v>
      </c>
      <c r="BQ202" s="21">
        <f>EXP(-LN(2)/25)*BQ201+(1-EXP(-LN(2)/25))/(LN(2)/25)*Calculateur!BL202*Calculateur!BN202*VLOOKUP('Données projet'!$B$11,Paramètres!$A$1:$I$89,3,0)*0.475*44/12</f>
        <v>1.6240543611270493</v>
      </c>
      <c r="BR202" s="21">
        <f>EXP(-LN(2)/2)*BR201+(1-EXP(-LN(2)/2))/(LN(2)/2)*BL202*BO202*VLOOKUP('Données projet'!$B$11,Paramètres!$A$1:$I$89,3,0)*0.475*44/12</f>
        <v>1.2491002956731173E-15</v>
      </c>
      <c r="BS202" s="22">
        <f t="shared" si="169"/>
        <v>17.309506119375385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304.99999999999983</v>
      </c>
      <c r="BZ202" s="13">
        <f>BY202*VLOOKUP('Données projet'!$B$12,Paramètres!$A$1:$I$89,3,0)*VLOOKUP('Données projet'!$B$12,Paramètres!$A$1:$I$89,5,0)</f>
        <v>275.96399999999983</v>
      </c>
      <c r="CA202" s="13">
        <f t="shared" si="170"/>
        <v>66.113366665488854</v>
      </c>
      <c r="CB202" s="20">
        <f t="shared" si="171"/>
        <v>595.78474694239264</v>
      </c>
      <c r="CC202" s="59">
        <f t="shared" si="195"/>
        <v>889.11808027572602</v>
      </c>
      <c r="CD202" s="59">
        <f ca="1">AVERAGE(OFFSET($CC$3,0,0,'Données projet'!$E$12+1,1))-AVERAGE(OFFSET($H$3,0,0,'Données projet'!$E$12+1,1))</f>
        <v>366.69125512029831</v>
      </c>
      <c r="CE202" s="59">
        <f t="shared" si="207"/>
        <v>513.80016421153414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5.6881127666978434E-2</v>
      </c>
      <c r="CL202" s="21">
        <f>EXP(-LN(2)/25)*CL201+(1-EXP(-LN(2)/25))/(LN(2)/25)*Calculateur!CG202*Calculateur!CI202*VLOOKUP('Données projet'!$B$12,Paramètres!$A$1:$I$89,3,0)*0.475*44/12</f>
        <v>6.8119327826559398E-2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0.12500045549353783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5.6843418860808015E-13</v>
      </c>
      <c r="CU202" s="17">
        <f>CT202*VLOOKUP('Données projet'!$B$13,Paramètres!$A$1:$I$89,3,0)*VLOOKUP('Données projet'!$B$13,Paramètres!$A$1:$I$89,5,0)</f>
        <v>3.8130565371830017E-13</v>
      </c>
      <c r="CV202" s="13">
        <f t="shared" si="173"/>
        <v>4.9019074112354236E-12</v>
      </c>
      <c r="CW202" s="20">
        <f t="shared" si="174"/>
        <v>9.2015960881277352E-12</v>
      </c>
      <c r="CX202" s="59">
        <f t="shared" si="196"/>
        <v>293.33333333334252</v>
      </c>
      <c r="CY202" s="59">
        <f ca="1">AVERAGE(OFFSET($CX$3,0,0,'Données projet'!$E$13+1,1))-AVERAGE(OFFSET($H$3,0,0,'Données projet'!$E$13+1,1))</f>
        <v>294.94331863127815</v>
      </c>
      <c r="CZ202" s="59">
        <f t="shared" si="208"/>
        <v>218.36990036643977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40.639625260292568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40.639625260292568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266.99999999999983</v>
      </c>
      <c r="DP202" s="17">
        <f>DO202*VLOOKUP('Données projet'!$B$14,Paramètres!$A$1:$I$89,3,0)*VLOOKUP('Données projet'!$B$14,Paramètres!$A$1:$I$89,5,0)</f>
        <v>195.76439999999985</v>
      </c>
      <c r="DQ202" s="13">
        <f t="shared" si="176"/>
        <v>48.812154563023455</v>
      </c>
      <c r="DR202" s="20">
        <f t="shared" si="177"/>
        <v>425.9708325305989</v>
      </c>
      <c r="DS202" s="59">
        <f t="shared" si="197"/>
        <v>719.30416586393221</v>
      </c>
      <c r="DT202" s="59">
        <f ca="1">AVERAGE(OFFSET($DS$3,0,0,'Données projet'!$E$14+1,1))-AVERAGE(OFFSET($H$3,0,0,'Données projet'!$E$14+1,1))</f>
        <v>278.45534008146865</v>
      </c>
      <c r="DU202" s="59">
        <f t="shared" si="209"/>
        <v>272.97841038165217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2.0392942305843502</v>
      </c>
      <c r="EB202" s="21">
        <f>EXP(-LN(2)/25)*EB201+(1-EXP(-LN(2)/25))/(LN(2)/25)*Calculateur!DW202*Calculateur!DY202*VLOOKUP('Données projet'!$B$14,Paramètres!$A$1:$I$89,3,0)*0.475*44/12</f>
        <v>0.22982972125215517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2.2691239518365052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5.6843418860808015E-13</v>
      </c>
      <c r="EK202" s="17">
        <f>EJ202*VLOOKUP('Données projet'!$B$15,Paramètres!$A$1:$I$89,3,0)*VLOOKUP('Données projet'!$B$15,Paramètres!$A$1:$I$89,5,0)</f>
        <v>6.1186256061773743E-13</v>
      </c>
      <c r="EL202" s="13">
        <f t="shared" si="179"/>
        <v>7.4445668332430206E-12</v>
      </c>
      <c r="EM202" s="20">
        <f t="shared" si="180"/>
        <v>1.4031614527640822E-11</v>
      </c>
      <c r="EN202" s="59">
        <f t="shared" si="198"/>
        <v>293.33333333334735</v>
      </c>
      <c r="EO202" s="59">
        <f ca="1">AVERAGE(OFFSET($EN$3,0,0,'Données projet'!$E$15+1,1))-AVERAGE(OFFSET($H$3,0,0,'Données projet'!$E$15+1,1))</f>
        <v>449.09332781196957</v>
      </c>
      <c r="EP202" s="59">
        <f t="shared" si="210"/>
        <v>324.85904971519432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52.908191376607299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52.908191376607299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5.6843418860808015E-13</v>
      </c>
      <c r="FF202" s="17">
        <f>FE202*VLOOKUP('Données projet'!$B$16,Paramètres!$A$1:$I$89,3,0)*VLOOKUP('Données projet'!$B$16,Paramètres!$A$1:$I$89,5,0)</f>
        <v>5.763922672485933E-13</v>
      </c>
      <c r="FG202" s="13">
        <f t="shared" si="182"/>
        <v>7.0619171555808457E-12</v>
      </c>
      <c r="FH202" s="20">
        <f t="shared" si="183"/>
        <v>1.3303388911427938E-11</v>
      </c>
      <c r="FI202" s="59">
        <f t="shared" si="199"/>
        <v>293.33333333334662</v>
      </c>
      <c r="FJ202" s="59">
        <f ca="1">AVERAGE(OFFSET($FI$3,0,0,'Données projet'!$E$16+1,1))-AVERAGE(OFFSET($H$3,0,0,'Données projet'!$E$16+1,1))</f>
        <v>419.51168383014721</v>
      </c>
      <c r="FK202" s="59">
        <f t="shared" si="211"/>
        <v>213.44145308833384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49.84104984752863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49.84104984752863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266.99999999999983</v>
      </c>
      <c r="GA202" s="17">
        <f>FZ202*VLOOKUP('Données projet'!$B$17,Paramètres!$A$1:$I$89,3,0)*VLOOKUP('Données projet'!$B$17,Paramètres!$A$1:$I$89,5,0)</f>
        <v>233.2511999999999</v>
      </c>
      <c r="GB202" s="13">
        <f t="shared" si="185"/>
        <v>56.985091661350864</v>
      </c>
      <c r="GC202" s="20">
        <f t="shared" si="186"/>
        <v>505.49487464351915</v>
      </c>
      <c r="GD202" s="59">
        <f t="shared" si="200"/>
        <v>798.82820797685247</v>
      </c>
      <c r="GE202" s="59">
        <f ca="1">AVERAGE(OFFSET($GD$3,0,0,'Données projet'!$E$17+1,1))-AVERAGE(OFFSET($H$3,0,0,'Données projet'!$E$17+1,1))</f>
        <v>324.86930206492627</v>
      </c>
      <c r="GF202" s="59">
        <f t="shared" si="212"/>
        <v>317.03005098025352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2.9948665395221923</v>
      </c>
      <c r="GM202" s="21">
        <f>EXP(-LN(2)/25)*GM201+(1-EXP(-LN(2)/25))/(LN(2)/25)*Calculateur!GH202*Calculateur!GJ202*VLOOKUP('Données projet'!$B$17,Paramètres!$A$1:$I$89,3,0)*0.475*44/12</f>
        <v>0.33752331156674742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3.3323898510889398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5.6843418860808015E-13</v>
      </c>
      <c r="GV202" s="17">
        <f>GU202*VLOOKUP('Données projet'!$B$18,Paramètres!$A$1:$I$89,3,0)*VLOOKUP('Données projet'!$B$18,Paramètres!$A$1:$I$89,5,0)</f>
        <v>5.4092197387944907E-13</v>
      </c>
      <c r="GW202" s="13">
        <f t="shared" si="188"/>
        <v>6.6765148417791561E-12</v>
      </c>
      <c r="GX202" s="20">
        <f t="shared" si="189"/>
        <v>1.2570369120605403E-11</v>
      </c>
      <c r="GY202" s="59">
        <f t="shared" si="201"/>
        <v>293.33333333334588</v>
      </c>
      <c r="GZ202" s="59">
        <f ca="1">AVERAGE(OFFSET($GY$3,0,0,'Données projet'!$E$18+1,1))-AVERAGE(OFFSET($H$3,0,0,'Données projet'!$E$18+1,1))</f>
        <v>401.81944956556271</v>
      </c>
      <c r="HA202" s="59">
        <f t="shared" si="213"/>
        <v>292.20785523952651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46.773908318449998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46.773908318449998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5.1431925385259092E-13</v>
      </c>
      <c r="P203" s="13">
        <f t="shared" si="203"/>
        <v>6.3855359115685756E-12</v>
      </c>
      <c r="Q203" s="20">
        <f t="shared" si="162"/>
        <v>1.2017247746441865E-11</v>
      </c>
      <c r="R203" s="59">
        <f t="shared" si="191"/>
        <v>293.33333333334531</v>
      </c>
      <c r="S203" s="59">
        <f ca="1">AVERAGE(OFFSET($R$3,0,0,'Données projet'!$E$9+1,1))-AVERAGE(OFFSET($H$3,0,0,'Données projet'!$E$9+1,1))</f>
        <v>384.05928630855732</v>
      </c>
      <c r="T203" s="59">
        <f t="shared" si="204"/>
        <v>279.93992813630513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-6.3550942286383367E-14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335.04906256888819</v>
      </c>
      <c r="AO203" s="59">
        <f t="shared" si="205"/>
        <v>440.84111898279554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12.830542675406141</v>
      </c>
      <c r="AV203" s="21">
        <f>EXP(-LN(2)/25)*AV202+(1-EXP(-LN(2)/25))/(LN(2)/25)*Calculateur!AQ203*Calculateur!AS203*VLOOKUP('Données projet'!$B$10,Paramètres!$A$1:$I$89,3,0)*0.475*44/12</f>
        <v>1.0339663702682229</v>
      </c>
      <c r="AW203" s="21">
        <f>EXP(-LN(2)/2)*AW202+(1-EXP(-LN(2)/2))/(LN(2)/2)*AQ203*AT203*VLOOKUP('Données projet'!$B$10,Paramètres!$A$1:$I$89,3,0)*0.475*44/12</f>
        <v>5.115166263166508E-21</v>
      </c>
      <c r="AX203" s="21">
        <f t="shared" si="166"/>
        <v>13.864509045674364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-1.4210854715202004E-13</v>
      </c>
      <c r="BE203" s="13">
        <f>BD203*VLOOKUP('Données projet'!$B$11,Paramètres!$A$1:$I$89,3,0)*VLOOKUP('Données projet'!$B$11,Paramètres!$A$1:$I$89,5,0)</f>
        <v>-8.128608897095547E-14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320.76883487964511</v>
      </c>
      <c r="BJ203" s="59">
        <f t="shared" si="206"/>
        <v>290.51177680335746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15.37786961644998</v>
      </c>
      <c r="BQ203" s="21">
        <f>EXP(-LN(2)/25)*BQ202+(1-EXP(-LN(2)/25))/(LN(2)/25)*Calculateur!BL203*Calculateur!BN203*VLOOKUP('Données projet'!$B$11,Paramètres!$A$1:$I$89,3,0)*0.475*44/12</f>
        <v>1.5796445092167231</v>
      </c>
      <c r="BR203" s="21">
        <f>EXP(-LN(2)/2)*BR202+(1-EXP(-LN(2)/2))/(LN(2)/2)*BL203*BO203*VLOOKUP('Données projet'!$B$11,Paramètres!$A$1:$I$89,3,0)*0.475*44/12</f>
        <v>8.8324728945258289E-16</v>
      </c>
      <c r="BS203" s="22">
        <f t="shared" si="169"/>
        <v>16.957514125666702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304.99999999999983</v>
      </c>
      <c r="BZ203" s="13">
        <f>BY203*VLOOKUP('Données projet'!$B$12,Paramètres!$A$1:$I$89,3,0)*VLOOKUP('Données projet'!$B$12,Paramètres!$A$1:$I$89,5,0)</f>
        <v>275.96399999999983</v>
      </c>
      <c r="CA203" s="13">
        <f t="shared" si="170"/>
        <v>66.113366665488854</v>
      </c>
      <c r="CB203" s="20">
        <f t="shared" si="171"/>
        <v>595.78474694239264</v>
      </c>
      <c r="CC203" s="59">
        <f t="shared" si="195"/>
        <v>889.11808027572602</v>
      </c>
      <c r="CD203" s="59">
        <f ca="1">AVERAGE(OFFSET($CC$3,0,0,'Données projet'!$E$12+1,1))-AVERAGE(OFFSET($H$3,0,0,'Données projet'!$E$12+1,1))</f>
        <v>366.69125512029831</v>
      </c>
      <c r="CE203" s="59">
        <f t="shared" si="207"/>
        <v>513.80016421153414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5.576572344749111E-2</v>
      </c>
      <c r="CL203" s="21">
        <f>EXP(-LN(2)/25)*CL202+(1-EXP(-LN(2)/25))/(LN(2)/25)*Calculateur!CG203*Calculateur!CI203*VLOOKUP('Données projet'!$B$12,Paramètres!$A$1:$I$89,3,0)*0.475*44/12</f>
        <v>6.6256601224902373E-2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0.12202232467239349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5.6843418860808015E-13</v>
      </c>
      <c r="CU203" s="17">
        <f>CT203*VLOOKUP('Données projet'!$B$13,Paramètres!$A$1:$I$89,3,0)*VLOOKUP('Données projet'!$B$13,Paramètres!$A$1:$I$89,5,0)</f>
        <v>3.8130565371830017E-13</v>
      </c>
      <c r="CV203" s="13">
        <f t="shared" si="173"/>
        <v>4.9019074112354236E-12</v>
      </c>
      <c r="CW203" s="20">
        <f t="shared" si="174"/>
        <v>9.2015960881277352E-12</v>
      </c>
      <c r="CX203" s="59">
        <f t="shared" si="196"/>
        <v>293.33333333334252</v>
      </c>
      <c r="CY203" s="59">
        <f ca="1">AVERAGE(OFFSET($CX$3,0,0,'Données projet'!$E$13+1,1))-AVERAGE(OFFSET($H$3,0,0,'Données projet'!$E$13+1,1))</f>
        <v>294.94331863127815</v>
      </c>
      <c r="CZ203" s="59">
        <f t="shared" si="208"/>
        <v>218.36990036643977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39.842706996662052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39.842706996662052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266.99999999999983</v>
      </c>
      <c r="DP203" s="17">
        <f>DO203*VLOOKUP('Données projet'!$B$14,Paramètres!$A$1:$I$89,3,0)*VLOOKUP('Données projet'!$B$14,Paramètres!$A$1:$I$89,5,0)</f>
        <v>195.76439999999985</v>
      </c>
      <c r="DQ203" s="13">
        <f t="shared" si="176"/>
        <v>48.812154563023455</v>
      </c>
      <c r="DR203" s="20">
        <f t="shared" si="177"/>
        <v>425.9708325305989</v>
      </c>
      <c r="DS203" s="59">
        <f t="shared" si="197"/>
        <v>719.30416586393221</v>
      </c>
      <c r="DT203" s="59">
        <f ca="1">AVERAGE(OFFSET($DS$3,0,0,'Données projet'!$E$14+1,1))-AVERAGE(OFFSET($H$3,0,0,'Données projet'!$E$14+1,1))</f>
        <v>278.45534008146865</v>
      </c>
      <c r="DU203" s="59">
        <f t="shared" si="209"/>
        <v>272.97841038165217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1.9993049145692521</v>
      </c>
      <c r="EB203" s="21">
        <f>EXP(-LN(2)/25)*EB202+(1-EXP(-LN(2)/25))/(LN(2)/25)*Calculateur!DW203*Calculateur!DY203*VLOOKUP('Données projet'!$B$14,Paramètres!$A$1:$I$89,3,0)*0.475*44/12</f>
        <v>0.22354501543829522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2.2228499300075475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5.6843418860808015E-13</v>
      </c>
      <c r="EK203" s="17">
        <f>EJ203*VLOOKUP('Données projet'!$B$15,Paramètres!$A$1:$I$89,3,0)*VLOOKUP('Données projet'!$B$15,Paramètres!$A$1:$I$89,5,0)</f>
        <v>6.1186256061773743E-13</v>
      </c>
      <c r="EL203" s="13">
        <f t="shared" si="179"/>
        <v>7.4445668332430206E-12</v>
      </c>
      <c r="EM203" s="20">
        <f t="shared" si="180"/>
        <v>1.4031614527640822E-11</v>
      </c>
      <c r="EN203" s="59">
        <f t="shared" si="198"/>
        <v>293.33333333334735</v>
      </c>
      <c r="EO203" s="59">
        <f ca="1">AVERAGE(OFFSET($EN$3,0,0,'Données projet'!$E$15+1,1))-AVERAGE(OFFSET($H$3,0,0,'Données projet'!$E$15+1,1))</f>
        <v>449.09332781196957</v>
      </c>
      <c r="EP203" s="59">
        <f t="shared" si="210"/>
        <v>324.85904971519432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51.870694014522293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51.870694014522293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5.6843418860808015E-13</v>
      </c>
      <c r="FF203" s="17">
        <f>FE203*VLOOKUP('Données projet'!$B$16,Paramètres!$A$1:$I$89,3,0)*VLOOKUP('Données projet'!$B$16,Paramètres!$A$1:$I$89,5,0)</f>
        <v>5.763922672485933E-13</v>
      </c>
      <c r="FG203" s="13">
        <f t="shared" si="182"/>
        <v>7.0619171555808457E-12</v>
      </c>
      <c r="FH203" s="20">
        <f t="shared" si="183"/>
        <v>1.3303388911427938E-11</v>
      </c>
      <c r="FI203" s="59">
        <f t="shared" si="199"/>
        <v>293.33333333334662</v>
      </c>
      <c r="FJ203" s="59">
        <f ca="1">AVERAGE(OFFSET($FI$3,0,0,'Données projet'!$E$16+1,1))-AVERAGE(OFFSET($H$3,0,0,'Données projet'!$E$16+1,1))</f>
        <v>419.51168383014721</v>
      </c>
      <c r="FK203" s="59">
        <f t="shared" si="211"/>
        <v>213.44145308833384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48.863697260057243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48.863697260057243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266.99999999999983</v>
      </c>
      <c r="GA203" s="17">
        <f>FZ203*VLOOKUP('Données projet'!$B$17,Paramètres!$A$1:$I$89,3,0)*VLOOKUP('Données projet'!$B$17,Paramètres!$A$1:$I$89,5,0)</f>
        <v>233.2511999999999</v>
      </c>
      <c r="GB203" s="13">
        <f t="shared" si="185"/>
        <v>56.985091661350864</v>
      </c>
      <c r="GC203" s="20">
        <f t="shared" si="186"/>
        <v>505.49487464351915</v>
      </c>
      <c r="GD203" s="59">
        <f t="shared" si="200"/>
        <v>798.82820797685247</v>
      </c>
      <c r="GE203" s="59">
        <f ca="1">AVERAGE(OFFSET($GD$3,0,0,'Données projet'!$E$17+1,1))-AVERAGE(OFFSET($H$3,0,0,'Données projet'!$E$17+1,1))</f>
        <v>324.86930206492627</v>
      </c>
      <c r="GF203" s="59">
        <f t="shared" si="212"/>
        <v>317.03005098025352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2.9361390333703805</v>
      </c>
      <c r="GM203" s="21">
        <f>EXP(-LN(2)/25)*GM202+(1-EXP(-LN(2)/25))/(LN(2)/25)*Calculateur!GH203*Calculateur!GJ203*VLOOKUP('Données projet'!$B$17,Paramètres!$A$1:$I$89,3,0)*0.475*44/12</f>
        <v>0.32829371886237518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3.2644327522327559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5.6843418860808015E-13</v>
      </c>
      <c r="GV203" s="17">
        <f>GU203*VLOOKUP('Données projet'!$B$18,Paramètres!$A$1:$I$89,3,0)*VLOOKUP('Données projet'!$B$18,Paramètres!$A$1:$I$89,5,0)</f>
        <v>5.4092197387944907E-13</v>
      </c>
      <c r="GW203" s="13">
        <f t="shared" si="188"/>
        <v>6.6765148417791561E-12</v>
      </c>
      <c r="GX203" s="20">
        <f t="shared" si="189"/>
        <v>1.2570369120605403E-11</v>
      </c>
      <c r="GY203" s="59">
        <f t="shared" si="201"/>
        <v>293.33333333334588</v>
      </c>
      <c r="GZ203" s="59">
        <f ca="1">AVERAGE(OFFSET($GY$3,0,0,'Données projet'!$E$18+1,1))-AVERAGE(OFFSET($H$3,0,0,'Données projet'!$E$18+1,1))</f>
        <v>401.81944956556271</v>
      </c>
      <c r="HA203" s="59">
        <f t="shared" si="213"/>
        <v>292.20785523952651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45.856700505592237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45.856700505592237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1.3356034260773062</v>
      </c>
      <c r="BA205" s="82">
        <f>EXP(LN('Données projet'!B88)/'Données projet'!A88)</f>
        <v>1.3147987949303508</v>
      </c>
      <c r="BV205" s="82">
        <f>EXP(LN('Données projet'!B114)/'Données projet'!A114)</f>
        <v>2.0243974584998852</v>
      </c>
      <c r="CQ205" s="82">
        <f>EXP(LN('Données projet'!B140)/'Données projet'!A140)</f>
        <v>1.1736311550444201</v>
      </c>
      <c r="DL205" s="82">
        <f>EXP(LN('Données projet'!B166)/'Données projet'!A166)</f>
        <v>1.2721747796233518</v>
      </c>
      <c r="EG205" s="82">
        <f>EXP(LN('Données projet'!B192)/'Données projet'!A192)</f>
        <v>1.1736311550444201</v>
      </c>
      <c r="FB205" s="82">
        <f>EXP(LN('Données projet'!B218)/'Données projet'!A218)</f>
        <v>1.1564896747754472</v>
      </c>
      <c r="FW205" s="82">
        <f>EXP(LN('Données projet'!B244)/'Données projet'!A244)</f>
        <v>1.2721747796233518</v>
      </c>
      <c r="GR205" s="82">
        <f>EXP(LN('Données projet'!B270)/'Données projet'!A270)</f>
        <v>1.1736311550444201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18" sqref="N1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1.8359999999999999</v>
      </c>
      <c r="C6" s="147">
        <f ca="1">IF(OR('Données projet'!B9="",'Données projet'!C9="",'Données projet'!C9=0%),0,Calculateur!S3)</f>
        <v>384.05928630855732</v>
      </c>
      <c r="D6" s="147">
        <f>IF(OR('Données projet'!B9="",'Données projet'!C9="",'Données projet'!C9=0%),0,Calculateur!T3)</f>
        <v>279.93992813630513</v>
      </c>
      <c r="E6" s="147">
        <f ca="1">MIN(C6,D6)</f>
        <v>279.93992813630513</v>
      </c>
      <c r="F6" s="147">
        <f ca="1">E6*B6</f>
        <v>513.96970805825617</v>
      </c>
      <c r="G6" s="147">
        <f ca="1">F6*(100%-'Données projet'!$C$24)*(100%-'Données projet'!$C$25)*(100%-'Données projet'!$C$26)*(100%-'Données projet'!$C$27)</f>
        <v>462.57273725243056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462.57273725243056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Douglas</v>
      </c>
      <c r="B7" s="154">
        <f>'Données projet'!D10</f>
        <v>6.7799999999999999E-2</v>
      </c>
      <c r="C7" s="147">
        <f ca="1">IF(OR('Données projet'!B10="",'Données projet'!C10="",'Données projet'!C10=0%),0,Calculateur!AN3)</f>
        <v>335.04906256888819</v>
      </c>
      <c r="D7" s="147">
        <f>IF(OR('Données projet'!B10="",'Données projet'!C10="",'Données projet'!C10=0%),0,Calculateur!AO3)</f>
        <v>440.84111898279554</v>
      </c>
      <c r="E7" s="147">
        <f t="shared" ref="E7:E15" ca="1" si="0">MIN(C7,D7)</f>
        <v>335.04906256888819</v>
      </c>
      <c r="F7" s="147">
        <f t="shared" ref="F7:F15" ca="1" si="1">E7*B7</f>
        <v>22.716326442170619</v>
      </c>
      <c r="G7" s="147">
        <f ca="1">F7*(100%-'Données projet'!$C$24)*(100%-'Données projet'!$C$25)*(100%-'Données projet'!$C$26)*(100%-'Données projet'!$C$27)</f>
        <v>20.444693797953558</v>
      </c>
      <c r="H7" s="155">
        <f>IF(OR('Données projet'!B10="",'Données projet'!C10="",'Données projet'!C10=0%),0,AVERAGE(Calculateur!$AX$3:$AX$33)*B7)</f>
        <v>0.8280005289093948</v>
      </c>
      <c r="I7" s="149">
        <f>H7*(100%-'Données projet'!$C$24)*(100%-'Données projet'!$C$25)*(100%-'Données projet'!$C$26)*(100%-'Données projet'!$C$27)</f>
        <v>0.74520047601845529</v>
      </c>
      <c r="J7" s="150">
        <f>IF(OR('Données projet'!B10="",'Données projet'!C10="",'Données projet'!C10=0%),0,SUM(Calculateur!$AQ$3:$AQ$33)*VLOOKUP('Données projet'!$B$10,Paramètres!$A$1:$I$89,9,0)*B7)</f>
        <v>5.1781989230769216</v>
      </c>
      <c r="K7" s="151">
        <f>J7*(100%-'Données projet'!$C$24)*(100%-'Données projet'!$C$25)*(100%-'Données projet'!$C$26)*(100%-'Données projet'!$C$27)</f>
        <v>4.6603790307692297</v>
      </c>
      <c r="L7" s="152">
        <f t="shared" ref="L7:L15" ca="1" si="2">G7+I7+K7</f>
        <v>25.850273304741243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Pin sylvestre</v>
      </c>
      <c r="B8" s="154">
        <f>'Données projet'!D11</f>
        <v>0.1905</v>
      </c>
      <c r="C8" s="147">
        <f ca="1">IF(OR('Données projet'!B11="",'Données projet'!C11="",'Données projet'!C11=0%),0,Calculateur!BI3)</f>
        <v>320.76883487964511</v>
      </c>
      <c r="D8" s="147">
        <f>IF(OR('Données projet'!B11="",'Données projet'!C11="",'Données projet'!C11=0%),0,Calculateur!BJ3)</f>
        <v>290.51177680335746</v>
      </c>
      <c r="E8" s="147">
        <f t="shared" ca="1" si="0"/>
        <v>290.51177680335746</v>
      </c>
      <c r="F8" s="147">
        <f t="shared" ca="1" si="1"/>
        <v>55.342493481039597</v>
      </c>
      <c r="G8" s="147">
        <f ca="1">F8*(100%-'Données projet'!$C$24)*(100%-'Données projet'!$C$25)*(100%-'Données projet'!$C$26)*(100%-'Données projet'!$C$27)</f>
        <v>49.808244132935641</v>
      </c>
      <c r="H8" s="155">
        <f>IF(OR('Données projet'!B11="",'Données projet'!C11="",'Données projet'!C11=0%),0,AVERAGE(Calculateur!$BS$3:$BS$33)*B8)</f>
        <v>1.5554959140995768</v>
      </c>
      <c r="I8" s="149">
        <f>H8*(100%-'Données projet'!$C$24)*(100%-'Données projet'!$C$25)*(100%-'Données projet'!$C$26)*(100%-'Données projet'!$C$27)</f>
        <v>1.3999463226896192</v>
      </c>
      <c r="J8" s="150">
        <f>IF(OR('Données projet'!B11="",'Données projet'!C11="",'Données projet'!C11=0%),0,SUM(Calculateur!$BL$3:$BL$33)*VLOOKUP('Données projet'!$B$11,Paramètres!$A$1:$I$89,9,0)*B8)</f>
        <v>10.231183499999998</v>
      </c>
      <c r="K8" s="151">
        <f>J8*(100%-'Données projet'!$C$24)*(100%-'Données projet'!$C$25)*(100%-'Données projet'!$C$26)*(100%-'Données projet'!$C$27)</f>
        <v>9.2080651499999995</v>
      </c>
      <c r="L8" s="152">
        <f t="shared" ca="1" si="2"/>
        <v>60.416255605625267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Robinier faux-acacia</v>
      </c>
      <c r="B9" s="154">
        <f>'Données projet'!D12</f>
        <v>0.13620000000000002</v>
      </c>
      <c r="C9" s="147">
        <f ca="1">IF(OR('Données projet'!B12="",'Données projet'!C12="",'Données projet'!C12=0%),0,Calculateur!CD3)</f>
        <v>366.69125512029831</v>
      </c>
      <c r="D9" s="147">
        <f>IF(OR('Données projet'!B12="",'Données projet'!C12="",'Données projet'!C12=0%),0,Calculateur!CE3)</f>
        <v>513.80016421153414</v>
      </c>
      <c r="E9" s="147">
        <f t="shared" ca="1" si="0"/>
        <v>366.69125512029831</v>
      </c>
      <c r="F9" s="147">
        <f t="shared" ca="1" si="1"/>
        <v>49.943348947384635</v>
      </c>
      <c r="G9" s="147">
        <f ca="1">F9*(100%-'Données projet'!$C$24)*(100%-'Données projet'!$C$25)*(100%-'Données projet'!$C$26)*(100%-'Données projet'!$C$27)</f>
        <v>44.94901405264617</v>
      </c>
      <c r="H9" s="155">
        <f>IF(OR('Données projet'!B12="",'Données projet'!C12="",'Données projet'!C12=0%),0,AVERAGE(Calculateur!$CN$3:$CN$33)*B9)</f>
        <v>5.8740120769304231E-2</v>
      </c>
      <c r="I9" s="149">
        <f>H9*(100%-'Données projet'!$C$24)*(100%-'Données projet'!$C$25)*(100%-'Données projet'!$C$26)*(100%-'Données projet'!$C$27)</f>
        <v>5.2866108692373806E-2</v>
      </c>
      <c r="J9" s="150">
        <f>IF(OR('Données projet'!B12="",'Données projet'!C12="",'Données projet'!C12=0%),0,SUM(Calculateur!$CG$3:$CG$33)*VLOOKUP('Données projet'!$B$12,Paramètres!$A$1:$I$89,9,0)*B9)</f>
        <v>3.4731000000000005</v>
      </c>
      <c r="K9" s="151">
        <f>J9*(100%-'Données projet'!$C$24)*(100%-'Données projet'!$C$25)*(100%-'Données projet'!$C$26)*(100%-'Données projet'!$C$27)</f>
        <v>3.1257900000000007</v>
      </c>
      <c r="L9" s="152">
        <f t="shared" ca="1" si="2"/>
        <v>48.127670161338543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Tilleul</v>
      </c>
      <c r="B10" s="154">
        <f>'Données projet'!D13</f>
        <v>0.16350000000000001</v>
      </c>
      <c r="C10" s="147">
        <f ca="1">IF(OR('Données projet'!B13="",'Données projet'!C13="",'Données projet'!C13=0%),0,Calculateur!CY3)</f>
        <v>294.94331863127815</v>
      </c>
      <c r="D10" s="147">
        <f>IF(OR('Données projet'!B13="",'Données projet'!C13="",'Données projet'!C13=0%),0,Calculateur!CZ3)</f>
        <v>218.36990036643977</v>
      </c>
      <c r="E10" s="147">
        <f t="shared" ca="1" si="0"/>
        <v>218.36990036643977</v>
      </c>
      <c r="F10" s="147">
        <f t="shared" ca="1" si="1"/>
        <v>35.703478709912901</v>
      </c>
      <c r="G10" s="147">
        <f ca="1">F10*(100%-'Données projet'!$C$24)*(100%-'Données projet'!$C$25)*(100%-'Données projet'!$C$26)*(100%-'Données projet'!$C$27)</f>
        <v>32.133130838921609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32.133130838921609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Châtaignier</v>
      </c>
      <c r="B11" s="154">
        <f>'Données projet'!D14</f>
        <v>8.1000000000000003E-2</v>
      </c>
      <c r="C11" s="147">
        <f ca="1">IF(OR('Données projet'!B14="",'Données projet'!C14="",'Données projet'!C14=0%),0,Calculateur!DT3)</f>
        <v>278.45534008146865</v>
      </c>
      <c r="D11" s="147">
        <f>IF(OR('Données projet'!B14="",'Données projet'!C14="",'Données projet'!C14=0%),0,Calculateur!DU3)</f>
        <v>272.97841038165217</v>
      </c>
      <c r="E11" s="147">
        <f t="shared" ca="1" si="0"/>
        <v>272.97841038165217</v>
      </c>
      <c r="F11" s="147">
        <f t="shared" ca="1" si="1"/>
        <v>22.111251240913827</v>
      </c>
      <c r="G11" s="147">
        <f ca="1">F11*(100%-'Données projet'!$C$24)*(100%-'Données projet'!$C$25)*(100%-'Données projet'!$C$26)*(100%-'Données projet'!$C$27)</f>
        <v>19.900126116822445</v>
      </c>
      <c r="H11" s="155">
        <f>IF(OR('Données projet'!B14="",'Données projet'!C14="",'Données projet'!C14=0%),0,AVERAGE(Calculateur!$ED$3:$ED$33)*B11)</f>
        <v>1.834960406473635E-2</v>
      </c>
      <c r="I11" s="149">
        <f>H11*(100%-'Données projet'!$C$24)*(100%-'Données projet'!$C$25)*(100%-'Données projet'!$C$26)*(100%-'Données projet'!$C$27)</f>
        <v>1.6514643658262714E-2</v>
      </c>
      <c r="J11" s="150">
        <f>IF(OR('Données projet'!B14="",'Données projet'!C14="",'Données projet'!C14=0%),0,SUM(Calculateur!$DW$3:$DW$33)*VLOOKUP('Données projet'!$B$14,Paramètres!$A$1:$I$89,9,0)*B11)</f>
        <v>2.00475</v>
      </c>
      <c r="K11" s="151">
        <f>J11*(100%-'Données projet'!$C$24)*(100%-'Données projet'!$C$25)*(100%-'Données projet'!$C$26)*(100%-'Données projet'!$C$27)</f>
        <v>1.8042750000000001</v>
      </c>
      <c r="L11" s="152">
        <f t="shared" ca="1" si="2"/>
        <v>21.720915760480707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Cormier</v>
      </c>
      <c r="B12" s="154">
        <f>'Données projet'!D15</f>
        <v>1.6500000000000001E-2</v>
      </c>
      <c r="C12" s="147">
        <f ca="1">IF(OR('Données projet'!B15="",'Données projet'!C15="",'Données projet'!C15=0%),0,Calculateur!EO3)</f>
        <v>449.09332781196957</v>
      </c>
      <c r="D12" s="147">
        <f>IF(OR('Données projet'!B15="",'Données projet'!C15="",'Données projet'!C15=0%),0,Calculateur!EP3)</f>
        <v>324.85904971519432</v>
      </c>
      <c r="E12" s="147">
        <f t="shared" ca="1" si="0"/>
        <v>324.85904971519432</v>
      </c>
      <c r="F12" s="147">
        <f t="shared" ca="1" si="1"/>
        <v>5.3601743203007066</v>
      </c>
      <c r="G12" s="147">
        <f ca="1">F12*(100%-'Données projet'!$C$24)*(100%-'Données projet'!$C$25)*(100%-'Données projet'!$C$26)*(100%-'Données projet'!$C$27)</f>
        <v>4.824156888270636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4.824156888270636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Chêne pubescent</v>
      </c>
      <c r="B13" s="154">
        <f>'Données projet'!D16</f>
        <v>0.14700000000000002</v>
      </c>
      <c r="C13" s="147">
        <f ca="1">IF(OR('Données projet'!B16="",'Données projet'!C16="",'Données projet'!C16=0%),0,Calculateur!FJ3)</f>
        <v>419.51168383014721</v>
      </c>
      <c r="D13" s="147">
        <f>IF(OR('Données projet'!B16="",'Données projet'!C16="",'Données projet'!C16=0%),0,Calculateur!FK3)</f>
        <v>213.44145308833384</v>
      </c>
      <c r="E13" s="147">
        <f t="shared" ca="1" si="0"/>
        <v>213.44145308833384</v>
      </c>
      <c r="F13" s="147">
        <f t="shared" ca="1" si="1"/>
        <v>31.37589360398508</v>
      </c>
      <c r="G13" s="147">
        <f ca="1">F13*(100%-'Données projet'!$C$24)*(100%-'Données projet'!$C$25)*(100%-'Données projet'!$C$26)*(100%-'Données projet'!$C$27)</f>
        <v>28.238304243586573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28.238304243586573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>Erable champêtre</v>
      </c>
      <c r="B14" s="154">
        <f>'Données projet'!D17</f>
        <v>8.1000000000000003E-2</v>
      </c>
      <c r="C14" s="147">
        <f ca="1">IF(OR('Données projet'!B17="",'Données projet'!C17="",'Données projet'!C17=0%),0,Calculateur!GE3)</f>
        <v>324.86930206492627</v>
      </c>
      <c r="D14" s="147">
        <f>IF(OR('Données projet'!B17="",'Données projet'!C17="",'Données projet'!C17=0%),0,Calculateur!GF3)</f>
        <v>317.03005098025352</v>
      </c>
      <c r="E14" s="147">
        <f t="shared" ca="1" si="0"/>
        <v>317.03005098025352</v>
      </c>
      <c r="F14" s="147">
        <f t="shared" ca="1" si="1"/>
        <v>25.679434129400537</v>
      </c>
      <c r="G14" s="147">
        <f ca="1">F14*(100%-'Données projet'!$C$24)*(100%-'Données projet'!$C$25)*(100%-'Données projet'!$C$26)*(100%-'Données projet'!$C$27)</f>
        <v>23.111490716460484</v>
      </c>
      <c r="H14" s="155">
        <f>IF(OR('Données projet'!B17="",'Données projet'!C17="",'Données projet'!C17=0%),0,AVERAGE(Calculateur!$GO$3:$GO$33)*B14)</f>
        <v>2.6947859903086346E-2</v>
      </c>
      <c r="I14" s="149">
        <f>H14*(100%-'Données projet'!$C$24)*(100%-'Données projet'!$C$25)*(100%-'Données projet'!$C$26)*(100%-'Données projet'!$C$27)</f>
        <v>2.4253073912777711E-2</v>
      </c>
      <c r="J14" s="150">
        <f>IF(OR('Données projet'!B17="",'Données projet'!C17="",'Données projet'!C17=0%),0,SUM(Calculateur!$GH$3:$GH$33)*VLOOKUP('Données projet'!$B$17,Paramètres!$A$1:$I$89,9,0)*B14)</f>
        <v>2.00475</v>
      </c>
      <c r="K14" s="151">
        <f>J14*(100%-'Données projet'!$C$24)*(100%-'Données projet'!$C$25)*(100%-'Données projet'!$C$26)*(100%-'Données projet'!$C$27)</f>
        <v>1.8042750000000001</v>
      </c>
      <c r="L14" s="152">
        <f t="shared" ca="1" si="2"/>
        <v>24.940018790373262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>Charme</v>
      </c>
      <c r="B15" s="157">
        <f>'Données projet'!D18</f>
        <v>0.27210000000000001</v>
      </c>
      <c r="C15" s="158">
        <f ca="1">IF(OR('Données projet'!B18="",'Données projet'!C18="",'Données projet'!C18=0%),0,Calculateur!GZ3)</f>
        <v>401.81944956556271</v>
      </c>
      <c r="D15" s="158">
        <f>IF(OR('Données projet'!B18="",'Données projet'!C18="",'Données projet'!C18=0%),0,Calculateur!HA3)</f>
        <v>292.20785523952651</v>
      </c>
      <c r="E15" s="158">
        <f t="shared" ca="1" si="0"/>
        <v>292.20785523952651</v>
      </c>
      <c r="F15" s="159">
        <f t="shared" ca="1" si="1"/>
        <v>79.509757410675164</v>
      </c>
      <c r="G15" s="159">
        <f ca="1">F15*(100%-'Données projet'!$C$24)*(100%-'Données projet'!$C$25)*(100%-'Données projet'!$C$26)*(100%-'Données projet'!$C$27)</f>
        <v>71.558781669607654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ca="1" si="2"/>
        <v>71.558781669607654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841.71186634403932</v>
      </c>
      <c r="G16" s="166">
        <f t="shared" ca="1" si="3"/>
        <v>757.54067970963524</v>
      </c>
      <c r="H16" s="167">
        <f t="shared" si="3"/>
        <v>2.4875340277460984</v>
      </c>
      <c r="I16" s="167">
        <f t="shared" si="3"/>
        <v>2.2387806249714881</v>
      </c>
      <c r="J16" s="168">
        <f t="shared" si="3"/>
        <v>22.891982423076925</v>
      </c>
      <c r="K16" s="168">
        <f t="shared" si="3"/>
        <v>20.60278418076923</v>
      </c>
      <c r="L16" s="169">
        <f t="shared" ca="1" si="3"/>
        <v>780.38224451537599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Pin sylvestre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Robinier faux-acacia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Tilleul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Chêne pubescent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>Erable champêtre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>Charme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9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1645.2338235710599</v>
      </c>
      <c r="U10" s="178">
        <f>'Données projet'!D9</f>
        <v>1.8359999999999999</v>
      </c>
      <c r="V10" s="177">
        <f>U10*T10</f>
        <v>3020.6493000764658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3527.9520376619112</v>
      </c>
      <c r="U11" s="178">
        <f>'Données projet'!D10</f>
        <v>6.7799999999999999E-2</v>
      </c>
      <c r="V11" s="177">
        <f t="shared" ref="V11" si="0">U11*T11</f>
        <v>239.19514815347756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sylvestre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1118.644814726129</v>
      </c>
      <c r="U12" s="178">
        <f>'Données projet'!D11</f>
        <v>0.1905</v>
      </c>
      <c r="V12" s="177">
        <f t="shared" ref="V12:V19" si="1">U12*T12</f>
        <v>213.10183720532757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Robinier faux-acacia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590.72333398129069</v>
      </c>
      <c r="U13" s="178">
        <f>'Données projet'!D12</f>
        <v>0.13620000000000002</v>
      </c>
      <c r="V13" s="177">
        <f t="shared" si="1"/>
        <v>80.456518088251798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Tilleul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693.33858997708126</v>
      </c>
      <c r="U14" s="178">
        <f>'Données projet'!D13</f>
        <v>0.16350000000000001</v>
      </c>
      <c r="V14" s="177">
        <f t="shared" si="1"/>
        <v>113.36085946125279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Châtaignier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1041.0121891774961</v>
      </c>
      <c r="U15" s="178">
        <f>'Données projet'!D14</f>
        <v>8.1000000000000003E-2</v>
      </c>
      <c r="V15" s="177">
        <f t="shared" si="1"/>
        <v>84.321987323377186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Cormier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693.33858997708126</v>
      </c>
      <c r="U16" s="178">
        <f>'Données projet'!D15</f>
        <v>1.6500000000000001E-2</v>
      </c>
      <c r="V16" s="177">
        <f t="shared" si="1"/>
        <v>11.440086734621842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Chêne pubescent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0.14700000000000002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>Erable champêtre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8.1000000000000003E-2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>Charme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0.27210000000000001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15255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-40031.732636162968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41</v>
      </c>
      <c r="B25" s="181">
        <f>'Données projet'!D38</f>
        <v>38.512820512820511</v>
      </c>
      <c r="C25" s="193">
        <v>10</v>
      </c>
      <c r="D25" s="182">
        <f t="shared" si="2"/>
        <v>385.12820512820508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-40031.732636162968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48</v>
      </c>
      <c r="B26" s="181">
        <f>'Données projet'!D39</f>
        <v>48.025641025641022</v>
      </c>
      <c r="C26" s="193">
        <v>50</v>
      </c>
      <c r="D26" s="182">
        <f t="shared" si="2"/>
        <v>2401.2820512820513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63</v>
      </c>
      <c r="B28" s="181">
        <f>'Données projet'!D41</f>
        <v>41.724358974358978</v>
      </c>
      <c r="C28" s="193">
        <v>50</v>
      </c>
      <c r="D28" s="182">
        <f t="shared" si="2"/>
        <v>2086.2179487179487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71</v>
      </c>
      <c r="B29" s="181">
        <f>'Données projet'!D42</f>
        <v>39.935897435897431</v>
      </c>
      <c r="C29" s="193">
        <v>100</v>
      </c>
      <c r="D29" s="182">
        <f t="shared" si="2"/>
        <v>3993.5897435897432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45.608974358974358</v>
      </c>
      <c r="C30" s="193">
        <v>100</v>
      </c>
      <c r="D30" s="182">
        <f t="shared" si="2"/>
        <v>4560.8974358974356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89</v>
      </c>
      <c r="B31" s="181">
        <f>'Données projet'!D44</f>
        <v>49.391025641025635</v>
      </c>
      <c r="C31" s="193">
        <v>150</v>
      </c>
      <c r="D31" s="182">
        <f t="shared" si="2"/>
        <v>7408.6538461538457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99</v>
      </c>
      <c r="B32" s="181">
        <f>'Données projet'!D45</f>
        <v>48.019230769230766</v>
      </c>
      <c r="C32" s="193">
        <v>150</v>
      </c>
      <c r="D32" s="182">
        <f t="shared" si="2"/>
        <v>7202.8846153846152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109</v>
      </c>
      <c r="B33" s="181">
        <f>'Données projet'!D46</f>
        <v>51.28846153846154</v>
      </c>
      <c r="C33" s="193">
        <v>150</v>
      </c>
      <c r="D33" s="182">
        <f t="shared" si="2"/>
        <v>7693.2692307692314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119</v>
      </c>
      <c r="B34" s="181">
        <f>'Données projet'!D47</f>
        <v>150.02564102564102</v>
      </c>
      <c r="C34" s="193">
        <v>200</v>
      </c>
      <c r="D34" s="182">
        <f t="shared" si="2"/>
        <v>30005.128205128203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123</v>
      </c>
      <c r="B35" s="181">
        <f>'Données projet'!D48</f>
        <v>77.17307692307692</v>
      </c>
      <c r="C35" s="193">
        <v>200</v>
      </c>
      <c r="D35" s="182">
        <f t="shared" si="2"/>
        <v>15434.615384615385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127</v>
      </c>
      <c r="B36" s="181">
        <f>'Données projet'!D49</f>
        <v>49.916666666666671</v>
      </c>
      <c r="C36" s="193">
        <v>200</v>
      </c>
      <c r="D36" s="182">
        <f t="shared" si="2"/>
        <v>9983.3333333333339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131</v>
      </c>
      <c r="B37" s="181">
        <f>'Données projet'!D50</f>
        <v>110.91025641025641</v>
      </c>
      <c r="C37" s="193">
        <v>200</v>
      </c>
      <c r="D37" s="182">
        <f t="shared" si="2"/>
        <v>22182.051282051281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18</v>
      </c>
      <c r="B54" s="181">
        <f>'Données projet'!D62</f>
        <v>69.284615384615378</v>
      </c>
      <c r="C54" s="191">
        <v>10</v>
      </c>
      <c r="D54" s="179">
        <f>B54*C54</f>
        <v>692.84615384615381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42.661538461538463</v>
      </c>
      <c r="C55" s="191">
        <v>10</v>
      </c>
      <c r="D55" s="179">
        <f t="shared" ref="D55:D73" si="4">B55*C55</f>
        <v>426.61538461538464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65.669230769230765</v>
      </c>
      <c r="C56" s="191">
        <v>18</v>
      </c>
      <c r="D56" s="179">
        <f t="shared" si="4"/>
        <v>1182.0461538461539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36</v>
      </c>
      <c r="B57" s="181">
        <f>'Données projet'!D65</f>
        <v>69.3</v>
      </c>
      <c r="C57" s="191">
        <v>25</v>
      </c>
      <c r="D57" s="179">
        <f t="shared" si="4"/>
        <v>1732.5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42</v>
      </c>
      <c r="B58" s="181">
        <f>'Données projet'!D66</f>
        <v>73.392307692307682</v>
      </c>
      <c r="C58" s="191">
        <v>25</v>
      </c>
      <c r="D58" s="179">
        <f t="shared" si="4"/>
        <v>1834.8076923076922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48</v>
      </c>
      <c r="B59" s="181">
        <f>'Données projet'!D67</f>
        <v>81.330769230769235</v>
      </c>
      <c r="C59" s="191">
        <v>35</v>
      </c>
      <c r="D59" s="179">
        <f t="shared" si="4"/>
        <v>2846.5769230769233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54</v>
      </c>
      <c r="B60" s="181">
        <f>'Données projet'!D68</f>
        <v>566.79999999999995</v>
      </c>
      <c r="C60" s="191">
        <v>40</v>
      </c>
      <c r="D60" s="179">
        <f t="shared" si="4"/>
        <v>22672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Pin sylvestre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18</v>
      </c>
      <c r="B85" s="181">
        <f>'Données projet'!D88</f>
        <v>52.746153846153838</v>
      </c>
      <c r="C85" s="191">
        <v>10</v>
      </c>
      <c r="D85" s="179">
        <f>B85*C85</f>
        <v>527.46153846153834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24</v>
      </c>
      <c r="B86" s="181">
        <f>'Données projet'!D89</f>
        <v>36.723076923076924</v>
      </c>
      <c r="C86" s="191">
        <v>10</v>
      </c>
      <c r="D86" s="179">
        <f t="shared" ref="D86:D104" si="6">B86*C86</f>
        <v>367.23076923076923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30</v>
      </c>
      <c r="B87" s="181">
        <f>'Données projet'!D90</f>
        <v>35.430769230769229</v>
      </c>
      <c r="C87" s="191">
        <v>10</v>
      </c>
      <c r="D87" s="179">
        <f t="shared" si="6"/>
        <v>354.30769230769226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36</v>
      </c>
      <c r="B88" s="181">
        <f>'Données projet'!D91</f>
        <v>35.084615384615383</v>
      </c>
      <c r="C88" s="191">
        <v>18</v>
      </c>
      <c r="D88" s="179">
        <f t="shared" si="6"/>
        <v>631.52307692307693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43</v>
      </c>
      <c r="B89" s="181">
        <f>'Données projet'!D92</f>
        <v>43.499999999999993</v>
      </c>
      <c r="C89" s="191">
        <v>25</v>
      </c>
      <c r="D89" s="179">
        <f t="shared" si="6"/>
        <v>1087.4999999999998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50</v>
      </c>
      <c r="B90" s="181">
        <f>'Données projet'!D93</f>
        <v>43.4</v>
      </c>
      <c r="C90" s="191">
        <v>25</v>
      </c>
      <c r="D90" s="179">
        <f t="shared" si="6"/>
        <v>1085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58</v>
      </c>
      <c r="B91" s="181">
        <f>'Données projet'!D94</f>
        <v>45.669230769230765</v>
      </c>
      <c r="C91" s="191">
        <v>27</v>
      </c>
      <c r="D91" s="179">
        <f t="shared" si="6"/>
        <v>1233.0692307692307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68</v>
      </c>
      <c r="B92" s="181">
        <f>'Données projet'!D95</f>
        <v>46.069230769230771</v>
      </c>
      <c r="C92" s="191">
        <v>27</v>
      </c>
      <c r="D92" s="179">
        <f t="shared" si="6"/>
        <v>1243.8692307692309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78</v>
      </c>
      <c r="B93" s="181">
        <f>'Données projet'!D96</f>
        <v>42.9</v>
      </c>
      <c r="C93" s="191">
        <v>30</v>
      </c>
      <c r="D93" s="179">
        <f t="shared" si="6"/>
        <v>1287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88</v>
      </c>
      <c r="B94" s="181">
        <f>'Données projet'!D97</f>
        <v>247.54615384615383</v>
      </c>
      <c r="C94" s="191">
        <v>35</v>
      </c>
      <c r="D94" s="179">
        <f t="shared" si="6"/>
        <v>8664.1153846153848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91</v>
      </c>
      <c r="B95" s="181">
        <f>'Données projet'!D98</f>
        <v>179.25384615384615</v>
      </c>
      <c r="C95" s="191">
        <v>38</v>
      </c>
      <c r="D95" s="179">
        <f t="shared" si="6"/>
        <v>6811.6461538461535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Robinier faux-acacia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5</v>
      </c>
      <c r="B116" s="181">
        <f>'Données projet'!D114</f>
        <v>6</v>
      </c>
      <c r="C116" s="191">
        <v>10</v>
      </c>
      <c r="D116" s="179">
        <f>B116*C116</f>
        <v>60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10</v>
      </c>
      <c r="B117" s="181">
        <f>'Données projet'!D115</f>
        <v>29</v>
      </c>
      <c r="C117" s="191">
        <v>10</v>
      </c>
      <c r="D117" s="179">
        <f t="shared" ref="D117:D135" si="8">B117*C117</f>
        <v>290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15</v>
      </c>
      <c r="B118" s="181">
        <f>'Données projet'!D116</f>
        <v>23</v>
      </c>
      <c r="C118" s="191">
        <v>15</v>
      </c>
      <c r="D118" s="179">
        <f t="shared" si="8"/>
        <v>345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20</v>
      </c>
      <c r="B119" s="181">
        <f>'Données projet'!D117</f>
        <v>19</v>
      </c>
      <c r="C119" s="191">
        <v>15</v>
      </c>
      <c r="D119" s="179">
        <f t="shared" si="8"/>
        <v>285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25</v>
      </c>
      <c r="B120" s="181">
        <f>'Données projet'!D118</f>
        <v>14</v>
      </c>
      <c r="C120" s="191">
        <v>50</v>
      </c>
      <c r="D120" s="179">
        <f t="shared" si="8"/>
        <v>700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30</v>
      </c>
      <c r="B121" s="181">
        <f>'Données projet'!D119</f>
        <v>11</v>
      </c>
      <c r="C121" s="191">
        <v>50</v>
      </c>
      <c r="D121" s="179">
        <f t="shared" si="8"/>
        <v>550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35</v>
      </c>
      <c r="B122" s="181">
        <f>'Données projet'!D120</f>
        <v>9</v>
      </c>
      <c r="C122" s="191">
        <v>50</v>
      </c>
      <c r="D122" s="179">
        <f t="shared" si="8"/>
        <v>450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40</v>
      </c>
      <c r="B123" s="181">
        <f>'Données projet'!D121</f>
        <v>7</v>
      </c>
      <c r="C123" s="191">
        <v>50</v>
      </c>
      <c r="D123" s="179">
        <f t="shared" si="8"/>
        <v>350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45</v>
      </c>
      <c r="B124" s="181">
        <f>'Données projet'!D122</f>
        <v>7</v>
      </c>
      <c r="C124" s="191">
        <v>50</v>
      </c>
      <c r="D124" s="179">
        <f t="shared" si="8"/>
        <v>350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Tilleul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35</v>
      </c>
      <c r="B148" s="175">
        <f>'Données projet'!D141</f>
        <v>60.602564102564102</v>
      </c>
      <c r="C148" s="191">
        <v>10</v>
      </c>
      <c r="D148" s="182">
        <f t="shared" ref="D148:D166" si="10">B148*C148</f>
        <v>606.02564102564099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41</v>
      </c>
      <c r="B149" s="175">
        <f>'Données projet'!D142</f>
        <v>38.512820512820511</v>
      </c>
      <c r="C149" s="191">
        <v>10</v>
      </c>
      <c r="D149" s="182">
        <f t="shared" si="10"/>
        <v>385.12820512820508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48</v>
      </c>
      <c r="B150" s="175">
        <f>'Données projet'!D143</f>
        <v>48.025641025641022</v>
      </c>
      <c r="C150" s="191">
        <v>15</v>
      </c>
      <c r="D150" s="182">
        <f t="shared" si="10"/>
        <v>720.38461538461536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55</v>
      </c>
      <c r="B151" s="175">
        <f>'Données projet'!D144</f>
        <v>45.147435897435898</v>
      </c>
      <c r="C151" s="191">
        <v>15</v>
      </c>
      <c r="D151" s="182">
        <f t="shared" si="10"/>
        <v>677.21153846153845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63</v>
      </c>
      <c r="B152" s="175">
        <f>'Données projet'!D145</f>
        <v>41.724358974358978</v>
      </c>
      <c r="C152" s="191">
        <v>50</v>
      </c>
      <c r="D152" s="182">
        <f t="shared" si="10"/>
        <v>2086.2179487179487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71</v>
      </c>
      <c r="B153" s="175">
        <f>'Données projet'!D146</f>
        <v>39.935897435897431</v>
      </c>
      <c r="C153" s="191">
        <v>50</v>
      </c>
      <c r="D153" s="182">
        <f t="shared" si="10"/>
        <v>1996.7948717948716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80</v>
      </c>
      <c r="B154" s="175">
        <f>'Données projet'!D147</f>
        <v>45.608974358974358</v>
      </c>
      <c r="C154" s="191">
        <v>50</v>
      </c>
      <c r="D154" s="182">
        <f t="shared" si="10"/>
        <v>2280.4487179487178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89</v>
      </c>
      <c r="B155" s="175">
        <f>'Données projet'!D148</f>
        <v>49.391025641025635</v>
      </c>
      <c r="C155" s="191">
        <v>50</v>
      </c>
      <c r="D155" s="182">
        <f t="shared" si="10"/>
        <v>2469.5512820512818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99</v>
      </c>
      <c r="B156" s="175">
        <f>'Données projet'!D149</f>
        <v>48.019230769230766</v>
      </c>
      <c r="C156" s="191">
        <v>50</v>
      </c>
      <c r="D156" s="182">
        <f t="shared" si="10"/>
        <v>2400.9615384615381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109</v>
      </c>
      <c r="B157" s="175">
        <f>'Données projet'!D150</f>
        <v>51.28846153846154</v>
      </c>
      <c r="C157" s="191">
        <v>50</v>
      </c>
      <c r="D157" s="182">
        <f t="shared" si="10"/>
        <v>2564.4230769230771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119</v>
      </c>
      <c r="B158" s="175">
        <f>'Données projet'!D151</f>
        <v>150.02564102564102</v>
      </c>
      <c r="C158" s="191">
        <v>50</v>
      </c>
      <c r="D158" s="182">
        <f t="shared" si="10"/>
        <v>7501.2820512820508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123</v>
      </c>
      <c r="B159" s="175">
        <f>'Données projet'!D152</f>
        <v>77.17307692307692</v>
      </c>
      <c r="C159" s="191">
        <v>50</v>
      </c>
      <c r="D159" s="182">
        <f t="shared" si="10"/>
        <v>3858.6538461538462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127</v>
      </c>
      <c r="B160" s="175">
        <f>'Données projet'!D153</f>
        <v>49.916666666666671</v>
      </c>
      <c r="C160" s="191">
        <v>50</v>
      </c>
      <c r="D160" s="182">
        <f t="shared" si="10"/>
        <v>2495.8333333333335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131</v>
      </c>
      <c r="B161" s="175">
        <f>'Données projet'!D154</f>
        <v>110.91025641025641</v>
      </c>
      <c r="C161" s="191">
        <v>50</v>
      </c>
      <c r="D161" s="182">
        <f t="shared" si="10"/>
        <v>5545.5128205128203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Châtaignier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15</v>
      </c>
      <c r="B178" s="181">
        <f>'Données projet'!D166</f>
        <v>15</v>
      </c>
      <c r="C178" s="193">
        <v>10</v>
      </c>
      <c r="D178" s="179">
        <f>B178*C178</f>
        <v>150</v>
      </c>
      <c r="E178" s="193">
        <v>150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20</v>
      </c>
      <c r="B179" s="181">
        <f>'Données projet'!D167</f>
        <v>28</v>
      </c>
      <c r="C179" s="193">
        <v>10</v>
      </c>
      <c r="D179" s="179">
        <f t="shared" ref="D179:D197" si="11">B179*C179</f>
        <v>280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25</v>
      </c>
      <c r="B180" s="181">
        <f>'Données projet'!D168</f>
        <v>28</v>
      </c>
      <c r="C180" s="193">
        <v>15</v>
      </c>
      <c r="D180" s="179">
        <f t="shared" si="11"/>
        <v>420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30</v>
      </c>
      <c r="B181" s="181">
        <f>'Données projet'!D169</f>
        <v>28</v>
      </c>
      <c r="C181" s="193">
        <v>15</v>
      </c>
      <c r="D181" s="179">
        <f t="shared" si="11"/>
        <v>420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35</v>
      </c>
      <c r="B182" s="181">
        <f>'Données projet'!D170</f>
        <v>28</v>
      </c>
      <c r="C182" s="193">
        <v>50</v>
      </c>
      <c r="D182" s="179">
        <f t="shared" si="11"/>
        <v>1400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40</v>
      </c>
      <c r="B183" s="181">
        <f>'Données projet'!D171</f>
        <v>28</v>
      </c>
      <c r="C183" s="193">
        <v>50</v>
      </c>
      <c r="D183" s="179">
        <f t="shared" si="11"/>
        <v>1400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45</v>
      </c>
      <c r="B184" s="181">
        <f>'Données projet'!D172</f>
        <v>22</v>
      </c>
      <c r="C184" s="193">
        <v>50</v>
      </c>
      <c r="D184" s="179">
        <f t="shared" si="11"/>
        <v>1100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50</v>
      </c>
      <c r="B185" s="181">
        <f>'Données projet'!D173</f>
        <v>17</v>
      </c>
      <c r="C185" s="193">
        <v>50</v>
      </c>
      <c r="D185" s="179">
        <f t="shared" si="11"/>
        <v>850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55</v>
      </c>
      <c r="B186" s="181">
        <f>'Données projet'!D174</f>
        <v>13</v>
      </c>
      <c r="C186" s="193">
        <v>50</v>
      </c>
      <c r="D186" s="179">
        <f t="shared" si="11"/>
        <v>650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60</v>
      </c>
      <c r="B187" s="181">
        <f>'Données projet'!D175</f>
        <v>12</v>
      </c>
      <c r="C187" s="193">
        <v>50</v>
      </c>
      <c r="D187" s="179">
        <f t="shared" si="11"/>
        <v>600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65</v>
      </c>
      <c r="B188" s="181">
        <f>'Données projet'!D176</f>
        <v>11</v>
      </c>
      <c r="C188" s="193">
        <v>50</v>
      </c>
      <c r="D188" s="179">
        <f t="shared" si="11"/>
        <v>550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70</v>
      </c>
      <c r="B189" s="181">
        <f>'Données projet'!D177</f>
        <v>10</v>
      </c>
      <c r="C189" s="193">
        <v>50</v>
      </c>
      <c r="D189" s="179">
        <f t="shared" si="11"/>
        <v>500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75</v>
      </c>
      <c r="B190" s="181">
        <f>'Données projet'!D178</f>
        <v>9</v>
      </c>
      <c r="C190" s="193">
        <v>50</v>
      </c>
      <c r="D190" s="179">
        <f t="shared" si="11"/>
        <v>450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80</v>
      </c>
      <c r="B191" s="181">
        <f>'Données projet'!D179</f>
        <v>8</v>
      </c>
      <c r="C191" s="193">
        <v>50</v>
      </c>
      <c r="D191" s="179">
        <f t="shared" si="11"/>
        <v>400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30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35</v>
      </c>
      <c r="B210" s="181">
        <f>'Données projet'!D193</f>
        <v>60.602564102564102</v>
      </c>
      <c r="C210" s="193">
        <v>10</v>
      </c>
      <c r="D210" s="179">
        <f t="shared" ref="D210:D228" si="12">B210*C210</f>
        <v>606.02564102564099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41</v>
      </c>
      <c r="B211" s="181">
        <f>'Données projet'!D194</f>
        <v>38.512820512820511</v>
      </c>
      <c r="C211" s="193">
        <v>10</v>
      </c>
      <c r="D211" s="179">
        <f t="shared" si="12"/>
        <v>385.12820512820508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48</v>
      </c>
      <c r="B212" s="181">
        <f>'Données projet'!D195</f>
        <v>48.025641025641022</v>
      </c>
      <c r="C212" s="193">
        <v>15</v>
      </c>
      <c r="D212" s="179">
        <f t="shared" si="12"/>
        <v>720.38461538461536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55</v>
      </c>
      <c r="B213" s="181">
        <f>'Données projet'!D196</f>
        <v>45.147435897435898</v>
      </c>
      <c r="C213" s="193">
        <v>15</v>
      </c>
      <c r="D213" s="179">
        <f t="shared" si="12"/>
        <v>677.21153846153845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63</v>
      </c>
      <c r="B214" s="181">
        <f>'Données projet'!D197</f>
        <v>41.724358974358978</v>
      </c>
      <c r="C214" s="193">
        <v>50</v>
      </c>
      <c r="D214" s="179">
        <f t="shared" si="12"/>
        <v>2086.2179487179487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71</v>
      </c>
      <c r="B215" s="181">
        <f>'Données projet'!D198</f>
        <v>39.935897435897431</v>
      </c>
      <c r="C215" s="193">
        <v>50</v>
      </c>
      <c r="D215" s="179">
        <f t="shared" si="12"/>
        <v>1996.7948717948716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80</v>
      </c>
      <c r="B216" s="181">
        <f>'Données projet'!D199</f>
        <v>45.608974358974358</v>
      </c>
      <c r="C216" s="193">
        <v>50</v>
      </c>
      <c r="D216" s="179">
        <f t="shared" si="12"/>
        <v>2280.4487179487178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89</v>
      </c>
      <c r="B217" s="181">
        <f>'Données projet'!D200</f>
        <v>49.391025641025635</v>
      </c>
      <c r="C217" s="193">
        <v>50</v>
      </c>
      <c r="D217" s="179">
        <f t="shared" si="12"/>
        <v>2469.5512820512818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99</v>
      </c>
      <c r="B218" s="181">
        <f>'Données projet'!D201</f>
        <v>48.019230769230766</v>
      </c>
      <c r="C218" s="193">
        <v>50</v>
      </c>
      <c r="D218" s="179">
        <f t="shared" si="12"/>
        <v>2400.9615384615381</v>
      </c>
      <c r="E218" s="193">
        <v>150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109</v>
      </c>
      <c r="B219" s="181">
        <f>'Données projet'!D202</f>
        <v>51.28846153846154</v>
      </c>
      <c r="C219" s="193">
        <v>50</v>
      </c>
      <c r="D219" s="179">
        <f t="shared" si="12"/>
        <v>2564.4230769230771</v>
      </c>
      <c r="E219" s="193">
        <v>150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119</v>
      </c>
      <c r="B220" s="181">
        <f>'Données projet'!D203</f>
        <v>150.02564102564102</v>
      </c>
      <c r="C220" s="193">
        <v>50</v>
      </c>
      <c r="D220" s="179">
        <f t="shared" si="12"/>
        <v>7501.2820512820508</v>
      </c>
      <c r="E220" s="193">
        <v>150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123</v>
      </c>
      <c r="B221" s="181">
        <f>'Données projet'!D204</f>
        <v>77.17307692307692</v>
      </c>
      <c r="C221" s="193">
        <v>50</v>
      </c>
      <c r="D221" s="179">
        <f t="shared" si="12"/>
        <v>3858.6538461538462</v>
      </c>
      <c r="E221" s="193">
        <v>150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127</v>
      </c>
      <c r="B222" s="181">
        <f>'Données projet'!D205</f>
        <v>49.916666666666671</v>
      </c>
      <c r="C222" s="193">
        <v>50</v>
      </c>
      <c r="D222" s="179">
        <f t="shared" si="12"/>
        <v>2495.8333333333335</v>
      </c>
      <c r="E222" s="193">
        <v>150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131</v>
      </c>
      <c r="B223" s="181">
        <f>'Données projet'!D206</f>
        <v>110.91025641025641</v>
      </c>
      <c r="C223" s="193">
        <v>50</v>
      </c>
      <c r="D223" s="179">
        <f t="shared" si="12"/>
        <v>5545.5128205128203</v>
      </c>
      <c r="E223" s="193">
        <v>150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>Chêne pubescent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35</v>
      </c>
      <c r="B240" s="181">
        <f>'Données projet'!D218</f>
        <v>60.602564102564102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41</v>
      </c>
      <c r="B241" s="181">
        <f>'Données projet'!D219</f>
        <v>38.512820512820511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48</v>
      </c>
      <c r="B242" s="181">
        <f>'Données projet'!D220</f>
        <v>48.025641025641022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55</v>
      </c>
      <c r="B243" s="181">
        <f>'Données projet'!D221</f>
        <v>45.147435897435898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63</v>
      </c>
      <c r="B244" s="181">
        <f>'Données projet'!D222</f>
        <v>41.724358974358978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71</v>
      </c>
      <c r="B245" s="181">
        <f>'Données projet'!D223</f>
        <v>39.935897435897431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80</v>
      </c>
      <c r="B246" s="181">
        <f>'Données projet'!D224</f>
        <v>45.608974358974358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89</v>
      </c>
      <c r="B247" s="181">
        <f>'Données projet'!D225</f>
        <v>49.391025641025635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99</v>
      </c>
      <c r="B248" s="181">
        <f>'Données projet'!D226</f>
        <v>48.019230769230766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109</v>
      </c>
      <c r="B249" s="181">
        <f>'Données projet'!D227</f>
        <v>51.28846153846154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119</v>
      </c>
      <c r="B250" s="181">
        <f>'Données projet'!D228</f>
        <v>150.02564102564102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123</v>
      </c>
      <c r="B251" s="181">
        <f>'Données projet'!D229</f>
        <v>77.17307692307692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127</v>
      </c>
      <c r="B252" s="181">
        <f>'Données projet'!D230</f>
        <v>49.916666666666671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131</v>
      </c>
      <c r="B253" s="181">
        <f>'Données projet'!D231</f>
        <v>110.91025641025641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>Erable champêtre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15</v>
      </c>
      <c r="B271" s="181">
        <f>'Données projet'!D244</f>
        <v>15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20</v>
      </c>
      <c r="B272" s="181">
        <f>'Données projet'!D245</f>
        <v>28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25</v>
      </c>
      <c r="B273" s="181">
        <f>'Données projet'!D246</f>
        <v>28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30</v>
      </c>
      <c r="B274" s="181">
        <f>'Données projet'!D247</f>
        <v>28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35</v>
      </c>
      <c r="B275" s="181">
        <f>'Données projet'!D248</f>
        <v>28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40</v>
      </c>
      <c r="B276" s="181">
        <f>'Données projet'!D249</f>
        <v>28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45</v>
      </c>
      <c r="B277" s="181">
        <f>'Données projet'!D250</f>
        <v>22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50</v>
      </c>
      <c r="B278" s="181">
        <f>'Données projet'!D251</f>
        <v>17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55</v>
      </c>
      <c r="B279" s="181">
        <f>'Données projet'!D252</f>
        <v>13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60</v>
      </c>
      <c r="B280" s="181">
        <f>'Données projet'!D253</f>
        <v>12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65</v>
      </c>
      <c r="B281" s="181">
        <f>'Données projet'!D254</f>
        <v>11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70</v>
      </c>
      <c r="B282" s="181">
        <f>'Données projet'!D255</f>
        <v>10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75</v>
      </c>
      <c r="B283" s="181">
        <f>'Données projet'!D256</f>
        <v>9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80</v>
      </c>
      <c r="B284" s="181">
        <f>'Données projet'!D257</f>
        <v>8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>Charme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30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35</v>
      </c>
      <c r="B303" s="181">
        <f>'Données projet'!D271</f>
        <v>60.602564102564102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41</v>
      </c>
      <c r="B304" s="181">
        <f>'Données projet'!D272</f>
        <v>38.512820512820511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48</v>
      </c>
      <c r="B305" s="181">
        <f>'Données projet'!D273</f>
        <v>48.025641025641022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55</v>
      </c>
      <c r="B306" s="181">
        <f>'Données projet'!D274</f>
        <v>45.147435897435898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63</v>
      </c>
      <c r="B307" s="181">
        <f>'Données projet'!D275</f>
        <v>41.724358974358978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71</v>
      </c>
      <c r="B308" s="181">
        <f>'Données projet'!D276</f>
        <v>39.935897435897431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80</v>
      </c>
      <c r="B309" s="181">
        <f>'Données projet'!D277</f>
        <v>45.608974358974358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89</v>
      </c>
      <c r="B310" s="181">
        <f>'Données projet'!D278</f>
        <v>49.391025641025635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99</v>
      </c>
      <c r="B311" s="181">
        <f>'Données projet'!D279</f>
        <v>48.019230769230766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109</v>
      </c>
      <c r="B312" s="181">
        <f>'Données projet'!D280</f>
        <v>51.28846153846154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119</v>
      </c>
      <c r="B313" s="181">
        <f>'Données projet'!D281</f>
        <v>150.02564102564102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123</v>
      </c>
      <c r="B314" s="181">
        <f>'Données projet'!D282</f>
        <v>77.17307692307692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127</v>
      </c>
      <c r="B315" s="181">
        <f>'Données projet'!D283</f>
        <v>49.916666666666671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131</v>
      </c>
      <c r="B316" s="181">
        <f>'Données projet'!D284</f>
        <v>110.91025641025641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B76E4870-A580-4F37-953B-C435EC7C9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E70D59-9531-4831-ADBA-3107E914BC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C5BA15-ED75-4CE9-B036-C8F5041F0FAF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2024-03-01T14:55:57Z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