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61 - LAILHEUGUE Denis\dossier déposé 28022025\"/>
    </mc:Choice>
  </mc:AlternateContent>
  <xr:revisionPtr revIDLastSave="0" documentId="13_ncr:1_{19BAC88F-A15B-48E2-A765-43B56AB37FCE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1" i="6"/>
  <c r="I22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BC117" i="2" l="1" a="1"/>
  <c r="BC117" i="2" s="1"/>
  <c r="BC84" i="2" a="1"/>
  <c r="BC84" i="2" s="1"/>
  <c r="BC32" i="2" a="1"/>
  <c r="BC32" i="2" s="1"/>
  <c r="BC143" i="2" a="1"/>
  <c r="BC143" i="2" s="1"/>
  <c r="BC65" i="2" a="1"/>
  <c r="BC65" i="2" s="1"/>
  <c r="BC114" i="2" a="1"/>
  <c r="BC114" i="2" s="1"/>
  <c r="CS120" i="2" a="1"/>
  <c r="CS120" i="2" s="1"/>
  <c r="CS66" i="2" a="1"/>
  <c r="CS66" i="2" s="1"/>
  <c r="CS56" i="2" a="1"/>
  <c r="CS56" i="2" s="1"/>
  <c r="CS72" i="2" a="1"/>
  <c r="CS72" i="2" s="1"/>
  <c r="CS38" i="2" a="1"/>
  <c r="CS38" i="2" s="1"/>
  <c r="CS185" i="2" a="1"/>
  <c r="CS185" i="2" s="1"/>
  <c r="CS105" i="2" a="1"/>
  <c r="CS105" i="2" s="1"/>
  <c r="CS24" i="2" a="1"/>
  <c r="CS24" i="2" s="1"/>
  <c r="CS161" i="2" a="1"/>
  <c r="CS161" i="2" s="1"/>
  <c r="CS77" i="2" a="1"/>
  <c r="CS77" i="2" s="1"/>
  <c r="BX107" i="2" a="1"/>
  <c r="BX107" i="2" s="1"/>
  <c r="BC31" i="2" a="1"/>
  <c r="BC31" i="2" s="1"/>
  <c r="BC181" i="2" a="1"/>
  <c r="BC181" i="2" s="1"/>
  <c r="BC164" i="2" a="1"/>
  <c r="BC164" i="2" s="1"/>
  <c r="BC82" i="2" a="1"/>
  <c r="BC82" i="2" s="1"/>
  <c r="BC192" i="2" a="1"/>
  <c r="BC192" i="2" s="1"/>
  <c r="BC47" i="2" a="1"/>
  <c r="BC47" i="2" s="1"/>
  <c r="BC18" i="2" a="1"/>
  <c r="BC18" i="2" s="1"/>
  <c r="BC55" i="2" a="1"/>
  <c r="BC55" i="2" s="1"/>
  <c r="BC130" i="2" a="1"/>
  <c r="BC130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78" i="2"/>
  <c r="CD88" i="2"/>
  <c r="CD87" i="2"/>
  <c r="CD109" i="2"/>
  <c r="CD197" i="2"/>
  <c r="CD58" i="2"/>
  <c r="CD119" i="2"/>
  <c r="CD67" i="2"/>
  <c r="CD80" i="2"/>
  <c r="CD129" i="2"/>
  <c r="CD160" i="2"/>
  <c r="CD27" i="2"/>
  <c r="CD192" i="2"/>
  <c r="CD14" i="2"/>
  <c r="CD68" i="2"/>
  <c r="CD42" i="2"/>
  <c r="CD173" i="2"/>
  <c r="CD101" i="2"/>
  <c r="CD41" i="2"/>
  <c r="CD50" i="2"/>
  <c r="CD156" i="2"/>
  <c r="CD167" i="2"/>
  <c r="CD117" i="2"/>
  <c r="CD40" i="2"/>
  <c r="CD188" i="2"/>
  <c r="CD184" i="2"/>
  <c r="CD12" i="2"/>
  <c r="CD187" i="2"/>
  <c r="CD78" i="2"/>
  <c r="CD24" i="2"/>
  <c r="CD5" i="2"/>
  <c r="CD114" i="2"/>
  <c r="CD191" i="2"/>
  <c r="CD20" i="2"/>
  <c r="CD189" i="2"/>
  <c r="CD134" i="2"/>
  <c r="CD7" i="2"/>
  <c r="CD18" i="2"/>
  <c r="CD31" i="2"/>
  <c r="CD126" i="2"/>
  <c r="CD75" i="2"/>
  <c r="CD150" i="2"/>
  <c r="CD71" i="2"/>
  <c r="CD95" i="2"/>
  <c r="CD61" i="2"/>
  <c r="CD59" i="2"/>
  <c r="CD169" i="2"/>
  <c r="CD93" i="2"/>
  <c r="CD36" i="2"/>
  <c r="CD11" i="2"/>
  <c r="CD135" i="2"/>
  <c r="CD82" i="2"/>
  <c r="CD81" i="2"/>
  <c r="CD35" i="2"/>
  <c r="CD21" i="2"/>
  <c r="CD6" i="2"/>
  <c r="CD194" i="2"/>
  <c r="CD201" i="2"/>
  <c r="CD131" i="2"/>
  <c r="CD145" i="2"/>
  <c r="CD170" i="2"/>
  <c r="CD85" i="2"/>
  <c r="CD203" i="2"/>
  <c r="CD193" i="2"/>
  <c r="CD83" i="2"/>
  <c r="CD45" i="2"/>
  <c r="CD140" i="2"/>
  <c r="CD3" i="2"/>
  <c r="C9" i="4" s="1"/>
  <c r="E9" i="4" s="1"/>
  <c r="F9" i="4" s="1"/>
  <c r="G9" i="4" s="1"/>
  <c r="L9" i="4" s="1"/>
  <c r="CD92" i="2"/>
  <c r="CD46" i="2"/>
  <c r="CD33" i="2"/>
  <c r="CD183" i="2"/>
  <c r="CD176" i="2"/>
  <c r="CD105" i="2"/>
  <c r="CD43" i="2"/>
  <c r="CD44" i="2"/>
  <c r="CD8" i="2"/>
  <c r="CD84" i="2"/>
  <c r="CD148" i="2"/>
  <c r="CD23" i="2"/>
  <c r="CD139" i="2"/>
  <c r="CD186" i="2"/>
  <c r="CD97" i="2"/>
  <c r="CD132" i="2"/>
  <c r="CD123" i="2"/>
  <c r="CD118" i="2"/>
  <c r="CD163" i="2"/>
  <c r="CD106" i="2"/>
  <c r="CD149" i="2"/>
  <c r="CD137" i="2"/>
  <c r="CD151" i="2"/>
  <c r="CD10" i="2"/>
  <c r="CD53" i="2"/>
  <c r="CD182" i="2"/>
  <c r="CD153" i="2"/>
  <c r="CD15" i="2"/>
  <c r="CD94" i="2"/>
  <c r="CD98" i="2"/>
  <c r="CD19" i="2"/>
  <c r="CD51" i="2"/>
  <c r="CD179" i="2"/>
  <c r="CD63" i="2"/>
  <c r="CD69" i="2"/>
  <c r="CD136" i="2"/>
  <c r="CD113" i="2"/>
  <c r="CD9" i="2"/>
  <c r="CD141" i="2"/>
  <c r="CD152" i="2"/>
  <c r="CD181" i="2"/>
  <c r="CD199" i="2"/>
  <c r="CD39" i="2"/>
  <c r="CD32" i="2"/>
  <c r="CD13" i="2"/>
  <c r="CD127" i="2"/>
  <c r="CD157" i="2"/>
  <c r="CD37" i="2"/>
  <c r="CD171" i="2"/>
  <c r="CD168" i="2"/>
  <c r="CD48" i="2"/>
  <c r="CD200" i="2"/>
  <c r="CD115" i="2"/>
  <c r="CD25" i="2"/>
  <c r="CD112" i="2"/>
  <c r="CD121" i="2"/>
  <c r="CD158" i="2"/>
  <c r="CD30" i="2"/>
  <c r="CD144" i="2"/>
  <c r="CD162" i="2"/>
  <c r="CD57" i="2"/>
  <c r="CD54" i="2"/>
  <c r="CD143" i="2"/>
  <c r="CD49" i="2"/>
  <c r="CD172" i="2"/>
  <c r="CD146" i="2"/>
  <c r="CD100" i="2"/>
  <c r="CD122" i="2"/>
  <c r="CD16" i="2"/>
  <c r="CD116" i="2"/>
  <c r="CD161" i="2"/>
  <c r="CD34" i="2"/>
  <c r="CD159" i="2"/>
  <c r="CD120" i="2"/>
  <c r="CD164" i="2"/>
  <c r="CD110" i="2"/>
  <c r="CD90" i="2"/>
  <c r="CD124" i="2"/>
  <c r="CD66" i="2"/>
  <c r="CD133" i="2"/>
  <c r="CD4" i="2"/>
  <c r="CD29" i="2"/>
  <c r="CD86" i="2"/>
  <c r="CD196" i="2"/>
  <c r="CD55" i="2"/>
  <c r="CD79" i="2"/>
  <c r="CD195" i="2"/>
  <c r="CD125" i="2"/>
  <c r="CD104" i="2"/>
  <c r="CD73" i="2"/>
  <c r="CD99" i="2"/>
  <c r="CD174" i="2"/>
  <c r="CD102" i="2"/>
  <c r="CD38" i="2"/>
  <c r="CD142" i="2"/>
  <c r="CD154" i="2"/>
  <c r="CD65" i="2"/>
  <c r="CD89" i="2"/>
  <c r="CD108" i="2"/>
  <c r="CD26" i="2"/>
  <c r="CD185" i="2"/>
  <c r="CD175" i="2"/>
  <c r="CD47" i="2"/>
  <c r="CD91" i="2"/>
  <c r="CD111" i="2"/>
  <c r="CD62" i="2"/>
  <c r="CD52" i="2"/>
  <c r="CD77" i="2"/>
  <c r="CD22" i="2"/>
  <c r="CD198" i="2"/>
  <c r="CD28" i="2"/>
  <c r="CD64" i="2"/>
  <c r="CD190" i="2"/>
  <c r="CD76" i="2"/>
  <c r="CD128" i="2"/>
  <c r="CD56" i="2"/>
  <c r="CD165" i="2"/>
  <c r="CD74" i="2"/>
  <c r="CD155" i="2"/>
  <c r="CD72" i="2"/>
  <c r="CD202" i="2"/>
  <c r="CD103" i="2"/>
  <c r="CD147" i="2"/>
  <c r="CD138" i="2"/>
  <c r="CD180" i="2"/>
  <c r="CD17" i="2"/>
  <c r="CD130" i="2"/>
  <c r="CD107" i="2"/>
  <c r="CD96" i="2"/>
  <c r="CD177" i="2"/>
  <c r="CD166" i="2"/>
  <c r="CD70" i="2"/>
  <c r="CY29" i="2"/>
  <c r="CY112" i="2"/>
  <c r="CY187" i="2"/>
  <c r="CY88" i="2"/>
  <c r="CY164" i="2"/>
  <c r="CY103" i="2"/>
  <c r="CY135" i="2"/>
  <c r="CY75" i="2"/>
  <c r="CY169" i="2"/>
  <c r="CY128" i="2"/>
  <c r="CY141" i="2"/>
  <c r="CY115" i="2"/>
  <c r="CY9" i="2"/>
  <c r="CY170" i="2"/>
  <c r="CY38" i="2"/>
  <c r="CY87" i="2"/>
  <c r="CY152" i="2"/>
  <c r="CY21" i="2"/>
  <c r="CY76" i="2"/>
  <c r="CY136" i="2"/>
  <c r="CY161" i="2"/>
  <c r="CY8" i="2"/>
  <c r="CY39" i="2"/>
  <c r="CY32" i="2"/>
  <c r="CY46" i="2"/>
  <c r="CY14" i="2"/>
  <c r="CY83" i="2"/>
  <c r="CY60" i="2"/>
  <c r="CY12" i="2"/>
  <c r="CY156" i="2"/>
  <c r="CY165" i="2"/>
  <c r="CY20" i="2"/>
  <c r="CY203" i="2"/>
  <c r="CY199" i="2"/>
  <c r="CY107" i="2"/>
  <c r="CY101" i="2"/>
  <c r="CY149" i="2"/>
  <c r="CY166" i="2"/>
  <c r="CY26" i="2"/>
  <c r="CY110" i="2"/>
  <c r="CY182" i="2"/>
  <c r="CY42" i="2"/>
  <c r="CY67" i="2"/>
  <c r="CY151" i="2"/>
  <c r="CY52" i="2"/>
  <c r="CY117" i="2"/>
  <c r="CY146" i="2"/>
  <c r="CY127" i="2"/>
  <c r="CY180" i="2"/>
  <c r="CY23" i="2"/>
  <c r="CY27" i="2"/>
  <c r="CY175" i="2"/>
  <c r="CY106" i="2"/>
  <c r="CY13" i="2"/>
  <c r="CY153" i="2"/>
  <c r="CY37" i="2"/>
  <c r="CY89" i="2"/>
  <c r="CY158" i="2"/>
  <c r="CY71" i="2"/>
  <c r="CY121" i="2"/>
  <c r="CY84" i="2"/>
  <c r="CY40" i="2"/>
  <c r="CY179" i="2"/>
  <c r="CY190" i="2"/>
  <c r="CY74" i="2"/>
  <c r="CY155" i="2"/>
  <c r="CY134" i="2"/>
  <c r="CY173" i="2"/>
  <c r="CY111" i="2"/>
  <c r="CY154" i="2"/>
  <c r="CY5" i="2"/>
  <c r="CY145" i="2"/>
  <c r="CY168" i="2"/>
  <c r="CY66" i="2"/>
  <c r="CY162" i="2"/>
  <c r="CY85" i="2"/>
  <c r="CY104" i="2"/>
  <c r="CY24" i="2"/>
  <c r="CY86" i="2"/>
  <c r="CY36" i="2"/>
  <c r="CY122" i="2"/>
  <c r="CY119" i="2"/>
  <c r="CY157" i="2"/>
  <c r="CY15" i="2"/>
  <c r="CY192" i="2"/>
  <c r="CY28" i="2"/>
  <c r="CY10" i="2"/>
  <c r="CY113" i="2"/>
  <c r="CY167" i="2"/>
  <c r="CY57" i="2"/>
  <c r="CY35" i="2"/>
  <c r="CY131" i="2"/>
  <c r="CY143" i="2"/>
  <c r="CY31" i="2"/>
  <c r="CY70" i="2"/>
  <c r="CY114" i="2"/>
  <c r="CY163" i="2"/>
  <c r="CY159" i="2"/>
  <c r="CY118" i="2"/>
  <c r="CY140" i="2"/>
  <c r="CY53" i="2"/>
  <c r="CY147" i="2"/>
  <c r="CY174" i="2"/>
  <c r="CY137" i="2"/>
  <c r="CY41" i="2"/>
  <c r="CY56" i="2"/>
  <c r="CY19" i="2"/>
  <c r="CY47" i="2"/>
  <c r="CY45" i="2"/>
  <c r="CY144" i="2"/>
  <c r="CY200" i="2"/>
  <c r="CY160" i="2"/>
  <c r="CY94" i="2"/>
  <c r="CY120" i="2"/>
  <c r="CY59" i="2"/>
  <c r="CY11" i="2"/>
  <c r="CY49" i="2"/>
  <c r="CY130" i="2"/>
  <c r="CY3" i="2"/>
  <c r="C10" i="4" s="1"/>
  <c r="E10" i="4" s="1"/>
  <c r="F10" i="4" s="1"/>
  <c r="G10" i="4" s="1"/>
  <c r="L10" i="4" s="1"/>
  <c r="CY17" i="2"/>
  <c r="CY196" i="2"/>
  <c r="CY63" i="2"/>
  <c r="CY123" i="2"/>
  <c r="CY4" i="2"/>
  <c r="CY132" i="2"/>
  <c r="CY181" i="2"/>
  <c r="CY77" i="2"/>
  <c r="CY78" i="2"/>
  <c r="CY126" i="2"/>
  <c r="CY82" i="2"/>
  <c r="CY96" i="2"/>
  <c r="CY69" i="2"/>
  <c r="CY194" i="2"/>
  <c r="CY185" i="2"/>
  <c r="CY109" i="2"/>
  <c r="CY72" i="2"/>
  <c r="CY48" i="2"/>
  <c r="CY138" i="2"/>
  <c r="CY80" i="2"/>
  <c r="CY129" i="2"/>
  <c r="CY65" i="2"/>
  <c r="CY34" i="2"/>
  <c r="CY44" i="2"/>
  <c r="CY191" i="2"/>
  <c r="CY150" i="2"/>
  <c r="CY97" i="2"/>
  <c r="CY193" i="2"/>
  <c r="CY62" i="2"/>
  <c r="CY116" i="2"/>
  <c r="CY133" i="2"/>
  <c r="CY183" i="2"/>
  <c r="CY189" i="2"/>
  <c r="CY177" i="2"/>
  <c r="CY176" i="2"/>
  <c r="CY61" i="2"/>
  <c r="CY7" i="2"/>
  <c r="CY172" i="2"/>
  <c r="CY124" i="2"/>
  <c r="CY92" i="2"/>
  <c r="CY64" i="2"/>
  <c r="CY90" i="2"/>
  <c r="CY18" i="2"/>
  <c r="CY98" i="2"/>
  <c r="CY81" i="2"/>
  <c r="CY188" i="2"/>
  <c r="CY102" i="2"/>
  <c r="CY178" i="2"/>
  <c r="CY30" i="2"/>
  <c r="CY99" i="2"/>
  <c r="CY6" i="2"/>
  <c r="CY58" i="2"/>
  <c r="CY68" i="2"/>
  <c r="CY93" i="2"/>
  <c r="CY201" i="2"/>
  <c r="CY33" i="2"/>
  <c r="CY55" i="2"/>
  <c r="CY171" i="2"/>
  <c r="CY100" i="2"/>
  <c r="CY202" i="2"/>
  <c r="CY91" i="2"/>
  <c r="CY16" i="2"/>
  <c r="CY148" i="2"/>
  <c r="CY186" i="2"/>
  <c r="CY198" i="2"/>
  <c r="CY195" i="2"/>
  <c r="CY197" i="2"/>
  <c r="CY43" i="2"/>
  <c r="CY184" i="2"/>
  <c r="CY125" i="2"/>
  <c r="CY79" i="2"/>
  <c r="CY51" i="2"/>
  <c r="CY73" i="2"/>
  <c r="CY139" i="2"/>
  <c r="CY95" i="2"/>
  <c r="CY25" i="2"/>
  <c r="CY54" i="2"/>
  <c r="CY22" i="2"/>
  <c r="CY142" i="2"/>
  <c r="CY50" i="2"/>
  <c r="CY108" i="2"/>
  <c r="CY105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<sst xmlns="http://schemas.openxmlformats.org/spreadsheetml/2006/main" count="1171" uniqueCount="324">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</sst>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84.113672803399268</c:v>
                </c:pt>
                <c:pt idx="17">
                  <c:v>107.92051495671598</c:v>
                </c:pt>
                <c:pt idx="18">
                  <c:v>131.59741333417946</c:v>
                </c:pt>
                <c:pt idx="19">
                  <c:v>155.17115527031999</c:v>
                </c:pt>
                <c:pt idx="20">
                  <c:v>178.65965761508951</c:v>
                </c:pt>
                <c:pt idx="21">
                  <c:v>143.74255992313238</c:v>
                </c:pt>
                <c:pt idx="22">
                  <c:v>169.34263834209935</c:v>
                </c:pt>
                <c:pt idx="23">
                  <c:v>194.85139259598841</c:v>
                </c:pt>
                <c:pt idx="24">
                  <c:v>220.2824723640712</c:v>
                </c:pt>
                <c:pt idx="25">
                  <c:v>245.64610894283177</c:v>
                </c:pt>
                <c:pt idx="26">
                  <c:v>209.98122047833627</c:v>
                </c:pt>
                <c:pt idx="27">
                  <c:v>234.34307827690756</c:v>
                </c:pt>
                <c:pt idx="28">
                  <c:v>258.64712580976101</c:v>
                </c:pt>
                <c:pt idx="29">
                  <c:v>282.89955759178855</c:v>
                </c:pt>
                <c:pt idx="30">
                  <c:v>307.10541864100406</c:v>
                </c:pt>
                <c:pt idx="31">
                  <c:v>269.58386372149999</c:v>
                </c:pt>
                <c:pt idx="32">
                  <c:v>291.76884281866893</c:v>
                </c:pt>
                <c:pt idx="33">
                  <c:v>313.9161563114389</c:v>
                </c:pt>
                <c:pt idx="34">
                  <c:v>336.02883386480761</c:v>
                </c:pt>
                <c:pt idx="35">
                  <c:v>358.10947390735402</c:v>
                </c:pt>
                <c:pt idx="36">
                  <c:v>318.00102122537891</c:v>
                </c:pt>
                <c:pt idx="37">
                  <c:v>337.38854301296448</c:v>
                </c:pt>
                <c:pt idx="38">
                  <c:v>356.7515468667284</c:v>
                </c:pt>
                <c:pt idx="39">
                  <c:v>376.09155014049139</c:v>
                </c:pt>
                <c:pt idx="40">
                  <c:v>395.40990144559356</c:v>
                </c:pt>
                <c:pt idx="41">
                  <c:v>352.67708456218475</c:v>
                </c:pt>
                <c:pt idx="42">
                  <c:v>369.30811574035579</c:v>
                </c:pt>
                <c:pt idx="43">
                  <c:v>385.92281180916166</c:v>
                </c:pt>
                <c:pt idx="44">
                  <c:v>402.5219748287804</c:v>
                </c:pt>
                <c:pt idx="45">
                  <c:v>419.10633532774767</c:v>
                </c:pt>
                <c:pt idx="46">
                  <c:v>392.69981359198135</c:v>
                </c:pt>
                <c:pt idx="47">
                  <c:v>406.92332134334953</c:v>
                </c:pt>
                <c:pt idx="48">
                  <c:v>421.13608919058862</c:v>
                </c:pt>
                <c:pt idx="49">
                  <c:v>435.33853059869926</c:v>
                </c:pt>
                <c:pt idx="50">
                  <c:v>449.53102985794368</c:v>
                </c:pt>
                <c:pt idx="51">
                  <c:v>429.92926929891951</c:v>
                </c:pt>
                <c:pt idx="52">
                  <c:v>442.43600003546334</c:v>
                </c:pt>
                <c:pt idx="53">
                  <c:v>454.93515661064185</c:v>
                </c:pt>
                <c:pt idx="54">
                  <c:v>467.42697643811471</c:v>
                </c:pt>
                <c:pt idx="55">
                  <c:v>479.91168320756537</c:v>
                </c:pt>
                <c:pt idx="56">
                  <c:v>463.71394501783237</c:v>
                </c:pt>
                <c:pt idx="57">
                  <c:v>474.51375017343656</c:v>
                </c:pt>
                <c:pt idx="58">
                  <c:v>485.30832573764309</c:v>
                </c:pt>
                <c:pt idx="59">
                  <c:v>496.09780443549545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520.0193866370247</c:v>
                </c:pt>
                <c:pt idx="68">
                  <c:v>527.42694440011905</c:v>
                </c:pt>
                <c:pt idx="69">
                  <c:v>534.83231174765172</c:v>
                </c:pt>
                <c:pt idx="70">
                  <c:v>542.23552329497818</c:v>
                </c:pt>
                <c:pt idx="71">
                  <c:v>527.42694440011894</c:v>
                </c:pt>
                <c:pt idx="72">
                  <c:v>534.49575116718847</c:v>
                </c:pt>
                <c:pt idx="73">
                  <c:v>541.56259225555311</c:v>
                </c:pt>
                <c:pt idx="74">
                  <c:v>548.62749694119634</c:v>
                </c:pt>
                <c:pt idx="75">
                  <c:v>555.69049368437459</c:v>
                </c:pt>
                <c:pt idx="76">
                  <c:v>541.56259225555311</c:v>
                </c:pt>
                <c:pt idx="77">
                  <c:v>547.61834231122236</c:v>
                </c:pt>
                <c:pt idx="78">
                  <c:v>553.67268767470523</c:v>
                </c:pt>
                <c:pt idx="79">
                  <c:v>559.72564587886836</c:v>
                </c:pt>
                <c:pt idx="80">
                  <c:v>565.7772340462966</c:v>
                </c:pt>
                <c:pt idx="81">
                  <c:v>547.28194876789507</c:v>
                </c:pt>
                <c:pt idx="82">
                  <c:v>547.28194876789507</c:v>
                </c:pt>
                <c:pt idx="83">
                  <c:v>547.28194876789507</c:v>
                </c:pt>
                <c:pt idx="84">
                  <c:v>547.28194876789507</c:v>
                </c:pt>
                <c:pt idx="85">
                  <c:v>547.28194876789507</c:v>
                </c:pt>
                <c:pt idx="86">
                  <c:v>547.28194876789507</c:v>
                </c:pt>
                <c:pt idx="87">
                  <c:v>547.28194876789507</c:v>
                </c:pt>
                <c:pt idx="88">
                  <c:v>547.28194876789507</c:v>
                </c:pt>
                <c:pt idx="89">
                  <c:v>547.28194876789507</c:v>
                </c:pt>
                <c:pt idx="90">
                  <c:v>547.28194876789507</c:v>
                </c:pt>
                <c:pt idx="91">
                  <c:v>547.28194876789507</c:v>
                </c:pt>
                <c:pt idx="92">
                  <c:v>547.28194876789507</c:v>
                </c:pt>
                <c:pt idx="93">
                  <c:v>547.28194876789507</c:v>
                </c:pt>
                <c:pt idx="94">
                  <c:v>547.28194876789507</c:v>
                </c:pt>
                <c:pt idx="95">
                  <c:v>547.28194876789507</c:v>
                </c:pt>
                <c:pt idx="96">
                  <c:v>547.28194876789507</c:v>
                </c:pt>
                <c:pt idx="97">
                  <c:v>547.28194876789507</c:v>
                </c:pt>
                <c:pt idx="98">
                  <c:v>547.28194876789507</c:v>
                </c:pt>
                <c:pt idx="99">
                  <c:v>547.28194876789507</c:v>
                </c:pt>
                <c:pt idx="100">
                  <c:v>547.28194876789507</c:v>
                </c:pt>
                <c:pt idx="101">
                  <c:v>547.28194876789507</c:v>
                </c:pt>
                <c:pt idx="102">
                  <c:v>547.28194876789507</c:v>
                </c:pt>
                <c:pt idx="103">
                  <c:v>547.28194876789507</c:v>
                </c:pt>
                <c:pt idx="104">
                  <c:v>547.28194876789507</c:v>
                </c:pt>
                <c:pt idx="105">
                  <c:v>547.28194876789507</c:v>
                </c:pt>
                <c:pt idx="106">
                  <c:v>547.28194876789507</c:v>
                </c:pt>
                <c:pt idx="107">
                  <c:v>547.28194876789507</c:v>
                </c:pt>
                <c:pt idx="108">
                  <c:v>547.28194876789507</c:v>
                </c:pt>
                <c:pt idx="109">
                  <c:v>547.28194876789507</c:v>
                </c:pt>
                <c:pt idx="110">
                  <c:v>547.28194876789507</c:v>
                </c:pt>
                <c:pt idx="111">
                  <c:v>547.28194876789507</c:v>
                </c:pt>
                <c:pt idx="112">
                  <c:v>547.28194876789507</c:v>
                </c:pt>
                <c:pt idx="113">
                  <c:v>547.28194876789507</c:v>
                </c:pt>
                <c:pt idx="114">
                  <c:v>547.28194876789507</c:v>
                </c:pt>
                <c:pt idx="115">
                  <c:v>547.28194876789507</c:v>
                </c:pt>
                <c:pt idx="116">
                  <c:v>547.28194876789507</c:v>
                </c:pt>
                <c:pt idx="117">
                  <c:v>547.28194876789507</c:v>
                </c:pt>
                <c:pt idx="118">
                  <c:v>547.28194876789507</c:v>
                </c:pt>
                <c:pt idx="119">
                  <c:v>547.28194876789507</c:v>
                </c:pt>
                <c:pt idx="120">
                  <c:v>547.28194876789507</c:v>
                </c:pt>
                <c:pt idx="121">
                  <c:v>547.28194876789507</c:v>
                </c:pt>
                <c:pt idx="122">
                  <c:v>547.28194876789507</c:v>
                </c:pt>
                <c:pt idx="123">
                  <c:v>547.28194876789507</c:v>
                </c:pt>
                <c:pt idx="124">
                  <c:v>547.28194876789507</c:v>
                </c:pt>
                <c:pt idx="125">
                  <c:v>547.28194876789507</c:v>
                </c:pt>
                <c:pt idx="126">
                  <c:v>547.28194876789507</c:v>
                </c:pt>
                <c:pt idx="127">
                  <c:v>547.28194876789507</c:v>
                </c:pt>
                <c:pt idx="128">
                  <c:v>547.28194876789507</c:v>
                </c:pt>
                <c:pt idx="129">
                  <c:v>547.28194876789507</c:v>
                </c:pt>
                <c:pt idx="130">
                  <c:v>547.28194876789507</c:v>
                </c:pt>
                <c:pt idx="131">
                  <c:v>547.28194876789507</c:v>
                </c:pt>
                <c:pt idx="132">
                  <c:v>547.28194876789507</c:v>
                </c:pt>
                <c:pt idx="133">
                  <c:v>547.28194876789507</c:v>
                </c:pt>
                <c:pt idx="134">
                  <c:v>547.28194876789507</c:v>
                </c:pt>
                <c:pt idx="135">
                  <c:v>547.28194876789507</c:v>
                </c:pt>
                <c:pt idx="136">
                  <c:v>547.28194876789507</c:v>
                </c:pt>
                <c:pt idx="137">
                  <c:v>547.28194876789507</c:v>
                </c:pt>
                <c:pt idx="138">
                  <c:v>547.28194876789507</c:v>
                </c:pt>
                <c:pt idx="139">
                  <c:v>547.28194876789507</c:v>
                </c:pt>
                <c:pt idx="140">
                  <c:v>547.28194876789507</c:v>
                </c:pt>
                <c:pt idx="141">
                  <c:v>547.28194876789507</c:v>
                </c:pt>
                <c:pt idx="142">
                  <c:v>547.28194876789507</c:v>
                </c:pt>
                <c:pt idx="143">
                  <c:v>547.28194876789507</c:v>
                </c:pt>
                <c:pt idx="144">
                  <c:v>547.28194876789507</c:v>
                </c:pt>
                <c:pt idx="145">
                  <c:v>547.28194876789507</c:v>
                </c:pt>
                <c:pt idx="146">
                  <c:v>547.28194876789507</c:v>
                </c:pt>
                <c:pt idx="147">
                  <c:v>547.28194876789507</c:v>
                </c:pt>
                <c:pt idx="148">
                  <c:v>547.28194876789507</c:v>
                </c:pt>
                <c:pt idx="149">
                  <c:v>547.28194876789507</c:v>
                </c:pt>
                <c:pt idx="150">
                  <c:v>547.28194876789507</c:v>
                </c:pt>
                <c:pt idx="151">
                  <c:v>547.28194876789507</c:v>
                </c:pt>
                <c:pt idx="152">
                  <c:v>547.28194876789507</c:v>
                </c:pt>
                <c:pt idx="153">
                  <c:v>547.28194876789507</c:v>
                </c:pt>
                <c:pt idx="154">
                  <c:v>547.28194876789507</c:v>
                </c:pt>
                <c:pt idx="155">
                  <c:v>547.28194876789507</c:v>
                </c:pt>
                <c:pt idx="156">
                  <c:v>547.28194876789507</c:v>
                </c:pt>
                <c:pt idx="157">
                  <c:v>547.28194876789507</c:v>
                </c:pt>
                <c:pt idx="158">
                  <c:v>547.28194876789507</c:v>
                </c:pt>
                <c:pt idx="159">
                  <c:v>547.28194876789507</c:v>
                </c:pt>
                <c:pt idx="160">
                  <c:v>547.28194876789507</c:v>
                </c:pt>
                <c:pt idx="161">
                  <c:v>547.28194876789507</c:v>
                </c:pt>
                <c:pt idx="162">
                  <c:v>547.28194876789507</c:v>
                </c:pt>
                <c:pt idx="163">
                  <c:v>547.28194876789507</c:v>
                </c:pt>
                <c:pt idx="164">
                  <c:v>547.28194876789507</c:v>
                </c:pt>
                <c:pt idx="165">
                  <c:v>547.28194876789507</c:v>
                </c:pt>
                <c:pt idx="166">
                  <c:v>547.28194876789507</c:v>
                </c:pt>
                <c:pt idx="167">
                  <c:v>547.28194876789507</c:v>
                </c:pt>
                <c:pt idx="168">
                  <c:v>547.28194876789507</c:v>
                </c:pt>
                <c:pt idx="169">
                  <c:v>547.28194876789507</c:v>
                </c:pt>
                <c:pt idx="170">
                  <c:v>547.28194876789507</c:v>
                </c:pt>
                <c:pt idx="171">
                  <c:v>547.28194876789507</c:v>
                </c:pt>
                <c:pt idx="172">
                  <c:v>547.28194876789507</c:v>
                </c:pt>
                <c:pt idx="173">
                  <c:v>547.28194876789507</c:v>
                </c:pt>
                <c:pt idx="174">
                  <c:v>547.28194876789507</c:v>
                </c:pt>
                <c:pt idx="175">
                  <c:v>547.28194876789507</c:v>
                </c:pt>
                <c:pt idx="176">
                  <c:v>547.28194876789507</c:v>
                </c:pt>
                <c:pt idx="177">
                  <c:v>547.28194876789507</c:v>
                </c:pt>
                <c:pt idx="178">
                  <c:v>547.28194876789507</c:v>
                </c:pt>
                <c:pt idx="179">
                  <c:v>547.28194876789507</c:v>
                </c:pt>
                <c:pt idx="180">
                  <c:v>547.28194876789507</c:v>
                </c:pt>
                <c:pt idx="181">
                  <c:v>547.28194876789507</c:v>
                </c:pt>
                <c:pt idx="182">
                  <c:v>547.28194876789507</c:v>
                </c:pt>
                <c:pt idx="183">
                  <c:v>547.28194876789507</c:v>
                </c:pt>
                <c:pt idx="184">
                  <c:v>547.28194876789507</c:v>
                </c:pt>
                <c:pt idx="185">
                  <c:v>547.28194876789507</c:v>
                </c:pt>
                <c:pt idx="186">
                  <c:v>547.28194876789507</c:v>
                </c:pt>
                <c:pt idx="187">
                  <c:v>547.28194876789507</c:v>
                </c:pt>
                <c:pt idx="188">
                  <c:v>547.28194876789507</c:v>
                </c:pt>
                <c:pt idx="189">
                  <c:v>547.28194876789507</c:v>
                </c:pt>
                <c:pt idx="190">
                  <c:v>547.28194876789507</c:v>
                </c:pt>
                <c:pt idx="191">
                  <c:v>547.28194876789507</c:v>
                </c:pt>
                <c:pt idx="192">
                  <c:v>547.28194876789507</c:v>
                </c:pt>
                <c:pt idx="193">
                  <c:v>547.28194876789507</c:v>
                </c:pt>
                <c:pt idx="194">
                  <c:v>547.28194876789507</c:v>
                </c:pt>
                <c:pt idx="195">
                  <c:v>547.28194876789507</c:v>
                </c:pt>
                <c:pt idx="196">
                  <c:v>547.28194876789507</c:v>
                </c:pt>
                <c:pt idx="197">
                  <c:v>547.28194876789507</c:v>
                </c:pt>
                <c:pt idx="198">
                  <c:v>547.28194876789507</c:v>
                </c:pt>
                <c:pt idx="199">
                  <c:v>547.28194876789507</c:v>
                </c:pt>
                <c:pt idx="200">
                  <c:v>547.28194876789507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0" zoomScale="90" zoomScaleNormal="90" workbookViewId="0">
      <selection activeCell="E19" sqref="E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0.95</v>
      </c>
      <c r="D9" s="36">
        <f t="shared" ref="D9:D18" si="0">C9*$C$5</f>
        <v>2.6599999999999997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22</v>
      </c>
      <c r="C10" s="35">
        <v>0.05</v>
      </c>
      <c r="D10" s="36">
        <f t="shared" si="0"/>
        <v>0.13999999999999999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107</v>
      </c>
      <c r="C36" s="63">
        <v>1</v>
      </c>
      <c r="D36" s="63">
        <v>34</v>
      </c>
      <c r="E36" s="54"/>
      <c r="F36" s="54"/>
      <c r="G36" s="54"/>
      <c r="H36" s="54">
        <v>1</v>
      </c>
      <c r="I36" s="52">
        <f>IFERROR(B36/A36,"")</f>
        <v>7.1333333333333337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154</v>
      </c>
      <c r="C37" s="63">
        <v>2</v>
      </c>
      <c r="D37" s="63">
        <v>50</v>
      </c>
      <c r="E37" s="54"/>
      <c r="F37" s="54">
        <v>0.4</v>
      </c>
      <c r="G37" s="54"/>
      <c r="H37" s="54">
        <v>0.6</v>
      </c>
      <c r="I37" s="56">
        <f t="shared" ref="I37:I55" si="1">IF(A37&lt;&gt;0,(B37-(B36-D36))/(A37-A36),"")</f>
        <v>16.2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182</v>
      </c>
      <c r="C38" s="63">
        <v>3</v>
      </c>
      <c r="D38" s="63">
        <v>52</v>
      </c>
      <c r="E38" s="54"/>
      <c r="F38" s="54">
        <v>0.6</v>
      </c>
      <c r="G38" s="54"/>
      <c r="H38" s="54">
        <v>0.4</v>
      </c>
      <c r="I38" s="56">
        <f t="shared" si="1"/>
        <v>15.6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204</v>
      </c>
      <c r="C39" s="63">
        <v>4</v>
      </c>
      <c r="D39" s="63">
        <v>51</v>
      </c>
      <c r="E39" s="54">
        <v>0.2</v>
      </c>
      <c r="F39" s="54">
        <v>0.8</v>
      </c>
      <c r="G39" s="54"/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221</v>
      </c>
      <c r="C40" s="63">
        <v>5</v>
      </c>
      <c r="D40" s="63">
        <v>49</v>
      </c>
      <c r="E40" s="54"/>
      <c r="F40" s="54"/>
      <c r="G40" s="54"/>
      <c r="H40" s="54"/>
      <c r="I40" s="52">
        <f t="shared" si="1"/>
        <v>13.6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233</v>
      </c>
      <c r="C41" s="63">
        <v>6</v>
      </c>
      <c r="D41" s="63">
        <v>45</v>
      </c>
      <c r="E41" s="54"/>
      <c r="F41" s="54"/>
      <c r="G41" s="54"/>
      <c r="H41" s="54"/>
      <c r="I41" s="56">
        <f t="shared" si="1"/>
        <v>12.2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244</v>
      </c>
      <c r="C42" s="63">
        <v>7</v>
      </c>
      <c r="D42" s="63">
        <v>41</v>
      </c>
      <c r="E42" s="54"/>
      <c r="F42" s="54"/>
      <c r="G42" s="54"/>
      <c r="H42" s="54"/>
      <c r="I42" s="56">
        <f t="shared" si="1"/>
        <v>11.2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252</v>
      </c>
      <c r="C43" s="63">
        <v>8</v>
      </c>
      <c r="D43" s="63">
        <v>37</v>
      </c>
      <c r="E43" s="54"/>
      <c r="F43" s="54"/>
      <c r="G43" s="54"/>
      <c r="H43" s="54"/>
      <c r="I43" s="52">
        <f t="shared" si="1"/>
        <v>9.8000000000000007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258</v>
      </c>
      <c r="C44" s="63">
        <v>9</v>
      </c>
      <c r="D44" s="63">
        <v>258</v>
      </c>
      <c r="E44" s="54"/>
      <c r="F44" s="54"/>
      <c r="G44" s="54"/>
      <c r="H44" s="54"/>
      <c r="I44" s="52">
        <f t="shared" si="1"/>
        <v>8.6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plane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11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1.1000000000000001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65</v>
      </c>
      <c r="C63" s="63">
        <v>2</v>
      </c>
      <c r="D63" s="63">
        <v>32</v>
      </c>
      <c r="E63" s="54"/>
      <c r="F63" s="54"/>
      <c r="G63" s="54">
        <v>1</v>
      </c>
      <c r="H63" s="54"/>
      <c r="I63" s="52">
        <f>IF(A63&lt;&gt;0,(B63-(B62-D62))/(A63-A62),"")</f>
        <v>10.8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101</v>
      </c>
      <c r="C64" s="63">
        <v>3</v>
      </c>
      <c r="D64" s="63">
        <v>35</v>
      </c>
      <c r="E64" s="54"/>
      <c r="F64" s="54">
        <v>0.2</v>
      </c>
      <c r="G64" s="54">
        <v>0.8</v>
      </c>
      <c r="H64" s="54"/>
      <c r="I64" s="52">
        <f>IF(A64&lt;&gt;0,(B64-(B63-D63))/(A64-A63),"")</f>
        <v>13.6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140</v>
      </c>
      <c r="C65" s="63">
        <v>4</v>
      </c>
      <c r="D65" s="63">
        <v>35</v>
      </c>
      <c r="E65" s="54"/>
      <c r="F65" s="54">
        <v>0.2</v>
      </c>
      <c r="G65" s="54">
        <v>0.8</v>
      </c>
      <c r="H65" s="54"/>
      <c r="I65" s="52">
        <f>IF(A65&lt;&gt;0,(B65-(B64-D64))/(A65-A64),"")</f>
        <v>14.8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176</v>
      </c>
      <c r="C66" s="63">
        <v>5</v>
      </c>
      <c r="D66" s="63">
        <v>35</v>
      </c>
      <c r="E66" s="54">
        <v>0.2</v>
      </c>
      <c r="F66" s="54">
        <v>0.2</v>
      </c>
      <c r="G66" s="54">
        <v>0.6</v>
      </c>
      <c r="H66" s="54"/>
      <c r="I66" s="52">
        <f t="shared" ref="I66:I81" si="2">IF(A66&lt;&gt;0,(B66-(B65-D65))/(A66-A65),"")</f>
        <v>14.2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206</v>
      </c>
      <c r="C67" s="63">
        <v>6</v>
      </c>
      <c r="D67" s="63">
        <v>35</v>
      </c>
      <c r="E67" s="54"/>
      <c r="F67" s="54"/>
      <c r="G67" s="54"/>
      <c r="H67" s="54"/>
      <c r="I67" s="52">
        <f t="shared" si="2"/>
        <v>13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228</v>
      </c>
      <c r="C68" s="63">
        <v>7</v>
      </c>
      <c r="D68" s="63">
        <v>35</v>
      </c>
      <c r="E68" s="54"/>
      <c r="F68" s="54"/>
      <c r="G68" s="54"/>
      <c r="H68" s="54"/>
      <c r="I68" s="52">
        <f t="shared" si="2"/>
        <v>11.4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242</v>
      </c>
      <c r="C69" s="53">
        <v>8</v>
      </c>
      <c r="D69" s="53">
        <v>24</v>
      </c>
      <c r="E69" s="54"/>
      <c r="F69" s="54"/>
      <c r="G69" s="54"/>
      <c r="H69" s="54"/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260</v>
      </c>
      <c r="C70" s="53">
        <v>9</v>
      </c>
      <c r="D70" s="53">
        <v>19</v>
      </c>
      <c r="E70" s="54"/>
      <c r="F70" s="54"/>
      <c r="G70" s="54"/>
      <c r="H70" s="54"/>
      <c r="I70" s="52">
        <f t="shared" si="2"/>
        <v>8.4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v>278</v>
      </c>
      <c r="C71" s="53">
        <v>10</v>
      </c>
      <c r="D71" s="53">
        <v>16</v>
      </c>
      <c r="E71" s="54"/>
      <c r="F71" s="54"/>
      <c r="G71" s="54"/>
      <c r="H71" s="54"/>
      <c r="I71" s="52">
        <f t="shared" si="2"/>
        <v>7.4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v>294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v>306</v>
      </c>
      <c r="C73" s="53">
        <v>12</v>
      </c>
      <c r="D73" s="53">
        <v>13</v>
      </c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v>315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v>323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v>329</v>
      </c>
      <c r="C76" s="53">
        <v>15</v>
      </c>
      <c r="D76" s="53">
        <v>11</v>
      </c>
      <c r="E76" s="54"/>
      <c r="F76" s="54"/>
      <c r="G76" s="54"/>
      <c r="H76" s="54"/>
      <c r="I76" s="52">
        <f t="shared" si="2"/>
        <v>3.6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53"/>
      <c r="C88" s="53"/>
      <c r="D88" s="5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rouge d'Amérique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Erable plane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317.71917965043735</v>
      </c>
      <c r="T3" s="62">
        <f>IF('Données projet'!E9&gt;30,$R$33-$H$33,LOOKUP('Données projet'!$E$9,$A$3:$A$203,R3:R203)-LOOKUP('Données projet'!$E$9,$A$3:$A$203,$H$3:$H$203))</f>
        <v>444.40801165665744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376.47942810265266</v>
      </c>
      <c r="AO3" s="62">
        <f>IF('Données projet'!E10&gt;30,$AM$33-$H$33,LOOKUP('Données projet'!$E$10,$A$3:$A$203,AM3:AM203)-LOOKUP('Données projet'!$E$10,$A$3:$A$203,$H$3:$H$203))</f>
        <v>362.87951024071265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7.1333333333333337</v>
      </c>
      <c r="N4" s="14">
        <f>IF('Données projet'!$A$36&gt;35,N3+M4-V3,IF(A4&lt;'Données projet'!$A$36,$K$205^A4,IF(A4='Données projet'!$A$36,'Données projet'!$B$36,N3+M4-V3)))</f>
        <v>1.3655017210306359</v>
      </c>
      <c r="O4" s="14">
        <f>N4*VLOOKUP('Données projet'!$B$9,Paramètres!$A$1:$I$89,3,0)*VLOOKUP('Données projet'!$B$9,Paramètres!$A$1:$I$89,5,0)</f>
        <v>1.1929023034923638</v>
      </c>
      <c r="P4" s="14">
        <f>EXP(-1.0587+0.8836*LN(O4)+0.284)</f>
        <v>0.53856749022761552</v>
      </c>
      <c r="Q4" s="22">
        <f t="shared" ref="Q4:Q34" si="2">(O4+P4)*0.475*44/12</f>
        <v>3.015643224062297</v>
      </c>
      <c r="R4" s="62">
        <f t="shared" si="0"/>
        <v>170.82807717698614</v>
      </c>
      <c r="S4" s="62">
        <f ca="1">AVERAGE(OFFSET($R$3,0,0,'Données projet'!$E$9+1,1))-AVERAGE(OFFSET($H$3,0,0,'Données projet'!$E$9+1,1))</f>
        <v>317.71917965043735</v>
      </c>
      <c r="T4" s="62">
        <f>$T$3</f>
        <v>444.40801165665744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1.1000000000000001</v>
      </c>
      <c r="AI4" s="14">
        <f>IF('Données projet'!$A$62&gt;35,AI3+AH4-AQ3,IF(A4&lt;'Données projet'!$A$62,$AF$205^A4,IF(A4='Données projet'!$A$62,'Données projet'!$B$62,AI3+AH4-AQ3)))</f>
        <v>1.2709816152101407</v>
      </c>
      <c r="AJ4" s="14">
        <f>AI4*VLOOKUP('Données projet'!$B$10,Paramètres!$A$1:$I$89,3,0)*VLOOKUP('Données projet'!$B$10,Paramètres!$A$1:$I$89,5,0)</f>
        <v>1.0111929730611879</v>
      </c>
      <c r="AK4" s="14">
        <f>EXP(-1.0587+0.8836*LN(AJ4)+0.284)</f>
        <v>0.46539683474213156</v>
      </c>
      <c r="AL4" s="22">
        <f t="shared" ref="AL4:AL67" si="4">(AJ4+AK4)*0.475*44/12</f>
        <v>2.5717272485907814</v>
      </c>
      <c r="AM4" s="62">
        <f t="shared" ref="AM4:AM67" si="5">AL4+(AD4+AE4)*44/12</f>
        <v>170.38416120151462</v>
      </c>
      <c r="AN4" s="62">
        <f ca="1">AVERAGE(OFFSET($AM$3,0,0,'Données projet'!$E$10+1,1))-AVERAGE(OFFSET($H$3,0,0,'Données projet'!$E$10+1,1))</f>
        <v>376.47942810265266</v>
      </c>
      <c r="AO4" s="62">
        <f>$AO$3</f>
        <v>362.87951024071265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7.1333333333333337</v>
      </c>
      <c r="N5" s="14">
        <f>IF('Données projet'!$A$36&gt;35,N4+M5-V4,IF(A5&lt;'Données projet'!$A$36,$K$205^A5,IF(A5='Données projet'!$A$36,'Données projet'!$B$36,N4+M5-V4)))</f>
        <v>1.8645949501376287</v>
      </c>
      <c r="O5" s="14">
        <f>N5*VLOOKUP('Données projet'!$B$9,Paramètres!$A$1:$I$89,3,0)*VLOOKUP('Données projet'!$B$9,Paramètres!$A$1:$I$89,5,0)</f>
        <v>1.6289101484402326</v>
      </c>
      <c r="P5" s="14">
        <f t="shared" ref="P5:P68" si="33">EXP(-1.0587+0.8836*LN(O5)+0.284)</f>
        <v>0.70922554238821334</v>
      </c>
      <c r="Q5" s="22">
        <f t="shared" si="2"/>
        <v>4.0722529948595438</v>
      </c>
      <c r="R5" s="62">
        <f t="shared" si="0"/>
        <v>174.66953428236039</v>
      </c>
      <c r="S5" s="62">
        <f ca="1">AVERAGE(OFFSET($R$3,0,0,'Données projet'!$E$9+1,1))-AVERAGE(OFFSET($H$3,0,0,'Données projet'!$E$9+1,1))</f>
        <v>317.71917965043735</v>
      </c>
      <c r="T5" s="62">
        <f t="shared" ref="T5:T68" si="34">$T$3</f>
        <v>444.40801165665744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1.1000000000000001</v>
      </c>
      <c r="AI5" s="14">
        <f>IF('Données projet'!$A$62&gt;35,AI4+AH5-AQ4,IF(A5&lt;'Données projet'!$A$62,$AF$205^A5,IF(A5='Données projet'!$A$62,'Données projet'!$B$62,AI4+AH5-AQ4)))</f>
        <v>1.6153942662021783</v>
      </c>
      <c r="AJ5" s="14">
        <f>AI5*VLOOKUP('Données projet'!$B$10,Paramètres!$A$1:$I$89,3,0)*VLOOKUP('Données projet'!$B$10,Paramètres!$A$1:$I$89,5,0)</f>
        <v>1.2852076781904531</v>
      </c>
      <c r="AK5" s="14">
        <f t="shared" ref="AK5:AK68" si="35">EXP(-1.0587+0.8836*LN(AJ5)+0.284)</f>
        <v>0.57522914588482876</v>
      </c>
      <c r="AL5" s="22">
        <f t="shared" si="4"/>
        <v>3.2402608019311159</v>
      </c>
      <c r="AM5" s="62">
        <f t="shared" si="5"/>
        <v>173.83754208943196</v>
      </c>
      <c r="AN5" s="62">
        <f ca="1">AVERAGE(OFFSET($AM$3,0,0,'Données projet'!$E$10+1,1))-AVERAGE(OFFSET($H$3,0,0,'Données projet'!$E$10+1,1))</f>
        <v>376.47942810265266</v>
      </c>
      <c r="AO5" s="62">
        <f t="shared" ref="AO5:AO68" si="36">$AO$3</f>
        <v>362.87951024071265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7.1333333333333337</v>
      </c>
      <c r="N6" s="14">
        <f>IF('Données projet'!$A$36&gt;35,N5+M6-V5,IF(A6&lt;'Données projet'!$A$36,$K$205^A6,IF(A6='Données projet'!$A$36,'Données projet'!$B$36,N5+M6-V5)))</f>
        <v>2.5461076134379645</v>
      </c>
      <c r="O6" s="14">
        <f>N6*VLOOKUP('Données projet'!$B$9,Paramètres!$A$1:$I$89,3,0)*VLOOKUP('Données projet'!$B$9,Paramètres!$A$1:$I$89,5,0)</f>
        <v>2.2242796110994063</v>
      </c>
      <c r="P6" s="14">
        <f t="shared" si="33"/>
        <v>0.93396069963909534</v>
      </c>
      <c r="Q6" s="22">
        <f t="shared" si="2"/>
        <v>5.5006018745362235</v>
      </c>
      <c r="R6" s="62">
        <f t="shared" si="0"/>
        <v>178.8556224444211</v>
      </c>
      <c r="S6" s="62">
        <f ca="1">AVERAGE(OFFSET($R$3,0,0,'Données projet'!$E$9+1,1))-AVERAGE(OFFSET($H$3,0,0,'Données projet'!$E$9+1,1))</f>
        <v>317.71917965043735</v>
      </c>
      <c r="T6" s="62">
        <f t="shared" si="34"/>
        <v>444.40801165665744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1.1000000000000001</v>
      </c>
      <c r="AI6" s="14">
        <f>IF('Données projet'!$A$62&gt;35,AI5+AH6-AQ5,IF(A6&lt;'Données projet'!$A$62,$AF$205^A6,IF(A6='Données projet'!$A$62,'Données projet'!$B$62,AI5+AH6-AQ5)))</f>
        <v>2.0531364136588448</v>
      </c>
      <c r="AJ6" s="14">
        <f>AI6*VLOOKUP('Données projet'!$B$10,Paramètres!$A$1:$I$89,3,0)*VLOOKUP('Données projet'!$B$10,Paramètres!$A$1:$I$89,5,0)</f>
        <v>1.6334753307069771</v>
      </c>
      <c r="AK6" s="14">
        <f t="shared" si="35"/>
        <v>0.71098156578295024</v>
      </c>
      <c r="AL6" s="22">
        <f t="shared" si="4"/>
        <v>4.0832624280532892</v>
      </c>
      <c r="AM6" s="62">
        <f t="shared" si="5"/>
        <v>177.43828299793819</v>
      </c>
      <c r="AN6" s="62">
        <f ca="1">AVERAGE(OFFSET($AM$3,0,0,'Données projet'!$E$10+1,1))-AVERAGE(OFFSET($H$3,0,0,'Données projet'!$E$10+1,1))</f>
        <v>376.47942810265266</v>
      </c>
      <c r="AO6" s="62">
        <f t="shared" si="36"/>
        <v>362.87951024071265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7.1333333333333337</v>
      </c>
      <c r="N7" s="14">
        <f>IF('Données projet'!$A$36&gt;35,N6+M7-V6,IF(A7&lt;'Données projet'!$A$36,$K$205^A7,IF(A7='Données projet'!$A$36,'Données projet'!$B$36,N6+M7-V6)))</f>
        <v>3.4767143280787458</v>
      </c>
      <c r="O7" s="14">
        <f>N7*VLOOKUP('Données projet'!$B$9,Paramètres!$A$1:$I$89,3,0)*VLOOKUP('Données projet'!$B$9,Paramètres!$A$1:$I$89,5,0)</f>
        <v>3.0372576370095925</v>
      </c>
      <c r="P7" s="14">
        <f t="shared" si="33"/>
        <v>1.2299085923119242</v>
      </c>
      <c r="Q7" s="22">
        <f t="shared" si="2"/>
        <v>7.4319811827349751</v>
      </c>
      <c r="R7" s="62">
        <f t="shared" si="0"/>
        <v>183.51810324691192</v>
      </c>
      <c r="S7" s="62">
        <f ca="1">AVERAGE(OFFSET($R$3,0,0,'Données projet'!$E$9+1,1))-AVERAGE(OFFSET($H$3,0,0,'Données projet'!$E$9+1,1))</f>
        <v>317.71917965043735</v>
      </c>
      <c r="T7" s="62">
        <f t="shared" si="34"/>
        <v>444.40801165665744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1.1000000000000001</v>
      </c>
      <c r="AI7" s="14">
        <f>IF('Données projet'!$A$62&gt;35,AI6+AH7-AQ6,IF(A7&lt;'Données projet'!$A$62,$AF$205^A7,IF(A7='Données projet'!$A$62,'Données projet'!$B$62,AI6+AH7-AQ6)))</f>
        <v>2.6094986352788743</v>
      </c>
      <c r="AJ7" s="14">
        <f>AI7*VLOOKUP('Données projet'!$B$10,Paramètres!$A$1:$I$89,3,0)*VLOOKUP('Données projet'!$B$10,Paramètres!$A$1:$I$89,5,0)</f>
        <v>2.0761171142278725</v>
      </c>
      <c r="AK7" s="14">
        <f t="shared" si="35"/>
        <v>0.87877116536856548</v>
      </c>
      <c r="AL7" s="22">
        <f t="shared" si="4"/>
        <v>5.14643042029713</v>
      </c>
      <c r="AM7" s="62">
        <f t="shared" si="5"/>
        <v>181.23255248447407</v>
      </c>
      <c r="AN7" s="62">
        <f ca="1">AVERAGE(OFFSET($AM$3,0,0,'Données projet'!$E$10+1,1))-AVERAGE(OFFSET($H$3,0,0,'Données projet'!$E$10+1,1))</f>
        <v>376.47942810265266</v>
      </c>
      <c r="AO7" s="62">
        <f t="shared" si="36"/>
        <v>362.87951024071265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7.1333333333333337</v>
      </c>
      <c r="N8" s="14">
        <f>IF('Données projet'!$A$36&gt;35,N7+M8-V7,IF(A8&lt;'Données projet'!$A$36,$K$205^A8,IF(A8='Données projet'!$A$36,'Données projet'!$B$36,N7+M8-V7)))</f>
        <v>4.7474593985233984</v>
      </c>
      <c r="O8" s="14">
        <f>N8*VLOOKUP('Données projet'!$B$9,Paramètres!$A$1:$I$89,3,0)*VLOOKUP('Données projet'!$B$9,Paramètres!$A$1:$I$89,5,0)</f>
        <v>4.1473805305500413</v>
      </c>
      <c r="P8" s="14">
        <f t="shared" si="33"/>
        <v>1.6196346870133109</v>
      </c>
      <c r="Q8" s="22">
        <f t="shared" si="2"/>
        <v>10.044218170589504</v>
      </c>
      <c r="R8" s="62">
        <f t="shared" si="0"/>
        <v>188.83526604703687</v>
      </c>
      <c r="S8" s="62">
        <f ca="1">AVERAGE(OFFSET($R$3,0,0,'Données projet'!$E$9+1,1))-AVERAGE(OFFSET($H$3,0,0,'Données projet'!$E$9+1,1))</f>
        <v>317.71917965043735</v>
      </c>
      <c r="T8" s="62">
        <f t="shared" si="34"/>
        <v>444.40801165665744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1.1000000000000001</v>
      </c>
      <c r="AI8" s="14">
        <f>IF('Données projet'!$A$62&gt;35,AI7+AH8-AQ7,IF(A8&lt;'Données projet'!$A$62,$AF$205^A8,IF(A8='Données projet'!$A$62,'Données projet'!$B$62,AI7+AH8-AQ7)))</f>
        <v>3.3166247903554016</v>
      </c>
      <c r="AJ8" s="14">
        <f>AI8*VLOOKUP('Données projet'!$B$10,Paramètres!$A$1:$I$89,3,0)*VLOOKUP('Données projet'!$B$10,Paramètres!$A$1:$I$89,5,0)</f>
        <v>2.6387066832067574</v>
      </c>
      <c r="AK8" s="14">
        <f t="shared" si="35"/>
        <v>1.0861586266766543</v>
      </c>
      <c r="AL8" s="22">
        <f t="shared" si="4"/>
        <v>6.4874737480469413</v>
      </c>
      <c r="AM8" s="62">
        <f t="shared" si="5"/>
        <v>185.27852162449429</v>
      </c>
      <c r="AN8" s="62">
        <f ca="1">AVERAGE(OFFSET($AM$3,0,0,'Données projet'!$E$10+1,1))-AVERAGE(OFFSET($H$3,0,0,'Données projet'!$E$10+1,1))</f>
        <v>376.47942810265266</v>
      </c>
      <c r="AO8" s="62">
        <f t="shared" si="36"/>
        <v>362.87951024071265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7.1333333333333337</v>
      </c>
      <c r="N9" s="14">
        <f>IF('Données projet'!$A$36&gt;35,N8+M9-V8,IF(A9&lt;'Données projet'!$A$36,$K$205^A9,IF(A9='Données projet'!$A$36,'Données projet'!$B$36,N8+M9-V8)))</f>
        <v>6.4826639792067677</v>
      </c>
      <c r="O9" s="14">
        <f>N9*VLOOKUP('Données projet'!$B$9,Paramètres!$A$1:$I$89,3,0)*VLOOKUP('Données projet'!$B$9,Paramètres!$A$1:$I$89,5,0)</f>
        <v>5.6632552522350332</v>
      </c>
      <c r="P9" s="14">
        <f t="shared" si="33"/>
        <v>2.1328548607386395</v>
      </c>
      <c r="Q9" s="22">
        <f t="shared" si="2"/>
        <v>13.578225113429147</v>
      </c>
      <c r="R9" s="62">
        <f t="shared" si="0"/>
        <v>195.04847720968812</v>
      </c>
      <c r="S9" s="62">
        <f ca="1">AVERAGE(OFFSET($R$3,0,0,'Données projet'!$E$9+1,1))-AVERAGE(OFFSET($H$3,0,0,'Données projet'!$E$9+1,1))</f>
        <v>317.71917965043735</v>
      </c>
      <c r="T9" s="62">
        <f t="shared" si="34"/>
        <v>444.40801165665744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1.1000000000000001</v>
      </c>
      <c r="AI9" s="14">
        <f>IF('Données projet'!$A$62&gt;35,AI8+AH9-AQ8,IF(A9&lt;'Données projet'!$A$62,$AF$205^A9,IF(A9='Données projet'!$A$62,'Données projet'!$B$62,AI8+AH9-AQ8)))</f>
        <v>4.2153691330919028</v>
      </c>
      <c r="AJ9" s="14">
        <f>AI9*VLOOKUP('Données projet'!$B$10,Paramètres!$A$1:$I$89,3,0)*VLOOKUP('Données projet'!$B$10,Paramètres!$A$1:$I$89,5,0)</f>
        <v>3.353747682287918</v>
      </c>
      <c r="AK9" s="14">
        <f t="shared" si="35"/>
        <v>1.3424889309030987</v>
      </c>
      <c r="AL9" s="22">
        <f t="shared" si="4"/>
        <v>8.1792787679743544</v>
      </c>
      <c r="AM9" s="62">
        <f t="shared" si="5"/>
        <v>189.64953086423333</v>
      </c>
      <c r="AN9" s="62">
        <f ca="1">AVERAGE(OFFSET($AM$3,0,0,'Données projet'!$E$10+1,1))-AVERAGE(OFFSET($H$3,0,0,'Données projet'!$E$10+1,1))</f>
        <v>376.47942810265266</v>
      </c>
      <c r="AO9" s="62">
        <f t="shared" si="36"/>
        <v>362.87951024071265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7.1333333333333337</v>
      </c>
      <c r="N10" s="14">
        <f>IF('Données projet'!$A$36&gt;35,N9+M10-V9,IF(A10&lt;'Données projet'!$A$36,$K$205^A10,IF(A10='Données projet'!$A$36,'Données projet'!$B$36,N9+M10-V9)))</f>
        <v>8.8520888204701524</v>
      </c>
      <c r="O10" s="14">
        <f>N10*VLOOKUP('Données projet'!$B$9,Paramètres!$A$1:$I$89,3,0)*VLOOKUP('Données projet'!$B$9,Paramètres!$A$1:$I$89,5,0)</f>
        <v>7.7331847935627263</v>
      </c>
      <c r="P10" s="14">
        <f t="shared" si="33"/>
        <v>2.8087011802427866</v>
      </c>
      <c r="Q10" s="22">
        <f t="shared" si="2"/>
        <v>18.360451404377937</v>
      </c>
      <c r="R10" s="62">
        <f t="shared" si="0"/>
        <v>202.48463234011416</v>
      </c>
      <c r="S10" s="62">
        <f ca="1">AVERAGE(OFFSET($R$3,0,0,'Données projet'!$E$9+1,1))-AVERAGE(OFFSET($H$3,0,0,'Données projet'!$E$9+1,1))</f>
        <v>317.71917965043735</v>
      </c>
      <c r="T10" s="62">
        <f t="shared" si="34"/>
        <v>444.40801165665744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1.1000000000000001</v>
      </c>
      <c r="AI10" s="14">
        <f>IF('Données projet'!$A$62&gt;35,AI9+AH10-AQ9,IF(A10&lt;'Données projet'!$A$62,$AF$205^A10,IF(A10='Données projet'!$A$62,'Données projet'!$B$62,AI9+AH10-AQ9)))</f>
        <v>5.3576566694841175</v>
      </c>
      <c r="AJ10" s="14">
        <f>AI10*VLOOKUP('Données projet'!$B$10,Paramètres!$A$1:$I$89,3,0)*VLOOKUP('Données projet'!$B$10,Paramètres!$A$1:$I$89,5,0)</f>
        <v>4.2625516462415645</v>
      </c>
      <c r="AK10" s="14">
        <f t="shared" si="35"/>
        <v>1.6593124478620722</v>
      </c>
      <c r="AL10" s="22">
        <f t="shared" si="4"/>
        <v>10.313913297230501</v>
      </c>
      <c r="AM10" s="62">
        <f t="shared" si="5"/>
        <v>194.43809423296673</v>
      </c>
      <c r="AN10" s="62">
        <f ca="1">AVERAGE(OFFSET($AM$3,0,0,'Données projet'!$E$10+1,1))-AVERAGE(OFFSET($H$3,0,0,'Données projet'!$E$10+1,1))</f>
        <v>376.47942810265266</v>
      </c>
      <c r="AO10" s="62">
        <f t="shared" si="36"/>
        <v>362.87951024071265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7.1333333333333337</v>
      </c>
      <c r="N11" s="14">
        <f>IF('Données projet'!$A$36&gt;35,N10+M11-V10,IF(A11&lt;'Données projet'!$A$36,$K$205^A11,IF(A11='Données projet'!$A$36,'Données projet'!$B$36,N10+M11-V10)))</f>
        <v>12.087542519068045</v>
      </c>
      <c r="O11" s="14">
        <f>N11*VLOOKUP('Données projet'!$B$9,Paramètres!$A$1:$I$89,3,0)*VLOOKUP('Données projet'!$B$9,Paramètres!$A$1:$I$89,5,0)</f>
        <v>10.559677144657845</v>
      </c>
      <c r="P11" s="14">
        <f t="shared" si="33"/>
        <v>3.6987056480557761</v>
      </c>
      <c r="Q11" s="22">
        <f t="shared" si="2"/>
        <v>24.83335003064289</v>
      </c>
      <c r="R11" s="62">
        <f t="shared" si="0"/>
        <v>211.58662289686345</v>
      </c>
      <c r="S11" s="62">
        <f ca="1">AVERAGE(OFFSET($R$3,0,0,'Données projet'!$E$9+1,1))-AVERAGE(OFFSET($H$3,0,0,'Données projet'!$E$9+1,1))</f>
        <v>317.71917965043735</v>
      </c>
      <c r="T11" s="62">
        <f t="shared" si="34"/>
        <v>444.40801165665744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1.1000000000000001</v>
      </c>
      <c r="AI11" s="14">
        <f>IF('Données projet'!$A$62&gt;35,AI10+AH11-AQ10,IF(A11&lt;'Données projet'!$A$62,$AF$205^A11,IF(A11='Données projet'!$A$62,'Données projet'!$B$62,AI10+AH11-AQ10)))</f>
        <v>6.8094831275223076</v>
      </c>
      <c r="AJ11" s="14">
        <f>AI11*VLOOKUP('Données projet'!$B$10,Paramètres!$A$1:$I$89,3,0)*VLOOKUP('Données projet'!$B$10,Paramètres!$A$1:$I$89,5,0)</f>
        <v>5.4176247762567487</v>
      </c>
      <c r="AK11" s="14">
        <f t="shared" si="35"/>
        <v>2.0509054013412618</v>
      </c>
      <c r="AL11" s="22">
        <f t="shared" si="4"/>
        <v>13.007690059316532</v>
      </c>
      <c r="AM11" s="62">
        <f t="shared" si="5"/>
        <v>199.76096292553709</v>
      </c>
      <c r="AN11" s="62">
        <f ca="1">AVERAGE(OFFSET($AM$3,0,0,'Données projet'!$E$10+1,1))-AVERAGE(OFFSET($H$3,0,0,'Données projet'!$E$10+1,1))</f>
        <v>376.47942810265266</v>
      </c>
      <c r="AO11" s="62">
        <f t="shared" si="36"/>
        <v>362.87951024071265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7.1333333333333337</v>
      </c>
      <c r="N12" s="14">
        <f>IF('Données projet'!$A$36&gt;35,N11+M12-V11,IF(A12&lt;'Données projet'!$A$36,$K$205^A12,IF(A12='Données projet'!$A$36,'Données projet'!$B$36,N11+M12-V11)))</f>
        <v>16.505560112818404</v>
      </c>
      <c r="O12" s="14">
        <f>N12*VLOOKUP('Données projet'!$B$9,Paramètres!$A$1:$I$89,3,0)*VLOOKUP('Données projet'!$B$9,Paramètres!$A$1:$I$89,5,0)</f>
        <v>14.419257314558161</v>
      </c>
      <c r="P12" s="14">
        <f t="shared" si="33"/>
        <v>4.870729420129039</v>
      </c>
      <c r="Q12" s="22">
        <f t="shared" si="2"/>
        <v>33.596726896246878</v>
      </c>
      <c r="R12" s="62">
        <f t="shared" si="0"/>
        <v>222.95468564880295</v>
      </c>
      <c r="S12" s="62">
        <f ca="1">AVERAGE(OFFSET($R$3,0,0,'Données projet'!$E$9+1,1))-AVERAGE(OFFSET($H$3,0,0,'Données projet'!$E$9+1,1))</f>
        <v>317.71917965043735</v>
      </c>
      <c r="T12" s="62">
        <f t="shared" si="34"/>
        <v>444.40801165665744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1.1000000000000001</v>
      </c>
      <c r="AI12" s="14">
        <f>IF('Données projet'!$A$62&gt;35,AI11+AH12-AQ11,IF(A12&lt;'Données projet'!$A$62,$AF$205^A12,IF(A12='Données projet'!$A$62,'Données projet'!$B$62,AI11+AH12-AQ11)))</f>
        <v>8.6547278641645029</v>
      </c>
      <c r="AJ12" s="14">
        <f>AI12*VLOOKUP('Données projet'!$B$10,Paramètres!$A$1:$I$89,3,0)*VLOOKUP('Données projet'!$B$10,Paramètres!$A$1:$I$89,5,0)</f>
        <v>6.8857014887292793</v>
      </c>
      <c r="AK12" s="14">
        <f t="shared" si="35"/>
        <v>2.5349131627802968</v>
      </c>
      <c r="AL12" s="22">
        <f t="shared" si="4"/>
        <v>16.407570518045844</v>
      </c>
      <c r="AM12" s="62">
        <f t="shared" si="5"/>
        <v>205.76552927060192</v>
      </c>
      <c r="AN12" s="62">
        <f ca="1">AVERAGE(OFFSET($AM$3,0,0,'Données projet'!$E$10+1,1))-AVERAGE(OFFSET($H$3,0,0,'Données projet'!$E$10+1,1))</f>
        <v>376.47942810265266</v>
      </c>
      <c r="AO12" s="62">
        <f t="shared" si="36"/>
        <v>362.87951024071265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7.1333333333333337</v>
      </c>
      <c r="N13" s="14">
        <f>IF('Données projet'!$A$36&gt;35,N12+M13-V12,IF(A13&lt;'Données projet'!$A$36,$K$205^A13,IF(A13='Données projet'!$A$36,'Données projet'!$B$36,N12+M13-V12)))</f>
        <v>22.538370740628146</v>
      </c>
      <c r="O13" s="14">
        <f>N13*VLOOKUP('Données projet'!$B$9,Paramètres!$A$1:$I$89,3,0)*VLOOKUP('Données projet'!$B$9,Paramètres!$A$1:$I$89,5,0)</f>
        <v>19.689520679012752</v>
      </c>
      <c r="P13" s="14">
        <f t="shared" si="33"/>
        <v>6.414137090520053</v>
      </c>
      <c r="Q13" s="22">
        <f t="shared" si="2"/>
        <v>45.463870615269634</v>
      </c>
      <c r="R13" s="62">
        <f t="shared" si="0"/>
        <v>237.40253260031452</v>
      </c>
      <c r="S13" s="62">
        <f ca="1">AVERAGE(OFFSET($R$3,0,0,'Données projet'!$E$9+1,1))-AVERAGE(OFFSET($H$3,0,0,'Données projet'!$E$9+1,1))</f>
        <v>317.71917965043735</v>
      </c>
      <c r="T13" s="62">
        <f t="shared" si="34"/>
        <v>444.40801165665744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</v>
      </c>
      <c r="AG13" s="13">
        <f>VLOOKUP(A13,'Données projet'!$A$61:$I$81,9,0)</f>
        <v>1.1000000000000001</v>
      </c>
      <c r="AH13" s="13">
        <f t="array" ref="AH13">INDEX(AG:AG,MIN(IF(ISNUMBER(AG13:AG209),ROW(AG13:AG209),"")))</f>
        <v>1.1000000000000001</v>
      </c>
      <c r="AI13" s="14">
        <f>IF('Données projet'!$A$62&gt;35,AI12+AH13-AQ12,IF(A13&lt;'Données projet'!$A$62,$AF$205^A13,IF(A13='Données projet'!$A$62,'Données projet'!$B$62,AI12+AH13-AQ12)))</f>
        <v>11</v>
      </c>
      <c r="AJ13" s="14">
        <f>AI13*VLOOKUP('Données projet'!$B$10,Paramètres!$A$1:$I$89,3,0)*VLOOKUP('Données projet'!$B$10,Paramètres!$A$1:$I$89,5,0)</f>
        <v>8.7516000000000016</v>
      </c>
      <c r="AK13" s="14">
        <f t="shared" si="35"/>
        <v>3.1331453604025001</v>
      </c>
      <c r="AL13" s="22">
        <f t="shared" si="4"/>
        <v>20.699264836034356</v>
      </c>
      <c r="AM13" s="62">
        <f t="shared" si="5"/>
        <v>212.63792682107925</v>
      </c>
      <c r="AN13" s="62">
        <f ca="1">AVERAGE(OFFSET($AM$3,0,0,'Données projet'!$E$10+1,1))-AVERAGE(OFFSET($H$3,0,0,'Données projet'!$E$10+1,1))</f>
        <v>376.47942810265266</v>
      </c>
      <c r="AO13" s="62">
        <f t="shared" si="36"/>
        <v>362.87951024071265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7.1333333333333337</v>
      </c>
      <c r="N14" s="14">
        <f>IF('Données projet'!$A$36&gt;35,N13+M14-V13,IF(A14&lt;'Données projet'!$A$36,$K$205^A14,IF(A14='Données projet'!$A$36,'Données projet'!$B$36,N13+M14-V13)))</f>
        <v>30.776184035554262</v>
      </c>
      <c r="O14" s="14">
        <f>N14*VLOOKUP('Données projet'!$B$9,Paramètres!$A$1:$I$89,3,0)*VLOOKUP('Données projet'!$B$9,Paramètres!$A$1:$I$89,5,0)</f>
        <v>26.886074373460207</v>
      </c>
      <c r="P14" s="14">
        <f t="shared" si="33"/>
        <v>8.4466105725279856</v>
      </c>
      <c r="Q14" s="22">
        <f t="shared" si="2"/>
        <v>61.537759614262761</v>
      </c>
      <c r="R14" s="62">
        <f t="shared" si="0"/>
        <v>256.03355822337687</v>
      </c>
      <c r="S14" s="62">
        <f ca="1">AVERAGE(OFFSET($R$3,0,0,'Données projet'!$E$9+1,1))-AVERAGE(OFFSET($H$3,0,0,'Données projet'!$E$9+1,1))</f>
        <v>317.71917965043735</v>
      </c>
      <c r="T14" s="62">
        <f t="shared" si="34"/>
        <v>444.40801165665744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21.8</v>
      </c>
      <c r="AJ14" s="14">
        <f>AI14*VLOOKUP('Données projet'!$B$10,Paramètres!$A$1:$I$89,3,0)*VLOOKUP('Données projet'!$B$10,Paramètres!$A$1:$I$89,5,0)</f>
        <v>17.344080000000002</v>
      </c>
      <c r="AK14" s="14">
        <f t="shared" si="35"/>
        <v>5.7341113912136308</v>
      </c>
      <c r="AL14" s="22">
        <f t="shared" si="4"/>
        <v>40.194516673030414</v>
      </c>
      <c r="AM14" s="62">
        <f t="shared" si="5"/>
        <v>234.69031528214455</v>
      </c>
      <c r="AN14" s="62">
        <f ca="1">AVERAGE(OFFSET($AM$3,0,0,'Données projet'!$E$10+1,1))-AVERAGE(OFFSET($H$3,0,0,'Données projet'!$E$10+1,1))</f>
        <v>376.47942810265266</v>
      </c>
      <c r="AO14" s="62">
        <f t="shared" si="36"/>
        <v>362.87951024071265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7.1333333333333337</v>
      </c>
      <c r="N15" s="14">
        <f>IF('Données projet'!$A$36&gt;35,N14+M15-V14,IF(A15&lt;'Données projet'!$A$36,$K$205^A15,IF(A15='Données projet'!$A$36,'Données projet'!$B$36,N14+M15-V14)))</f>
        <v>42.024932267304926</v>
      </c>
      <c r="O15" s="14">
        <f>N15*VLOOKUP('Données projet'!$B$9,Paramètres!$A$1:$I$89,3,0)*VLOOKUP('Données projet'!$B$9,Paramètres!$A$1:$I$89,5,0)</f>
        <v>36.71298082871759</v>
      </c>
      <c r="P15" s="14">
        <f t="shared" si="33"/>
        <v>11.123122121818724</v>
      </c>
      <c r="Q15" s="22">
        <f t="shared" si="2"/>
        <v>83.314545972184078</v>
      </c>
      <c r="R15" s="62">
        <f t="shared" si="0"/>
        <v>280.34432342491698</v>
      </c>
      <c r="S15" s="62">
        <f ca="1">AVERAGE(OFFSET($R$3,0,0,'Données projet'!$E$9+1,1))-AVERAGE(OFFSET($H$3,0,0,'Données projet'!$E$9+1,1))</f>
        <v>317.71917965043735</v>
      </c>
      <c r="T15" s="62">
        <f t="shared" si="34"/>
        <v>444.40801165665744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32.6</v>
      </c>
      <c r="AJ15" s="14">
        <f>AI15*VLOOKUP('Données projet'!$B$10,Paramètres!$A$1:$I$89,3,0)*VLOOKUP('Données projet'!$B$10,Paramètres!$A$1:$I$89,5,0)</f>
        <v>25.936560000000004</v>
      </c>
      <c r="AK15" s="14">
        <f t="shared" si="35"/>
        <v>8.1824816304360635</v>
      </c>
      <c r="AL15" s="22">
        <f t="shared" si="4"/>
        <v>59.423997506342801</v>
      </c>
      <c r="AM15" s="62">
        <f t="shared" si="5"/>
        <v>256.45377495907564</v>
      </c>
      <c r="AN15" s="62">
        <f ca="1">AVERAGE(OFFSET($AM$3,0,0,'Données projet'!$E$10+1,1))-AVERAGE(OFFSET($H$3,0,0,'Données projet'!$E$10+1,1))</f>
        <v>376.47942810265266</v>
      </c>
      <c r="AO15" s="62">
        <f t="shared" si="36"/>
        <v>362.87951024071265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7.1333333333333337</v>
      </c>
      <c r="N16" s="14">
        <f>IF('Données projet'!$A$36&gt;35,N15+M16-V15,IF(A16&lt;'Données projet'!$A$36,$K$205^A16,IF(A16='Données projet'!$A$36,'Données projet'!$B$36,N15+M16-V15)))</f>
        <v>57.385117337200782</v>
      </c>
      <c r="O16" s="14">
        <f>N16*VLOOKUP('Données projet'!$B$9,Paramètres!$A$1:$I$89,3,0)*VLOOKUP('Données projet'!$B$9,Paramètres!$A$1:$I$89,5,0)</f>
        <v>50.131638505778611</v>
      </c>
      <c r="P16" s="14">
        <f t="shared" si="33"/>
        <v>14.647750677567194</v>
      </c>
      <c r="Q16" s="22">
        <f t="shared" si="2"/>
        <v>112.82410282766058</v>
      </c>
      <c r="R16" s="62">
        <f t="shared" si="0"/>
        <v>312.36510307927938</v>
      </c>
      <c r="S16" s="62">
        <f ca="1">AVERAGE(OFFSET($R$3,0,0,'Données projet'!$E$9+1,1))-AVERAGE(OFFSET($H$3,0,0,'Données projet'!$E$9+1,1))</f>
        <v>317.71917965043735</v>
      </c>
      <c r="T16" s="62">
        <f t="shared" si="34"/>
        <v>444.40801165665744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43.400000000000006</v>
      </c>
      <c r="AJ16" s="14">
        <f>AI16*VLOOKUP('Données projet'!$B$10,Paramètres!$A$1:$I$89,3,0)*VLOOKUP('Données projet'!$B$10,Paramètres!$A$1:$I$89,5,0)</f>
        <v>34.529040000000009</v>
      </c>
      <c r="AK16" s="14">
        <f t="shared" si="35"/>
        <v>10.536391336679102</v>
      </c>
      <c r="AL16" s="22">
        <f t="shared" si="4"/>
        <v>78.488959578049446</v>
      </c>
      <c r="AM16" s="62">
        <f t="shared" si="5"/>
        <v>278.02995982966826</v>
      </c>
      <c r="AN16" s="62">
        <f ca="1">AVERAGE(OFFSET($AM$3,0,0,'Données projet'!$E$10+1,1))-AVERAGE(OFFSET($H$3,0,0,'Données projet'!$E$10+1,1))</f>
        <v>376.47942810265266</v>
      </c>
      <c r="AO16" s="62">
        <f t="shared" si="36"/>
        <v>362.87951024071265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7.1333333333333337</v>
      </c>
      <c r="N17" s="14">
        <f>IF('Données projet'!$A$36&gt;35,N16+M17-V16,IF(A17&lt;'Données projet'!$A$36,$K$205^A17,IF(A17='Données projet'!$A$36,'Données projet'!$B$36,N16+M17-V16)))</f>
        <v>78.35947648549265</v>
      </c>
      <c r="O17" s="14">
        <f>N17*VLOOKUP('Données projet'!$B$9,Paramètres!$A$1:$I$89,3,0)*VLOOKUP('Données projet'!$B$9,Paramètres!$A$1:$I$89,5,0)</f>
        <v>68.454838657726384</v>
      </c>
      <c r="P17" s="14">
        <f t="shared" si="33"/>
        <v>19.289242495261615</v>
      </c>
      <c r="Q17" s="22">
        <f t="shared" si="2"/>
        <v>152.8209413414541</v>
      </c>
      <c r="R17" s="62">
        <f t="shared" si="0"/>
        <v>354.8508031137273</v>
      </c>
      <c r="S17" s="62">
        <f ca="1">AVERAGE(OFFSET($R$3,0,0,'Données projet'!$E$9+1,1))-AVERAGE(OFFSET($H$3,0,0,'Données projet'!$E$9+1,1))</f>
        <v>317.71917965043735</v>
      </c>
      <c r="T17" s="62">
        <f t="shared" si="34"/>
        <v>444.40801165665744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54.2</v>
      </c>
      <c r="AJ17" s="14">
        <f>AI17*VLOOKUP('Données projet'!$B$10,Paramètres!$A$1:$I$89,3,0)*VLOOKUP('Données projet'!$B$10,Paramètres!$A$1:$I$89,5,0)</f>
        <v>43.121520000000004</v>
      </c>
      <c r="AK17" s="14">
        <f t="shared" si="35"/>
        <v>12.822353245070515</v>
      </c>
      <c r="AL17" s="22">
        <f t="shared" si="4"/>
        <v>97.435579235164482</v>
      </c>
      <c r="AM17" s="62">
        <f t="shared" si="5"/>
        <v>299.46544100743768</v>
      </c>
      <c r="AN17" s="62">
        <f ca="1">AVERAGE(OFFSET($AM$3,0,0,'Données projet'!$E$10+1,1))-AVERAGE(OFFSET($H$3,0,0,'Données projet'!$E$10+1,1))</f>
        <v>376.47942810265266</v>
      </c>
      <c r="AO17" s="62">
        <f t="shared" si="36"/>
        <v>362.87951024071265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107</v>
      </c>
      <c r="L18" s="13">
        <f>VLOOKUP(A18,'Données projet'!$A$35:$I$55,9,0)</f>
        <v>7.1333333333333337</v>
      </c>
      <c r="M18" s="13">
        <f t="array" ref="M18">INDEX(L:L,MIN(IF(ISNUMBER(L18:L214),ROW(L18:L214),"")))</f>
        <v>7.1333333333333337</v>
      </c>
      <c r="N18" s="14">
        <f>IF('Données projet'!$A$36&gt;35,N17+M18-V17,IF(A18&lt;'Données projet'!$A$36,$K$205^A18,IF(A18='Données projet'!$A$36,'Données projet'!$B$36,N17+M18-V17)))</f>
        <v>107</v>
      </c>
      <c r="O18" s="14">
        <f>N18*VLOOKUP('Données projet'!$B$9,Paramètres!$A$1:$I$89,3,0)*VLOOKUP('Données projet'!$B$9,Paramètres!$A$1:$I$89,5,0)</f>
        <v>93.475200000000015</v>
      </c>
      <c r="P18" s="14">
        <f t="shared" si="33"/>
        <v>25.401502539965662</v>
      </c>
      <c r="Q18" s="22">
        <f t="shared" si="2"/>
        <v>207.04359025710687</v>
      </c>
      <c r="R18" s="62">
        <f t="shared" si="0"/>
        <v>411.54034018998789</v>
      </c>
      <c r="S18" s="62">
        <f ca="1">AVERAGE(OFFSET($R$3,0,0,'Données projet'!$E$9+1,1))-AVERAGE(OFFSET($H$3,0,0,'Données projet'!$E$9+1,1))</f>
        <v>317.71917965043735</v>
      </c>
      <c r="T18" s="62">
        <f t="shared" si="34"/>
        <v>444.40801165665744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34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65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65</v>
      </c>
      <c r="AJ18" s="14">
        <f>AI18*VLOOKUP('Données projet'!$B$10,Paramètres!$A$1:$I$89,3,0)*VLOOKUP('Données projet'!$B$10,Paramètres!$A$1:$I$89,5,0)</f>
        <v>51.713999999999999</v>
      </c>
      <c r="AK18" s="14">
        <f t="shared" si="35"/>
        <v>15.055535578337075</v>
      </c>
      <c r="AL18" s="22">
        <f t="shared" si="4"/>
        <v>116.29027446560372</v>
      </c>
      <c r="AM18" s="62">
        <f t="shared" si="5"/>
        <v>320.78702439848473</v>
      </c>
      <c r="AN18" s="62">
        <f ca="1">AVERAGE(OFFSET($AM$3,0,0,'Données projet'!$E$10+1,1))-AVERAGE(OFFSET($H$3,0,0,'Données projet'!$E$10+1,1))</f>
        <v>376.47942810265266</v>
      </c>
      <c r="AO18" s="62">
        <f t="shared" si="36"/>
        <v>362.87951024071265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32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24.021440424321497</v>
      </c>
      <c r="AX18" s="23">
        <f t="shared" si="6"/>
        <v>24.021440424321497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16.2</v>
      </c>
      <c r="N19" s="14">
        <f>IF('Données projet'!$A$36&gt;35,N18+M19-V18,IF(A19&lt;'Données projet'!$A$36,$K$205^A19,IF(A19='Données projet'!$A$36,'Données projet'!$B$36,N18+M19-V18)))</f>
        <v>89.2</v>
      </c>
      <c r="O19" s="14">
        <f>N19*VLOOKUP('Données projet'!$B$9,Paramètres!$A$1:$I$89,3,0)*VLOOKUP('Données projet'!$B$9,Paramètres!$A$1:$I$89,5,0)</f>
        <v>77.925120000000007</v>
      </c>
      <c r="P19" s="14">
        <f t="shared" si="33"/>
        <v>21.629091902424182</v>
      </c>
      <c r="Q19" s="22">
        <f t="shared" si="2"/>
        <v>173.3902523967221</v>
      </c>
      <c r="R19" s="62">
        <f t="shared" si="0"/>
        <v>380.33229831883614</v>
      </c>
      <c r="S19" s="62">
        <f ca="1">AVERAGE(OFFSET($R$3,0,0,'Données projet'!$E$9+1,1))-AVERAGE(OFFSET($H$3,0,0,'Données projet'!$E$9+1,1))</f>
        <v>317.71917965043735</v>
      </c>
      <c r="T19" s="62">
        <f t="shared" si="34"/>
        <v>444.40801165665744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13.6</v>
      </c>
      <c r="AI19" s="14">
        <f>IF('Données projet'!$A$62&gt;35,AI18+AH19-AQ18,IF(A19&lt;'Données projet'!$A$62,$AF$205^A19,IF(A19='Données projet'!$A$62,'Données projet'!$B$62,AI18+AH19-AQ18)))</f>
        <v>46.599999999999994</v>
      </c>
      <c r="AJ19" s="14">
        <f>AI19*VLOOKUP('Données projet'!$B$10,Paramètres!$A$1:$I$89,3,0)*VLOOKUP('Données projet'!$B$10,Paramètres!$A$1:$I$89,5,0)</f>
        <v>37.074959999999997</v>
      </c>
      <c r="AK19" s="14">
        <f t="shared" si="35"/>
        <v>11.219971753147911</v>
      </c>
      <c r="AL19" s="22">
        <f t="shared" si="4"/>
        <v>84.113672803399268</v>
      </c>
      <c r="AM19" s="62">
        <f t="shared" si="5"/>
        <v>291.05571872551332</v>
      </c>
      <c r="AN19" s="62">
        <f ca="1">AVERAGE(OFFSET($AM$3,0,0,'Données projet'!$E$10+1,1))-AVERAGE(OFFSET($H$3,0,0,'Données projet'!$E$10+1,1))</f>
        <v>376.47942810265266</v>
      </c>
      <c r="AO19" s="62">
        <f t="shared" si="36"/>
        <v>362.87951024071265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16.985723417906389</v>
      </c>
      <c r="AX19" s="23">
        <f t="shared" si="6"/>
        <v>16.985723417906389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16.2</v>
      </c>
      <c r="N20" s="14">
        <f>IF('Données projet'!$A$36&gt;35,N19+M20-V19,IF(A20&lt;'Données projet'!$A$36,$K$205^A20,IF(A20='Données projet'!$A$36,'Données projet'!$B$36,N19+M20-V19)))</f>
        <v>105.4</v>
      </c>
      <c r="O20" s="14">
        <f>N20*VLOOKUP('Données projet'!$B$9,Paramètres!$A$1:$I$89,3,0)*VLOOKUP('Données projet'!$B$9,Paramètres!$A$1:$I$89,5,0)</f>
        <v>92.07744000000001</v>
      </c>
      <c r="P20" s="14">
        <f t="shared" si="33"/>
        <v>25.065586122051112</v>
      </c>
      <c r="Q20" s="22">
        <f t="shared" si="2"/>
        <v>204.02410382923904</v>
      </c>
      <c r="R20" s="62">
        <f t="shared" si="0"/>
        <v>413.39022814511179</v>
      </c>
      <c r="S20" s="62">
        <f ca="1">AVERAGE(OFFSET($R$3,0,0,'Données projet'!$E$9+1,1))-AVERAGE(OFFSET($H$3,0,0,'Données projet'!$E$9+1,1))</f>
        <v>317.71917965043735</v>
      </c>
      <c r="T20" s="62">
        <f t="shared" si="34"/>
        <v>444.40801165665744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13.6</v>
      </c>
      <c r="AI20" s="14">
        <f>IF('Données projet'!$A$62&gt;35,AI19+AH20-AQ19,IF(A20&lt;'Données projet'!$A$62,$AF$205^A20,IF(A20='Données projet'!$A$62,'Données projet'!$B$62,AI19+AH20-AQ19)))</f>
        <v>60.199999999999996</v>
      </c>
      <c r="AJ20" s="14">
        <f>AI20*VLOOKUP('Données projet'!$B$10,Paramètres!$A$1:$I$89,3,0)*VLOOKUP('Données projet'!$B$10,Paramètres!$A$1:$I$89,5,0)</f>
        <v>47.895119999999999</v>
      </c>
      <c r="AK20" s="14">
        <f t="shared" si="35"/>
        <v>14.068812032564205</v>
      </c>
      <c r="AL20" s="22">
        <f t="shared" si="4"/>
        <v>107.92051495671598</v>
      </c>
      <c r="AM20" s="62">
        <f t="shared" si="5"/>
        <v>317.28663927258867</v>
      </c>
      <c r="AN20" s="62">
        <f ca="1">AVERAGE(OFFSET($AM$3,0,0,'Données projet'!$E$10+1,1))-AVERAGE(OFFSET($H$3,0,0,'Données projet'!$E$10+1,1))</f>
        <v>376.47942810265266</v>
      </c>
      <c r="AO20" s="62">
        <f t="shared" si="36"/>
        <v>362.87951024071265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12.01072021216075</v>
      </c>
      <c r="AX20" s="23">
        <f t="shared" si="6"/>
        <v>12.01072021216075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16.2</v>
      </c>
      <c r="N21" s="14">
        <f>IF('Données projet'!$A$36&gt;35,N20+M21-V20,IF(A21&lt;'Données projet'!$A$36,$K$205^A21,IF(A21='Données projet'!$A$36,'Données projet'!$B$36,N20+M21-V20)))</f>
        <v>121.60000000000001</v>
      </c>
      <c r="O21" s="14">
        <f>N21*VLOOKUP('Données projet'!$B$9,Paramètres!$A$1:$I$89,3,0)*VLOOKUP('Données projet'!$B$9,Paramètres!$A$1:$I$89,5,0)</f>
        <v>106.22976000000003</v>
      </c>
      <c r="P21" s="14">
        <f t="shared" si="33"/>
        <v>28.440891625171492</v>
      </c>
      <c r="Q21" s="22">
        <f t="shared" si="2"/>
        <v>234.55138491384039</v>
      </c>
      <c r="R21" s="62">
        <f t="shared" si="0"/>
        <v>446.32073810584347</v>
      </c>
      <c r="S21" s="62">
        <f ca="1">AVERAGE(OFFSET($R$3,0,0,'Données projet'!$E$9+1,1))-AVERAGE(OFFSET($H$3,0,0,'Données projet'!$E$9+1,1))</f>
        <v>317.71917965043735</v>
      </c>
      <c r="T21" s="62">
        <f t="shared" si="34"/>
        <v>444.40801165665744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13.6</v>
      </c>
      <c r="AI21" s="14">
        <f>IF('Données projet'!$A$62&gt;35,AI20+AH21-AQ20,IF(A21&lt;'Données projet'!$A$62,$AF$205^A21,IF(A21='Données projet'!$A$62,'Données projet'!$B$62,AI20+AH21-AQ20)))</f>
        <v>73.8</v>
      </c>
      <c r="AJ21" s="14">
        <f>AI21*VLOOKUP('Données projet'!$B$10,Paramètres!$A$1:$I$89,3,0)*VLOOKUP('Données projet'!$B$10,Paramètres!$A$1:$I$89,5,0)</f>
        <v>58.71528</v>
      </c>
      <c r="AK21" s="14">
        <f t="shared" si="35"/>
        <v>16.843043445461888</v>
      </c>
      <c r="AL21" s="22">
        <f t="shared" si="4"/>
        <v>131.59741333417946</v>
      </c>
      <c r="AM21" s="62">
        <f t="shared" si="5"/>
        <v>343.36676652618257</v>
      </c>
      <c r="AN21" s="62">
        <f ca="1">AVERAGE(OFFSET($AM$3,0,0,'Données projet'!$E$10+1,1))-AVERAGE(OFFSET($H$3,0,0,'Données projet'!$E$10+1,1))</f>
        <v>376.47942810265266</v>
      </c>
      <c r="AO21" s="62">
        <f t="shared" si="36"/>
        <v>362.87951024071265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8.4928617089531961</v>
      </c>
      <c r="AX21" s="23">
        <f t="shared" si="6"/>
        <v>8.4928617089531961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16.2</v>
      </c>
      <c r="N22" s="14">
        <f>IF('Données projet'!$A$36&gt;35,N21+M22-V21,IF(A22&lt;'Données projet'!$A$36,$K$205^A22,IF(A22='Données projet'!$A$36,'Données projet'!$B$36,N21+M22-V21)))</f>
        <v>137.80000000000001</v>
      </c>
      <c r="O22" s="14">
        <f>N22*VLOOKUP('Données projet'!$B$9,Paramètres!$A$1:$I$89,3,0)*VLOOKUP('Données projet'!$B$9,Paramètres!$A$1:$I$89,5,0)</f>
        <v>120.38208000000003</v>
      </c>
      <c r="P22" s="14">
        <f t="shared" si="33"/>
        <v>31.76409668560358</v>
      </c>
      <c r="Q22" s="22">
        <f t="shared" si="2"/>
        <v>264.98792439409294</v>
      </c>
      <c r="R22" s="62">
        <f t="shared" si="0"/>
        <v>479.14001863711644</v>
      </c>
      <c r="S22" s="62">
        <f ca="1">AVERAGE(OFFSET($R$3,0,0,'Données projet'!$E$9+1,1))-AVERAGE(OFFSET($H$3,0,0,'Données projet'!$E$9+1,1))</f>
        <v>317.71917965043735</v>
      </c>
      <c r="T22" s="62">
        <f t="shared" si="34"/>
        <v>444.40801165665744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13.6</v>
      </c>
      <c r="AI22" s="14">
        <f>IF('Données projet'!$A$62&gt;35,AI21+AH22-AQ21,IF(A22&lt;'Données projet'!$A$62,$AF$205^A22,IF(A22='Données projet'!$A$62,'Données projet'!$B$62,AI21+AH22-AQ21)))</f>
        <v>87.399999999999991</v>
      </c>
      <c r="AJ22" s="14">
        <f>AI22*VLOOKUP('Données projet'!$B$10,Paramètres!$A$1:$I$89,3,0)*VLOOKUP('Données projet'!$B$10,Paramètres!$A$1:$I$89,5,0)</f>
        <v>69.535439999999994</v>
      </c>
      <c r="AK22" s="14">
        <f t="shared" si="35"/>
        <v>19.558046279609563</v>
      </c>
      <c r="AL22" s="22">
        <f t="shared" si="4"/>
        <v>155.17115527031999</v>
      </c>
      <c r="AM22" s="62">
        <f t="shared" si="5"/>
        <v>369.32324951334351</v>
      </c>
      <c r="AN22" s="62">
        <f ca="1">AVERAGE(OFFSET($AM$3,0,0,'Données projet'!$E$10+1,1))-AVERAGE(OFFSET($H$3,0,0,'Données projet'!$E$10+1,1))</f>
        <v>376.47942810265266</v>
      </c>
      <c r="AO22" s="62">
        <f t="shared" si="36"/>
        <v>362.87951024071265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6.0053601060803761</v>
      </c>
      <c r="AX22" s="23">
        <f t="shared" si="6"/>
        <v>6.0053601060803761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154</v>
      </c>
      <c r="L23" s="13">
        <f>VLOOKUP(A23,'Données projet'!$A$35:$I$55,9,0)</f>
        <v>16.2</v>
      </c>
      <c r="M23" s="13">
        <f t="array" ref="M23">INDEX(L:L,MIN(IF(ISNUMBER(L23:L219),ROW(L23:L219),"")))</f>
        <v>16.2</v>
      </c>
      <c r="N23" s="14">
        <f>IF('Données projet'!$A$36&gt;35,N22+M23-V22,IF(A23&lt;'Données projet'!$A$36,$K$205^A23,IF(A23='Données projet'!$A$36,'Données projet'!$B$36,N22+M23-V22)))</f>
        <v>154</v>
      </c>
      <c r="O23" s="14">
        <f>N23*VLOOKUP('Données projet'!$B$9,Paramètres!$A$1:$I$89,3,0)*VLOOKUP('Données projet'!$B$9,Paramètres!$A$1:$I$89,5,0)</f>
        <v>134.53440000000001</v>
      </c>
      <c r="P23" s="14">
        <f t="shared" si="33"/>
        <v>35.042026165482234</v>
      </c>
      <c r="Q23" s="22">
        <f t="shared" si="2"/>
        <v>295.34560890488154</v>
      </c>
      <c r="R23" s="62">
        <f t="shared" si="0"/>
        <v>511.86031179177724</v>
      </c>
      <c r="S23" s="62">
        <f ca="1">AVERAGE(OFFSET($R$3,0,0,'Données projet'!$E$9+1,1))-AVERAGE(OFFSET($H$3,0,0,'Données projet'!$E$9+1,1))</f>
        <v>317.71917965043735</v>
      </c>
      <c r="T23" s="62">
        <f t="shared" si="34"/>
        <v>444.40801165665744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50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0.17200000000000001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8.272653396405941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8.272653396405941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101</v>
      </c>
      <c r="AG23" s="13">
        <f>VLOOKUP(A23,'Données projet'!$A$61:$I$81,9,0)</f>
        <v>13.6</v>
      </c>
      <c r="AH23" s="13">
        <f t="array" ref="AH23">INDEX(AG:AG,MIN(IF(ISNUMBER(AG23:AG219),ROW(AG23:AG219),"")))</f>
        <v>13.6</v>
      </c>
      <c r="AI23" s="14">
        <f>IF('Données projet'!$A$62&gt;35,AI22+AH23-AQ22,IF(A23&lt;'Données projet'!$A$62,$AF$205^A23,IF(A23='Données projet'!$A$62,'Données projet'!$B$62,AI22+AH23-AQ22)))</f>
        <v>100.99999999999999</v>
      </c>
      <c r="AJ23" s="14">
        <f>AI23*VLOOKUP('Données projet'!$B$10,Paramètres!$A$1:$I$89,3,0)*VLOOKUP('Données projet'!$B$10,Paramètres!$A$1:$I$89,5,0)</f>
        <v>80.355599999999995</v>
      </c>
      <c r="AK23" s="14">
        <f t="shared" si="35"/>
        <v>22.224107721582499</v>
      </c>
      <c r="AL23" s="22">
        <f t="shared" si="4"/>
        <v>178.65965761508951</v>
      </c>
      <c r="AM23" s="62">
        <f t="shared" si="5"/>
        <v>395.17436050198523</v>
      </c>
      <c r="AN23" s="62">
        <f ca="1">AVERAGE(OFFSET($AM$3,0,0,'Données projet'!$E$10+1,1))-AVERAGE(OFFSET($H$3,0,0,'Données projet'!$E$10+1,1))</f>
        <v>376.47942810265266</v>
      </c>
      <c r="AO23" s="62">
        <f t="shared" si="36"/>
        <v>362.87951024071265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35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0.10600000000000001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3.2501427515240189</v>
      </c>
      <c r="AW23" s="23">
        <f>EXP(-LN(2)/2)*AW22+(1-EXP(-LN(2)/2))/(LN(2)/2)*AQ23*AT23*VLOOKUP('Données projet'!$B$10,Paramètres!$A$1:$I$89,3,0)*0.475*44/12</f>
        <v>25.265191225757913</v>
      </c>
      <c r="AX23" s="23">
        <f t="shared" si="6"/>
        <v>28.515333977281934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15.6</v>
      </c>
      <c r="N24" s="14">
        <f>IF('Données projet'!$A$36&gt;35,N23+M24-V23,IF(A24&lt;'Données projet'!$A$36,$K$205^A24,IF(A24='Données projet'!$A$36,'Données projet'!$B$36,N23+M24-V23)))</f>
        <v>119.6</v>
      </c>
      <c r="O24" s="14">
        <f>N24*VLOOKUP('Données projet'!$B$9,Paramètres!$A$1:$I$89,3,0)*VLOOKUP('Données projet'!$B$9,Paramètres!$A$1:$I$89,5,0)</f>
        <v>104.48256000000001</v>
      </c>
      <c r="P24" s="14">
        <f t="shared" si="33"/>
        <v>28.02716504477474</v>
      </c>
      <c r="Q24" s="22">
        <f t="shared" si="2"/>
        <v>230.78777111964931</v>
      </c>
      <c r="R24" s="62">
        <f t="shared" si="0"/>
        <v>449.64529949552366</v>
      </c>
      <c r="S24" s="62">
        <f ca="1">AVERAGE(OFFSET($R$3,0,0,'Données projet'!$E$9+1,1))-AVERAGE(OFFSET($H$3,0,0,'Données projet'!$E$9+1,1))</f>
        <v>317.71917965043735</v>
      </c>
      <c r="T24" s="62">
        <f t="shared" si="34"/>
        <v>444.40801165665744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8.046437254241285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8.046437254241285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14.8</v>
      </c>
      <c r="AI24" s="14">
        <f>IF('Données projet'!$A$62&gt;35,AI23+AH24-AQ23,IF(A24&lt;'Données projet'!$A$62,$AF$205^A24,IF(A24='Données projet'!$A$62,'Données projet'!$B$62,AI23+AH24-AQ23)))</f>
        <v>80.799999999999983</v>
      </c>
      <c r="AJ24" s="14">
        <f>AI24*VLOOKUP('Données projet'!$B$10,Paramètres!$A$1:$I$89,3,0)*VLOOKUP('Données projet'!$B$10,Paramètres!$A$1:$I$89,5,0)</f>
        <v>64.284479999999988</v>
      </c>
      <c r="AK24" s="14">
        <f t="shared" si="35"/>
        <v>18.247133352994688</v>
      </c>
      <c r="AL24" s="22">
        <f t="shared" si="4"/>
        <v>143.74255992313238</v>
      </c>
      <c r="AM24" s="62">
        <f t="shared" si="5"/>
        <v>362.60008829900676</v>
      </c>
      <c r="AN24" s="62">
        <f ca="1">AVERAGE(OFFSET($AM$3,0,0,'Données projet'!$E$10+1,1))-AVERAGE(OFFSET($H$3,0,0,'Données projet'!$E$10+1,1))</f>
        <v>376.47942810265266</v>
      </c>
      <c r="AO24" s="62">
        <f t="shared" si="36"/>
        <v>362.87951024071265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3.1612674270660155</v>
      </c>
      <c r="AW24" s="23">
        <f>EXP(-LN(2)/2)*AW23+(1-EXP(-LN(2)/2))/(LN(2)/2)*AQ24*AT24*VLOOKUP('Données projet'!$B$10,Paramètres!$A$1:$I$89,3,0)*0.475*44/12</f>
        <v>17.865188043708283</v>
      </c>
      <c r="AX24" s="23">
        <f t="shared" si="6"/>
        <v>21.026455470774298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15.6</v>
      </c>
      <c r="N25" s="14">
        <f>IF('Données projet'!$A$36&gt;35,N24+M25-V24,IF(A25&lt;'Données projet'!$A$36,$K$205^A25,IF(A25='Données projet'!$A$36,'Données projet'!$B$36,N24+M25-V24)))</f>
        <v>135.19999999999999</v>
      </c>
      <c r="O25" s="14">
        <f>N25*VLOOKUP('Données projet'!$B$9,Paramètres!$A$1:$I$89,3,0)*VLOOKUP('Données projet'!$B$9,Paramètres!$A$1:$I$89,5,0)</f>
        <v>118.11072000000001</v>
      </c>
      <c r="P25" s="14">
        <f t="shared" si="33"/>
        <v>31.233949612110369</v>
      </c>
      <c r="Q25" s="22">
        <f t="shared" si="2"/>
        <v>260.10863290775887</v>
      </c>
      <c r="R25" s="62">
        <f t="shared" si="0"/>
        <v>481.2895468112273</v>
      </c>
      <c r="S25" s="62">
        <f ca="1">AVERAGE(OFFSET($R$3,0,0,'Données projet'!$E$9+1,1))-AVERAGE(OFFSET($H$3,0,0,'Données projet'!$E$9+1,1))</f>
        <v>317.71917965043735</v>
      </c>
      <c r="T25" s="62">
        <f t="shared" si="34"/>
        <v>444.40801165665744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7.8264070043803118</v>
      </c>
      <c r="AB25" s="23">
        <f>EXP(-LN(2)/2)*AB24+(1-EXP(-LN(2)/2))/(LN(2)/2)*V25*Y25*VLOOKUP('Données projet'!$B$9,Paramètres!$A$1:$I$89,3,0)*0.475*44/12</f>
        <v>0</v>
      </c>
      <c r="AC25" s="24">
        <f t="shared" si="3"/>
        <v>7.8264070043803118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14.8</v>
      </c>
      <c r="AI25" s="14">
        <f>IF('Données projet'!$A$62&gt;35,AI24+AH25-AQ24,IF(A25&lt;'Données projet'!$A$62,$AF$205^A25,IF(A25='Données projet'!$A$62,'Données projet'!$B$62,AI24+AH25-AQ24)))</f>
        <v>95.59999999999998</v>
      </c>
      <c r="AJ25" s="14">
        <f>AI25*VLOOKUP('Données projet'!$B$10,Paramètres!$A$1:$I$89,3,0)*VLOOKUP('Données projet'!$B$10,Paramètres!$A$1:$I$89,5,0)</f>
        <v>76.059359999999998</v>
      </c>
      <c r="AK25" s="14">
        <f t="shared" si="35"/>
        <v>21.170862971540299</v>
      </c>
      <c r="AL25" s="22">
        <f t="shared" si="4"/>
        <v>169.34263834209935</v>
      </c>
      <c r="AM25" s="62">
        <f t="shared" si="5"/>
        <v>390.52355224556777</v>
      </c>
      <c r="AN25" s="62">
        <f ca="1">AVERAGE(OFFSET($AM$3,0,0,'Données projet'!$E$10+1,1))-AVERAGE(OFFSET($H$3,0,0,'Données projet'!$E$10+1,1))</f>
        <v>376.47942810265266</v>
      </c>
      <c r="AO25" s="62">
        <f t="shared" si="36"/>
        <v>362.87951024071265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3.0748224030290663</v>
      </c>
      <c r="AW25" s="23">
        <f>EXP(-LN(2)/2)*AW24+(1-EXP(-LN(2)/2))/(LN(2)/2)*AQ25*AT25*VLOOKUP('Données projet'!$B$10,Paramètres!$A$1:$I$89,3,0)*0.475*44/12</f>
        <v>12.632595612878958</v>
      </c>
      <c r="AX25" s="23">
        <f t="shared" si="6"/>
        <v>15.707418015908026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15.6</v>
      </c>
      <c r="N26" s="14">
        <f>IF('Données projet'!$A$36&gt;35,N25+M26-V25,IF(A26&lt;'Données projet'!$A$36,$K$205^A26,IF(A26='Données projet'!$A$36,'Données projet'!$B$36,N25+M26-V25)))</f>
        <v>150.79999999999998</v>
      </c>
      <c r="O26" s="14">
        <f>N26*VLOOKUP('Données projet'!$B$9,Paramètres!$A$1:$I$89,3,0)*VLOOKUP('Données projet'!$B$9,Paramètres!$A$1:$I$89,5,0)</f>
        <v>131.73887999999999</v>
      </c>
      <c r="P26" s="14">
        <f t="shared" si="33"/>
        <v>34.397852193895829</v>
      </c>
      <c r="Q26" s="22">
        <f t="shared" si="2"/>
        <v>289.35480857103522</v>
      </c>
      <c r="R26" s="62">
        <f t="shared" si="0"/>
        <v>512.84000528058175</v>
      </c>
      <c r="S26" s="62">
        <f ca="1">AVERAGE(OFFSET($R$3,0,0,'Données projet'!$E$9+1,1))-AVERAGE(OFFSET($H$3,0,0,'Données projet'!$E$9+1,1))</f>
        <v>317.71917965043735</v>
      </c>
      <c r="T26" s="62">
        <f t="shared" si="34"/>
        <v>444.40801165665744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7.6123934932726751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7.6123934932726751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14.8</v>
      </c>
      <c r="AI26" s="14">
        <f>IF('Données projet'!$A$62&gt;35,AI25+AH26-AQ25,IF(A26&lt;'Données projet'!$A$62,$AF$205^A26,IF(A26='Données projet'!$A$62,'Données projet'!$B$62,AI25+AH26-AQ25)))</f>
        <v>110.39999999999998</v>
      </c>
      <c r="AJ26" s="14">
        <f>AI26*VLOOKUP('Données projet'!$B$10,Paramètres!$A$1:$I$89,3,0)*VLOOKUP('Données projet'!$B$10,Paramètres!$A$1:$I$89,5,0)</f>
        <v>87.83423999999998</v>
      </c>
      <c r="AK26" s="14">
        <f t="shared" si="35"/>
        <v>24.042157662768496</v>
      </c>
      <c r="AL26" s="22">
        <f t="shared" si="4"/>
        <v>194.85139259598841</v>
      </c>
      <c r="AM26" s="62">
        <f t="shared" si="5"/>
        <v>418.33658930553491</v>
      </c>
      <c r="AN26" s="62">
        <f ca="1">AVERAGE(OFFSET($AM$3,0,0,'Données projet'!$E$10+1,1))-AVERAGE(OFFSET($H$3,0,0,'Données projet'!$E$10+1,1))</f>
        <v>376.47942810265266</v>
      </c>
      <c r="AO26" s="62">
        <f t="shared" si="36"/>
        <v>362.87951024071265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2.990741222720354</v>
      </c>
      <c r="AW26" s="23">
        <f>EXP(-LN(2)/2)*AW25+(1-EXP(-LN(2)/2))/(LN(2)/2)*AQ26*AT26*VLOOKUP('Données projet'!$B$10,Paramètres!$A$1:$I$89,3,0)*0.475*44/12</f>
        <v>8.9325940218541433</v>
      </c>
      <c r="AX26" s="23">
        <f t="shared" si="6"/>
        <v>11.923335244574497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15.6</v>
      </c>
      <c r="N27" s="14">
        <f>IF('Données projet'!$A$36&gt;35,N26+M27-V26,IF(A27&lt;'Données projet'!$A$36,$K$205^A27,IF(A27='Données projet'!$A$36,'Données projet'!$B$36,N26+M27-V26)))</f>
        <v>166.39999999999998</v>
      </c>
      <c r="O27" s="14">
        <f>N27*VLOOKUP('Données projet'!$B$9,Paramètres!$A$1:$I$89,3,0)*VLOOKUP('Données projet'!$B$9,Paramètres!$A$1:$I$89,5,0)</f>
        <v>145.36704</v>
      </c>
      <c r="P27" s="14">
        <f t="shared" si="33"/>
        <v>37.523814117080832</v>
      </c>
      <c r="Q27" s="22">
        <f t="shared" si="2"/>
        <v>318.53490425391578</v>
      </c>
      <c r="R27" s="62">
        <f t="shared" si="0"/>
        <v>544.30561243753561</v>
      </c>
      <c r="S27" s="62">
        <f ca="1">AVERAGE(OFFSET($R$3,0,0,'Données projet'!$E$9+1,1))-AVERAGE(OFFSET($H$3,0,0,'Données projet'!$E$9+1,1))</f>
        <v>317.71917965043735</v>
      </c>
      <c r="T27" s="62">
        <f t="shared" si="34"/>
        <v>444.40801165665744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7.404232192880758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7.404232192880758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14.8</v>
      </c>
      <c r="AI27" s="14">
        <f>IF('Données projet'!$A$62&gt;35,AI26+AH27-AQ26,IF(A27&lt;'Données projet'!$A$62,$AF$205^A27,IF(A27='Données projet'!$A$62,'Données projet'!$B$62,AI26+AH27-AQ26)))</f>
        <v>125.19999999999997</v>
      </c>
      <c r="AJ27" s="14">
        <f>AI27*VLOOKUP('Données projet'!$B$10,Paramètres!$A$1:$I$89,3,0)*VLOOKUP('Données projet'!$B$10,Paramètres!$A$1:$I$89,5,0)</f>
        <v>99.60911999999999</v>
      </c>
      <c r="AK27" s="14">
        <f t="shared" si="35"/>
        <v>26.868854563103099</v>
      </c>
      <c r="AL27" s="22">
        <f t="shared" si="4"/>
        <v>220.2824723640712</v>
      </c>
      <c r="AM27" s="62">
        <f t="shared" si="5"/>
        <v>446.053180547691</v>
      </c>
      <c r="AN27" s="62">
        <f ca="1">AVERAGE(OFFSET($AM$3,0,0,'Données projet'!$E$10+1,1))-AVERAGE(OFFSET($H$3,0,0,'Données projet'!$E$10+1,1))</f>
        <v>376.47942810265266</v>
      </c>
      <c r="AO27" s="62">
        <f t="shared" si="36"/>
        <v>362.87951024071265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2.9089592467088203</v>
      </c>
      <c r="AW27" s="23">
        <f>EXP(-LN(2)/2)*AW26+(1-EXP(-LN(2)/2))/(LN(2)/2)*AQ27*AT27*VLOOKUP('Données projet'!$B$10,Paramètres!$A$1:$I$89,3,0)*0.475*44/12</f>
        <v>6.316297806439481</v>
      </c>
      <c r="AX27" s="23">
        <f t="shared" si="6"/>
        <v>9.2252570531483009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182</v>
      </c>
      <c r="L28" s="13">
        <f>VLOOKUP(A28,'Données projet'!$A$35:$I$55,9,0)</f>
        <v>15.6</v>
      </c>
      <c r="M28" s="13">
        <f t="array" ref="M28">INDEX(L:L,MIN(IF(ISNUMBER(L28:L224),ROW(L28:L224),"")))</f>
        <v>15.6</v>
      </c>
      <c r="N28" s="14">
        <f>IF('Données projet'!$A$36&gt;35,N27+M28-V27,IF(A28&lt;'Données projet'!$A$36,$K$205^A28,IF(A28='Données projet'!$A$36,'Données projet'!$B$36,N27+M28-V27)))</f>
        <v>181.99999999999997</v>
      </c>
      <c r="O28" s="14">
        <f>N28*VLOOKUP('Données projet'!$B$9,Paramètres!$A$1:$I$89,3,0)*VLOOKUP('Données projet'!$B$9,Paramètres!$A$1:$I$89,5,0)</f>
        <v>158.99519999999998</v>
      </c>
      <c r="P28" s="14">
        <f t="shared" si="33"/>
        <v>40.615796933386044</v>
      </c>
      <c r="Q28" s="22">
        <f t="shared" si="2"/>
        <v>347.65581965898065</v>
      </c>
      <c r="R28" s="62">
        <f t="shared" si="0"/>
        <v>575.69359362531281</v>
      </c>
      <c r="S28" s="62">
        <f ca="1">AVERAGE(OFFSET($R$3,0,0,'Données projet'!$E$9+1,1))-AVERAGE(OFFSET($H$3,0,0,'Données projet'!$E$9+1,1))</f>
        <v>317.71917965043735</v>
      </c>
      <c r="T28" s="62">
        <f t="shared" si="34"/>
        <v>444.40801165665744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0.25800000000000001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20.107102372588049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20.107102372588049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</v>
      </c>
      <c r="AG28" s="13">
        <f>VLOOKUP(A28,'Données projet'!$A$61:$I$81,9,0)</f>
        <v>14.8</v>
      </c>
      <c r="AH28" s="13">
        <f t="array" ref="AH28">INDEX(AG:AG,MIN(IF(ISNUMBER(AG28:AG224),ROW(AG28:AG224),"")))</f>
        <v>14.8</v>
      </c>
      <c r="AI28" s="14">
        <f>IF('Données projet'!$A$62&gt;35,AI27+AH28-AQ27,IF(A28&lt;'Données projet'!$A$62,$AF$205^A28,IF(A28='Données projet'!$A$62,'Données projet'!$B$62,AI27+AH28-AQ27)))</f>
        <v>139.99999999999997</v>
      </c>
      <c r="AJ28" s="14">
        <f>AI28*VLOOKUP('Données projet'!$B$10,Paramètres!$A$1:$I$89,3,0)*VLOOKUP('Données projet'!$B$10,Paramètres!$A$1:$I$89,5,0)</f>
        <v>111.38399999999999</v>
      </c>
      <c r="AK28" s="14">
        <f t="shared" si="35"/>
        <v>29.656828101147433</v>
      </c>
      <c r="AL28" s="22">
        <f t="shared" si="4"/>
        <v>245.64610894283177</v>
      </c>
      <c r="AM28" s="62">
        <f t="shared" si="5"/>
        <v>473.68388290916391</v>
      </c>
      <c r="AN28" s="62">
        <f ca="1">AVERAGE(OFFSET($AM$3,0,0,'Données projet'!$E$10+1,1))-AVERAGE(OFFSET($H$3,0,0,'Données projet'!$E$10+1,1))</f>
        <v>376.47942810265266</v>
      </c>
      <c r="AO28" s="62">
        <f t="shared" si="36"/>
        <v>362.87951024071265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35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0.10600000000000001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6.0795563546560683</v>
      </c>
      <c r="AW28" s="23">
        <f>EXP(-LN(2)/2)*AW27+(1-EXP(-LN(2)/2))/(LN(2)/2)*AQ28*AT28*VLOOKUP('Données projet'!$B$10,Paramètres!$A$1:$I$89,3,0)*0.475*44/12</f>
        <v>25.485057382208385</v>
      </c>
      <c r="AX28" s="23">
        <f t="shared" si="6"/>
        <v>31.564613736864452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14.8</v>
      </c>
      <c r="N29" s="14">
        <f>IF('Données projet'!$A$36&gt;35,N28+M29-V28,IF(A29&lt;'Données projet'!$A$36,$K$205^A29,IF(A29='Données projet'!$A$36,'Données projet'!$B$36,N28+M29-V28)))</f>
        <v>144.79999999999998</v>
      </c>
      <c r="O29" s="14">
        <f>N29*VLOOKUP('Données projet'!$B$9,Paramètres!$A$1:$I$89,3,0)*VLOOKUP('Données projet'!$B$9,Paramètres!$A$1:$I$89,5,0)</f>
        <v>126.49727999999999</v>
      </c>
      <c r="P29" s="14">
        <f t="shared" si="33"/>
        <v>33.185701456959592</v>
      </c>
      <c r="Q29" s="22">
        <f t="shared" si="2"/>
        <v>278.11452603753787</v>
      </c>
      <c r="R29" s="62">
        <f t="shared" si="0"/>
        <v>508.40124008672808</v>
      </c>
      <c r="S29" s="62">
        <f ca="1">AVERAGE(OFFSET($R$3,0,0,'Données projet'!$E$9+1,1))-AVERAGE(OFFSET($H$3,0,0,'Données projet'!$E$9+1,1))</f>
        <v>317.71917965043735</v>
      </c>
      <c r="T29" s="62">
        <f t="shared" si="34"/>
        <v>444.40801165665744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19.557272600823069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19.557272600823069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</v>
      </c>
      <c r="AI29" s="14">
        <f>IF('Données projet'!$A$62&gt;35,AI28+AH29-AQ28,IF(A29&lt;'Données projet'!$A$62,$AF$205^A29,IF(A29='Données projet'!$A$62,'Données projet'!$B$62,AI28+AH29-AQ28)))</f>
        <v>119.19999999999996</v>
      </c>
      <c r="AJ29" s="14">
        <f>AI29*VLOOKUP('Données projet'!$B$10,Paramètres!$A$1:$I$89,3,0)*VLOOKUP('Données projet'!$B$10,Paramètres!$A$1:$I$89,5,0)</f>
        <v>94.835519999999974</v>
      </c>
      <c r="AK29" s="14">
        <f t="shared" si="35"/>
        <v>25.727860178949104</v>
      </c>
      <c r="AL29" s="22">
        <f t="shared" si="4"/>
        <v>209.98122047833627</v>
      </c>
      <c r="AM29" s="62">
        <f t="shared" si="5"/>
        <v>440.26793452752645</v>
      </c>
      <c r="AN29" s="62">
        <f ca="1">AVERAGE(OFFSET($AM$3,0,0,'Données projet'!$E$10+1,1))-AVERAGE(OFFSET($H$3,0,0,'Données projet'!$E$10+1,1))</f>
        <v>376.47942810265266</v>
      </c>
      <c r="AO29" s="62">
        <f t="shared" si="36"/>
        <v>362.87951024071265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5.9133105664280246</v>
      </c>
      <c r="AW29" s="23">
        <f>EXP(-LN(2)/2)*AW28+(1-EXP(-LN(2)/2))/(LN(2)/2)*AQ29*AT29*VLOOKUP('Données projet'!$B$10,Paramètres!$A$1:$I$89,3,0)*0.475*44/12</f>
        <v>18.020656893887832</v>
      </c>
      <c r="AX29" s="23">
        <f t="shared" si="6"/>
        <v>23.933967460315856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14.8</v>
      </c>
      <c r="N30" s="14">
        <f>IF('Données projet'!$A$36&gt;35,N29+M30-V29,IF(A30&lt;'Données projet'!$A$36,$K$205^A30,IF(A30='Données projet'!$A$36,'Données projet'!$B$36,N29+M30-V29)))</f>
        <v>159.6</v>
      </c>
      <c r="O30" s="14">
        <f>N30*VLOOKUP('Données projet'!$B$9,Paramètres!$A$1:$I$89,3,0)*VLOOKUP('Données projet'!$B$9,Paramètres!$A$1:$I$89,5,0)</f>
        <v>139.42656000000002</v>
      </c>
      <c r="P30" s="14">
        <f t="shared" si="33"/>
        <v>36.165607079455818</v>
      </c>
      <c r="Q30" s="22">
        <f t="shared" si="2"/>
        <v>305.82302433005219</v>
      </c>
      <c r="R30" s="62">
        <f t="shared" si="0"/>
        <v>538.34086720261575</v>
      </c>
      <c r="S30" s="62">
        <f ca="1">AVERAGE(OFFSET($R$3,0,0,'Données projet'!$E$9+1,1))-AVERAGE(OFFSET($H$3,0,0,'Données projet'!$E$9+1,1))</f>
        <v>317.71917965043735</v>
      </c>
      <c r="T30" s="62">
        <f t="shared" si="34"/>
        <v>444.40801165665744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19.022477953081296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19.022477953081296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</v>
      </c>
      <c r="AI30" s="14">
        <f>IF('Données projet'!$A$62&gt;35,AI29+AH30-AQ29,IF(A30&lt;'Données projet'!$A$62,$AF$205^A30,IF(A30='Données projet'!$A$62,'Données projet'!$B$62,AI29+AH30-AQ29)))</f>
        <v>133.39999999999995</v>
      </c>
      <c r="AJ30" s="14">
        <f>AI30*VLOOKUP('Données projet'!$B$10,Paramètres!$A$1:$I$89,3,0)*VLOOKUP('Données projet'!$B$10,Paramètres!$A$1:$I$89,5,0)</f>
        <v>106.13303999999997</v>
      </c>
      <c r="AK30" s="14">
        <f t="shared" si="35"/>
        <v>28.418009728368016</v>
      </c>
      <c r="AL30" s="22">
        <f t="shared" si="4"/>
        <v>234.34307827690756</v>
      </c>
      <c r="AM30" s="62">
        <f t="shared" si="5"/>
        <v>466.8609211494711</v>
      </c>
      <c r="AN30" s="62">
        <f ca="1">AVERAGE(OFFSET($AM$3,0,0,'Données projet'!$E$10+1,1))-AVERAGE(OFFSET($H$3,0,0,'Données projet'!$E$10+1,1))</f>
        <v>376.47942810265266</v>
      </c>
      <c r="AO30" s="62">
        <f t="shared" si="36"/>
        <v>362.87951024071265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5.7516107780215622</v>
      </c>
      <c r="AW30" s="23">
        <f>EXP(-LN(2)/2)*AW29+(1-EXP(-LN(2)/2))/(LN(2)/2)*AQ30*AT30*VLOOKUP('Données projet'!$B$10,Paramètres!$A$1:$I$89,3,0)*0.475*44/12</f>
        <v>12.742528691104193</v>
      </c>
      <c r="AX30" s="23">
        <f t="shared" si="6"/>
        <v>18.494139469125756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14.8</v>
      </c>
      <c r="N31" s="14">
        <f>IF('Données projet'!$A$36&gt;35,N30+M31-V30,IF(A31&lt;'Données projet'!$A$36,$K$205^A31,IF(A31='Données projet'!$A$36,'Données projet'!$B$36,N30+M31-V30)))</f>
        <v>174.4</v>
      </c>
      <c r="O31" s="14">
        <f>N31*VLOOKUP('Données projet'!$B$9,Paramètres!$A$1:$I$89,3,0)*VLOOKUP('Données projet'!$B$9,Paramètres!$A$1:$I$89,5,0)</f>
        <v>152.35584000000003</v>
      </c>
      <c r="P31" s="14">
        <f t="shared" si="33"/>
        <v>39.11347218476763</v>
      </c>
      <c r="Q31" s="22">
        <f t="shared" si="2"/>
        <v>333.47571872180367</v>
      </c>
      <c r="R31" s="62">
        <f t="shared" si="0"/>
        <v>568.20718814378779</v>
      </c>
      <c r="S31" s="62">
        <f ca="1">AVERAGE(OFFSET($R$3,0,0,'Données projet'!$E$9+1,1))-AVERAGE(OFFSET($H$3,0,0,'Données projet'!$E$9+1,1))</f>
        <v>317.71917965043735</v>
      </c>
      <c r="T31" s="62">
        <f t="shared" si="34"/>
        <v>444.40801165665744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18.502307293105648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18.502307293105648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</v>
      </c>
      <c r="AI31" s="14">
        <f>IF('Données projet'!$A$62&gt;35,AI30+AH31-AQ30,IF(A31&lt;'Données projet'!$A$62,$AF$205^A31,IF(A31='Données projet'!$A$62,'Données projet'!$B$62,AI30+AH31-AQ30)))</f>
        <v>147.59999999999994</v>
      </c>
      <c r="AJ31" s="14">
        <f>AI31*VLOOKUP('Données projet'!$B$10,Paramètres!$A$1:$I$89,3,0)*VLOOKUP('Données projet'!$B$10,Paramètres!$A$1:$I$89,5,0)</f>
        <v>117.43055999999996</v>
      </c>
      <c r="AK31" s="14">
        <f t="shared" si="35"/>
        <v>31.074966780724086</v>
      </c>
      <c r="AL31" s="22">
        <f t="shared" si="4"/>
        <v>258.64712580976101</v>
      </c>
      <c r="AM31" s="62">
        <f t="shared" si="5"/>
        <v>493.37859523174507</v>
      </c>
      <c r="AN31" s="62">
        <f ca="1">AVERAGE(OFFSET($AM$3,0,0,'Données projet'!$E$10+1,1))-AVERAGE(OFFSET($H$3,0,0,'Données projet'!$E$10+1,1))</f>
        <v>376.47942810265266</v>
      </c>
      <c r="AO31" s="62">
        <f t="shared" si="36"/>
        <v>362.87951024071265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5.5943326788324974</v>
      </c>
      <c r="AW31" s="23">
        <f>EXP(-LN(2)/2)*AW30+(1-EXP(-LN(2)/2))/(LN(2)/2)*AQ31*AT31*VLOOKUP('Données projet'!$B$10,Paramètres!$A$1:$I$89,3,0)*0.475*44/12</f>
        <v>9.010328446943916</v>
      </c>
      <c r="AX31" s="23">
        <f t="shared" si="6"/>
        <v>14.604661125776413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14.8</v>
      </c>
      <c r="N32" s="14">
        <f>IF('Données projet'!$A$36&gt;35,N31+M32-V31,IF(A32&lt;'Données projet'!$A$36,$K$205^A32,IF(A32='Données projet'!$A$36,'Données projet'!$B$36,N31+M32-V31)))</f>
        <v>189.20000000000002</v>
      </c>
      <c r="O32" s="14">
        <f>N32*VLOOKUP('Données projet'!$B$9,Paramètres!$A$1:$I$89,3,0)*VLOOKUP('Données projet'!$B$9,Paramètres!$A$1:$I$89,5,0)</f>
        <v>165.28512000000003</v>
      </c>
      <c r="P32" s="14">
        <f t="shared" si="33"/>
        <v>42.032324946671778</v>
      </c>
      <c r="Q32" s="22">
        <f t="shared" si="2"/>
        <v>361.07788328212001</v>
      </c>
      <c r="R32" s="62">
        <f t="shared" si="0"/>
        <v>598.00578060489579</v>
      </c>
      <c r="S32" s="62">
        <f ca="1">AVERAGE(OFFSET($R$3,0,0,'Données projet'!$E$9+1,1))-AVERAGE(OFFSET($H$3,0,0,'Données projet'!$E$9+1,1))</f>
        <v>317.71917965043735</v>
      </c>
      <c r="T32" s="62">
        <f t="shared" si="34"/>
        <v>444.40801165665744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17.996360727181621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17.996360727181621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</v>
      </c>
      <c r="AI32" s="14">
        <f>IF('Données projet'!$A$62&gt;35,AI31+AH32-AQ31,IF(A32&lt;'Données projet'!$A$62,$AF$205^A32,IF(A32='Données projet'!$A$62,'Données projet'!$B$62,AI31+AH32-AQ31)))</f>
        <v>161.79999999999993</v>
      </c>
      <c r="AJ32" s="14">
        <f>AI32*VLOOKUP('Données projet'!$B$10,Paramètres!$A$1:$I$89,3,0)*VLOOKUP('Données projet'!$B$10,Paramètres!$A$1:$I$89,5,0)</f>
        <v>128.72807999999995</v>
      </c>
      <c r="AK32" s="14">
        <f t="shared" si="35"/>
        <v>33.702287995285367</v>
      </c>
      <c r="AL32" s="22">
        <f t="shared" si="4"/>
        <v>282.89955759178855</v>
      </c>
      <c r="AM32" s="62">
        <f t="shared" si="5"/>
        <v>519.82745491456444</v>
      </c>
      <c r="AN32" s="62">
        <f ca="1">AVERAGE(OFFSET($AM$3,0,0,'Données projet'!$E$10+1,1))-AVERAGE(OFFSET($H$3,0,0,'Données projet'!$E$10+1,1))</f>
        <v>376.47942810265266</v>
      </c>
      <c r="AO32" s="62">
        <f t="shared" si="36"/>
        <v>362.87951024071265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5.4413553575366533</v>
      </c>
      <c r="AW32" s="23">
        <f>EXP(-LN(2)/2)*AW31+(1-EXP(-LN(2)/2))/(LN(2)/2)*AQ32*AT32*VLOOKUP('Données projet'!$B$10,Paramètres!$A$1:$I$89,3,0)*0.475*44/12</f>
        <v>6.3712643455520963</v>
      </c>
      <c r="AX32" s="23">
        <f t="shared" si="6"/>
        <v>11.81261970308875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204</v>
      </c>
      <c r="L33" s="13">
        <f>VLOOKUP(A33,'Données projet'!$A$35:$I$55,9,0)</f>
        <v>14.8</v>
      </c>
      <c r="M33" s="13">
        <f t="array" ref="M33">INDEX(L:L,MIN(IF(ISNUMBER(L33:L229),ROW(L33:L229),"")))</f>
        <v>14.8</v>
      </c>
      <c r="N33" s="14">
        <f>IF('Données projet'!$A$36&gt;35,N32+M33-V32,IF(A33&lt;'Données projet'!$A$36,$K$205^A33,IF(A33='Données projet'!$A$36,'Données projet'!$B$36,N32+M33-V32)))</f>
        <v>204.00000000000003</v>
      </c>
      <c r="O33" s="14">
        <f>N33*VLOOKUP('Données projet'!$B$9,Paramètres!$A$1:$I$89,3,0)*VLOOKUP('Données projet'!$B$9,Paramètres!$A$1:$I$89,5,0)</f>
        <v>178.21440000000004</v>
      </c>
      <c r="P33" s="14">
        <f t="shared" si="33"/>
        <v>44.924692855664368</v>
      </c>
      <c r="Q33" s="22">
        <f t="shared" si="2"/>
        <v>388.63392005694885</v>
      </c>
      <c r="R33" s="62">
        <f t="shared" si="0"/>
        <v>627.74134498999081</v>
      </c>
      <c r="S33" s="62">
        <f ca="1">AVERAGE(OFFSET($R$3,0,0,'Données projet'!$E$9+1,1))-AVERAGE(OFFSET($H$3,0,0,'Données projet'!$E$9+1,1))</f>
        <v>317.71917965043735</v>
      </c>
      <c r="T33" s="62">
        <f t="shared" si="34"/>
        <v>444.40801165665744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51</v>
      </c>
      <c r="W33" s="17">
        <f>IF(ISNA(VLOOKUP(A33,'Données projet'!$A$35:$I$55,5,0)),0%,VLOOKUP(A33,'Données projet'!$A$35:$I$55,5,0)*VLOOKUP('Données projet'!$B$9,Paramètres!$A$1:$I$89,7,0))</f>
        <v>8.6000000000000007E-2</v>
      </c>
      <c r="X33" s="17">
        <f>IF(ISNA(VLOOKUP(A33,'Données projet'!$A$35:$I$55,6,0)),0%,VLOOKUP(A33,'Données projet'!$A$35:$I$55,6,0)*VLOOKUP('Données projet'!$B$9,Paramètres!$A$1:$I$89,7,0))</f>
        <v>0.34400000000000003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4.2357309187340961</v>
      </c>
      <c r="AA33" s="23">
        <f>EXP(-LN(2)/25)*AA32+(1-EXP(-LN(2)/25))/(LN(2)/25)*Calculateur!V33*Calculateur!X33*VLOOKUP('Données projet'!$B$9,Paramètres!$A$1:$I$89,3,0)*0.475*44/12</f>
        <v>34.380462225377478</v>
      </c>
      <c r="AB33" s="23">
        <f>EXP(-LN(2)/2)*AB32+(1-EXP(-LN(2)/2))/(LN(2)/2)*V33*Y33*VLOOKUP('Données projet'!$B$9,Paramètres!$A$1:$I$89,3,0)*0.475*44/12</f>
        <v>0</v>
      </c>
      <c r="AC33" s="24">
        <f t="shared" si="3"/>
        <v>38.616193144111577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176</v>
      </c>
      <c r="AG33" s="13">
        <f>VLOOKUP(A33,'Données projet'!$A$61:$I$81,9,0)</f>
        <v>14.2</v>
      </c>
      <c r="AH33" s="13">
        <f t="array" ref="AH33">INDEX(AG:AG,MIN(IF(ISNUMBER(AG33:AG229),ROW(AG33:AG229),"")))</f>
        <v>14.2</v>
      </c>
      <c r="AI33" s="14">
        <f>IF('Données projet'!$A$62&gt;35,AI32+AH33-AQ32,IF(A33&lt;'Données projet'!$A$62,$AF$205^A33,IF(A33='Données projet'!$A$62,'Données projet'!$B$62,AI32+AH33-AQ32)))</f>
        <v>175.99999999999991</v>
      </c>
      <c r="AJ33" s="14">
        <f>AI33*VLOOKUP('Données projet'!$B$10,Paramètres!$A$1:$I$89,3,0)*VLOOKUP('Données projet'!$B$10,Paramètres!$A$1:$I$89,5,0)</f>
        <v>140.02559999999994</v>
      </c>
      <c r="AK33" s="14">
        <f t="shared" si="35"/>
        <v>36.302870033112463</v>
      </c>
      <c r="AL33" s="22">
        <f t="shared" si="4"/>
        <v>307.10541864100406</v>
      </c>
      <c r="AM33" s="62">
        <f t="shared" si="5"/>
        <v>546.21284357404602</v>
      </c>
      <c r="AN33" s="62">
        <f ca="1">AVERAGE(OFFSET($AM$3,0,0,'Données projet'!$E$10+1,1))-AVERAGE(OFFSET($H$3,0,0,'Données projet'!$E$10+1,1))</f>
        <v>376.47942810265266</v>
      </c>
      <c r="AO33" s="62">
        <f t="shared" si="36"/>
        <v>362.87951024071265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35</v>
      </c>
      <c r="AR33" s="17">
        <f>IF(ISNA(VLOOKUP(A33,'Données projet'!$A$61:$I$81,5,0)),0%,VLOOKUP(A33,'Données projet'!$A$61:$I$81,5,0)*VLOOKUP('Données projet'!$B$10,Paramètres!$A$1:$I$89,7,0))</f>
        <v>0.10600000000000001</v>
      </c>
      <c r="AS33" s="17">
        <f>IF(ISNA(VLOOKUP(A33,'Données projet'!$A$61:$I$81,6,0)),0%,VLOOKUP(A33,'Données projet'!$A$61:$I$81,6,0)*VLOOKUP('Données projet'!$B$10,Paramètres!$A$1:$I$89,7,0))</f>
        <v>0.10600000000000001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3.2629903879783009</v>
      </c>
      <c r="AV33" s="23">
        <f>EXP(-LN(2)/25)*AV32+(1-EXP(-LN(2)/25))/(LN(2)/25)*Calculateur!AQ33*Calculateur!AS33*VLOOKUP('Données projet'!$B$10,Paramètres!$A$1:$I$89,3,0)*0.475*44/12</f>
        <v>8.5427039606603898</v>
      </c>
      <c r="AW33" s="23">
        <f>EXP(-LN(2)/2)*AW32+(1-EXP(-LN(2)/2))/(LN(2)/2)*AQ33*AT33*VLOOKUP('Données projet'!$B$10,Paramètres!$A$1:$I$89,3,0)*0.475*44/12</f>
        <v>20.269234501932942</v>
      </c>
      <c r="AX33" s="23">
        <f t="shared" si="6"/>
        <v>32.074928850571631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13.6</v>
      </c>
      <c r="N34" s="14">
        <f>IF('Données projet'!$A$36&gt;35,N33+M34-V33,IF(A34&lt;'Données projet'!$A$36,$K$205^A34,IF(A34='Données projet'!$A$36,'Données projet'!$B$36,N33+M34-V33)))</f>
        <v>166.60000000000002</v>
      </c>
      <c r="O34" s="14">
        <f>N34*VLOOKUP('Données projet'!$B$9,Paramètres!$A$1:$I$89,3,0)*VLOOKUP('Données projet'!$B$9,Paramètres!$A$1:$I$89,5,0)</f>
        <v>145.54176000000004</v>
      </c>
      <c r="P34" s="14">
        <f t="shared" si="33"/>
        <v>37.563662342876064</v>
      </c>
      <c r="Q34" s="22">
        <f t="shared" si="2"/>
        <v>318.90861058050916</v>
      </c>
      <c r="R34" s="62">
        <f t="shared" si="0"/>
        <v>558.95673379332675</v>
      </c>
      <c r="S34" s="62">
        <f ca="1">AVERAGE(OFFSET($R$3,0,0,'Données projet'!$E$9+1,1))-AVERAGE(OFFSET($H$3,0,0,'Données projet'!$E$9+1,1))</f>
        <v>317.71917965043735</v>
      </c>
      <c r="T34" s="62">
        <f t="shared" si="34"/>
        <v>444.40801165665744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4.1526708189584776</v>
      </c>
      <c r="AA34" s="23">
        <f>EXP(-LN(2)/25)*AA33+(1-EXP(-LN(2)/25))/(LN(2)/25)*Calculateur!V34*Calculateur!X34*VLOOKUP('Données projet'!$B$9,Paramètres!$A$1:$I$89,3,0)*0.475*44/12</f>
        <v>33.440326677834598</v>
      </c>
      <c r="AB34" s="23">
        <f>EXP(-LN(2)/2)*AB33+(1-EXP(-LN(2)/2))/(LN(2)/2)*V34*Y34*VLOOKUP('Données projet'!$B$9,Paramètres!$A$1:$I$89,3,0)*0.475*44/12</f>
        <v>0</v>
      </c>
      <c r="AC34" s="24">
        <f t="shared" si="3"/>
        <v>37.592997496793075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</v>
      </c>
      <c r="AI34" s="14">
        <f>IF('Données projet'!$A$62&gt;35,AI33+AH34-AQ33,IF(A34&lt;'Données projet'!$A$62,$AF$205^A34,IF(A34='Données projet'!$A$62,'Données projet'!$B$62,AI33+AH34-AQ33)))</f>
        <v>153.99999999999991</v>
      </c>
      <c r="AJ34" s="14">
        <f>AI34*VLOOKUP('Données projet'!$B$10,Paramètres!$A$1:$I$89,3,0)*VLOOKUP('Données projet'!$B$10,Paramètres!$A$1:$I$89,5,0)</f>
        <v>122.52239999999995</v>
      </c>
      <c r="AK34" s="14">
        <f t="shared" si="35"/>
        <v>32.26259352430629</v>
      </c>
      <c r="AL34" s="22">
        <f t="shared" si="4"/>
        <v>269.58386372149999</v>
      </c>
      <c r="AM34" s="62">
        <f t="shared" si="5"/>
        <v>509.63198693431752</v>
      </c>
      <c r="AN34" s="62">
        <f ca="1">AVERAGE(OFFSET($AM$3,0,0,'Données projet'!$E$10+1,1))-AVERAGE(OFFSET($H$3,0,0,'Données projet'!$E$10+1,1))</f>
        <v>376.47942810265266</v>
      </c>
      <c r="AO34" s="62">
        <f t="shared" si="36"/>
        <v>362.87951024071265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3.1990051366976644</v>
      </c>
      <c r="AV34" s="23">
        <f>EXP(-LN(2)/25)*AV33+(1-EXP(-LN(2)/25))/(LN(2)/25)*Calculateur!AQ34*Calculateur!AS34*VLOOKUP('Données projet'!$B$10,Paramètres!$A$1:$I$89,3,0)*0.475*44/12</f>
        <v>8.3091032716148554</v>
      </c>
      <c r="AW34" s="23">
        <f>EXP(-LN(2)/2)*AW33+(1-EXP(-LN(2)/2))/(LN(2)/2)*AQ34*AT34*VLOOKUP('Données projet'!$B$10,Paramètres!$A$1:$I$89,3,0)*0.475*44/12</f>
        <v>14.332513165777117</v>
      </c>
      <c r="AX34" s="23">
        <f t="shared" si="6"/>
        <v>25.840621574089639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13.6</v>
      </c>
      <c r="N35" s="14">
        <f>IF('Données projet'!$A$36&gt;35,N34+M35-V34,IF(A35&lt;'Données projet'!$A$36,$K$205^A35,IF(A35='Données projet'!$A$36,'Données projet'!$B$36,N34+M35-V34)))</f>
        <v>180.20000000000002</v>
      </c>
      <c r="O35" s="14">
        <f>N35*VLOOKUP('Données projet'!$B$9,Paramètres!$A$1:$I$89,3,0)*VLOOKUP('Données projet'!$B$9,Paramètres!$A$1:$I$89,5,0)</f>
        <v>157.42272000000003</v>
      </c>
      <c r="P35" s="14">
        <f t="shared" si="33"/>
        <v>40.260654441499831</v>
      </c>
      <c r="Q35" s="22">
        <f t="shared" ref="Q35:Q66" si="53">(O35+P35)*0.475*44/12</f>
        <v>344.29854381894557</v>
      </c>
      <c r="R35" s="62">
        <f t="shared" si="0"/>
        <v>585.27104629947087</v>
      </c>
      <c r="S35" s="62">
        <f ca="1">AVERAGE(OFFSET($R$3,0,0,'Données projet'!$E$9+1,1))-AVERAGE(OFFSET($H$3,0,0,'Données projet'!$E$9+1,1))</f>
        <v>317.71917965043735</v>
      </c>
      <c r="T35" s="62">
        <f t="shared" si="34"/>
        <v>444.40801165665744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4.0712394770778007</v>
      </c>
      <c r="AA35" s="23">
        <f>EXP(-LN(2)/25)*AA34+(1-EXP(-LN(2)/25))/(LN(2)/25)*Calculateur!V35*Calculateur!X35*VLOOKUP('Données projet'!$B$9,Paramètres!$A$1:$I$89,3,0)*0.475*44/12</f>
        <v>32.525899186278863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36.597138663356667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</v>
      </c>
      <c r="AI35" s="14">
        <f>IF('Données projet'!$A$62&gt;35,AI34+AH35-AQ34,IF(A35&lt;'Données projet'!$A$62,$AF$205^A35,IF(A35='Données projet'!$A$62,'Données projet'!$B$62,AI34+AH35-AQ34)))</f>
        <v>166.99999999999991</v>
      </c>
      <c r="AJ35" s="14">
        <f>AI35*VLOOKUP('Données projet'!$B$10,Paramètres!$A$1:$I$89,3,0)*VLOOKUP('Données projet'!$B$10,Paramètres!$A$1:$I$89,5,0)</f>
        <v>132.86519999999993</v>
      </c>
      <c r="AK35" s="14">
        <f t="shared" si="35"/>
        <v>34.657580565743032</v>
      </c>
      <c r="AL35" s="22">
        <f t="shared" si="4"/>
        <v>291.76884281866893</v>
      </c>
      <c r="AM35" s="62">
        <f t="shared" si="5"/>
        <v>532.74134529919422</v>
      </c>
      <c r="AN35" s="62">
        <f ca="1">AVERAGE(OFFSET($AM$3,0,0,'Données projet'!$E$10+1,1))-AVERAGE(OFFSET($H$3,0,0,'Données projet'!$E$10+1,1))</f>
        <v>376.47942810265266</v>
      </c>
      <c r="AO35" s="62">
        <f t="shared" si="36"/>
        <v>362.87951024071265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3.1362745971674917</v>
      </c>
      <c r="AV35" s="23">
        <f>EXP(-LN(2)/25)*AV34+(1-EXP(-LN(2)/25))/(LN(2)/25)*Calculateur!AQ35*Calculateur!AS35*VLOOKUP('Données projet'!$B$10,Paramètres!$A$1:$I$89,3,0)*0.475*44/12</f>
        <v>8.0818904056957965</v>
      </c>
      <c r="AW35" s="23">
        <f>EXP(-LN(2)/2)*AW34+(1-EXP(-LN(2)/2))/(LN(2)/2)*AQ35*AT35*VLOOKUP('Données projet'!$B$10,Paramètres!$A$1:$I$89,3,0)*0.475*44/12</f>
        <v>10.134617250966473</v>
      </c>
      <c r="AX35" s="23">
        <f t="shared" si="6"/>
        <v>21.352782253829758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</v>
      </c>
      <c r="N36" s="14">
        <f>IF('Données projet'!$A$36&gt;35,N35+M36-V35,IF(A36&lt;'Données projet'!$A$36,$K$205^A36,IF(A36='Données projet'!$A$36,'Données projet'!$B$36,N35+M36-V35)))</f>
        <v>193.8</v>
      </c>
      <c r="O36" s="14">
        <f>N36*VLOOKUP('Données projet'!$B$9,Paramètres!$A$1:$I$89,3,0)*VLOOKUP('Données projet'!$B$9,Paramètres!$A$1:$I$89,5,0)</f>
        <v>169.30368000000004</v>
      </c>
      <c r="P36" s="14">
        <f t="shared" si="33"/>
        <v>42.934033834973256</v>
      </c>
      <c r="Q36" s="22">
        <f t="shared" si="53"/>
        <v>369.64735159591186</v>
      </c>
      <c r="R36" s="62">
        <f t="shared" si="0"/>
        <v>611.52819743045256</v>
      </c>
      <c r="S36" s="62">
        <f ca="1">AVERAGE(OFFSET($R$3,0,0,'Données projet'!$E$9+1,1))-AVERAGE(OFFSET($H$3,0,0,'Données projet'!$E$9+1,1))</f>
        <v>317.71917965043735</v>
      </c>
      <c r="T36" s="62">
        <f t="shared" si="34"/>
        <v>444.40801165665744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3.9914049541431891</v>
      </c>
      <c r="AA36" s="23">
        <f>EXP(-LN(2)/25)*AA35+(1-EXP(-LN(2)/25))/(LN(2)/25)*Calculateur!V36*Calculateur!X36*VLOOKUP('Données projet'!$B$9,Paramètres!$A$1:$I$89,3,0)*0.475*44/12</f>
        <v>31.636476762567369</v>
      </c>
      <c r="AB36" s="23">
        <f>EXP(-LN(2)/2)*AB35+(1-EXP(-LN(2)/2))/(LN(2)/2)*V36*Y36*VLOOKUP('Données projet'!$B$9,Paramètres!$A$1:$I$89,3,0)*0.475*44/12</f>
        <v>0</v>
      </c>
      <c r="AC36" s="24">
        <f t="shared" si="3"/>
        <v>35.627881716710561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</v>
      </c>
      <c r="AI36" s="14">
        <f>IF('Données projet'!$A$62&gt;35,AI35+AH36-AQ35,IF(A36&lt;'Données projet'!$A$62,$AF$205^A36,IF(A36='Données projet'!$A$62,'Données projet'!$B$62,AI35+AH36-AQ35)))</f>
        <v>179.99999999999991</v>
      </c>
      <c r="AJ36" s="14">
        <f>AI36*VLOOKUP('Données projet'!$B$10,Paramètres!$A$1:$I$89,3,0)*VLOOKUP('Données projet'!$B$10,Paramètres!$A$1:$I$89,5,0)</f>
        <v>143.20799999999994</v>
      </c>
      <c r="AK36" s="14">
        <f t="shared" si="35"/>
        <v>37.030941422835802</v>
      </c>
      <c r="AL36" s="22">
        <f t="shared" si="4"/>
        <v>313.9161563114389</v>
      </c>
      <c r="AM36" s="62">
        <f t="shared" si="5"/>
        <v>555.7970021459796</v>
      </c>
      <c r="AN36" s="62">
        <f ca="1">AVERAGE(OFFSET($AM$3,0,0,'Données projet'!$E$10+1,1))-AVERAGE(OFFSET($H$3,0,0,'Données projet'!$E$10+1,1))</f>
        <v>376.47942810265266</v>
      </c>
      <c r="AO36" s="62">
        <f t="shared" si="36"/>
        <v>362.87951024071265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3.0747741652556546</v>
      </c>
      <c r="AV36" s="23">
        <f>EXP(-LN(2)/25)*AV35+(1-EXP(-LN(2)/25))/(LN(2)/25)*Calculateur!AQ36*Calculateur!AS36*VLOOKUP('Données projet'!$B$10,Paramètres!$A$1:$I$89,3,0)*0.475*44/12</f>
        <v>7.8608906875438995</v>
      </c>
      <c r="AW36" s="23">
        <f>EXP(-LN(2)/2)*AW35+(1-EXP(-LN(2)/2))/(LN(2)/2)*AQ36*AT36*VLOOKUP('Données projet'!$B$10,Paramètres!$A$1:$I$89,3,0)*0.475*44/12</f>
        <v>7.1662565828885603</v>
      </c>
      <c r="AX36" s="23">
        <f t="shared" si="6"/>
        <v>18.101921435688116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</v>
      </c>
      <c r="N37" s="14">
        <f>IF('Données projet'!$A$36&gt;35,N36+M37-V36,IF(A37&lt;'Données projet'!$A$36,$K$205^A37,IF(A37='Données projet'!$A$36,'Données projet'!$B$36,N36+M37-V36)))</f>
        <v>207.4</v>
      </c>
      <c r="O37" s="14">
        <f>N37*VLOOKUP('Données projet'!$B$9,Paramètres!$A$1:$I$89,3,0)*VLOOKUP('Données projet'!$B$9,Paramètres!$A$1:$I$89,5,0)</f>
        <v>181.18464000000003</v>
      </c>
      <c r="P37" s="14">
        <f t="shared" si="33"/>
        <v>45.585646034700325</v>
      </c>
      <c r="Q37" s="22">
        <f t="shared" si="53"/>
        <v>394.95824817710309</v>
      </c>
      <c r="R37" s="62">
        <f t="shared" si="0"/>
        <v>637.73167963921867</v>
      </c>
      <c r="S37" s="62">
        <f ca="1">AVERAGE(OFFSET($R$3,0,0,'Données projet'!$E$9+1,1))-AVERAGE(OFFSET($H$3,0,0,'Données projet'!$E$9+1,1))</f>
        <v>317.71917965043735</v>
      </c>
      <c r="T37" s="62">
        <f t="shared" si="34"/>
        <v>444.40801165665744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3.9131359375090744</v>
      </c>
      <c r="AA37" s="23">
        <f>EXP(-LN(2)/25)*AA36+(1-EXP(-LN(2)/25))/(LN(2)/25)*Calculateur!V37*Calculateur!X37*VLOOKUP('Données projet'!$B$9,Paramètres!$A$1:$I$89,3,0)*0.475*44/12</f>
        <v>30.771375641804958</v>
      </c>
      <c r="AB37" s="23">
        <f>EXP(-LN(2)/2)*AB36+(1-EXP(-LN(2)/2))/(LN(2)/2)*V37*Y37*VLOOKUP('Données projet'!$B$9,Paramètres!$A$1:$I$89,3,0)*0.475*44/12</f>
        <v>0</v>
      </c>
      <c r="AC37" s="24">
        <f t="shared" si="3"/>
        <v>34.684511579314034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</v>
      </c>
      <c r="AI37" s="14">
        <f>IF('Données projet'!$A$62&gt;35,AI36+AH37-AQ36,IF(A37&lt;'Données projet'!$A$62,$AF$205^A37,IF(A37='Données projet'!$A$62,'Données projet'!$B$62,AI36+AH37-AQ36)))</f>
        <v>192.99999999999991</v>
      </c>
      <c r="AJ37" s="14">
        <f>AI37*VLOOKUP('Données projet'!$B$10,Paramètres!$A$1:$I$89,3,0)*VLOOKUP('Données projet'!$B$10,Paramètres!$A$1:$I$89,5,0)</f>
        <v>153.55079999999995</v>
      </c>
      <c r="AK37" s="14">
        <f t="shared" si="35"/>
        <v>39.384415616157526</v>
      </c>
      <c r="AL37" s="22">
        <f t="shared" si="4"/>
        <v>336.02883386480761</v>
      </c>
      <c r="AM37" s="62">
        <f t="shared" si="5"/>
        <v>578.80226532692313</v>
      </c>
      <c r="AN37" s="62">
        <f ca="1">AVERAGE(OFFSET($AM$3,0,0,'Données projet'!$E$10+1,1))-AVERAGE(OFFSET($H$3,0,0,'Données projet'!$E$10+1,1))</f>
        <v>376.47942810265266</v>
      </c>
      <c r="AO37" s="62">
        <f t="shared" si="36"/>
        <v>362.87951024071265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3.0144797193020492</v>
      </c>
      <c r="AV37" s="23">
        <f>EXP(-LN(2)/25)*AV36+(1-EXP(-LN(2)/25))/(LN(2)/25)*Calculateur!AQ37*Calculateur!AS37*VLOOKUP('Données projet'!$B$10,Paramètres!$A$1:$I$89,3,0)*0.475*44/12</f>
        <v>7.6459342183067367</v>
      </c>
      <c r="AW37" s="23">
        <f>EXP(-LN(2)/2)*AW36+(1-EXP(-LN(2)/2))/(LN(2)/2)*AQ37*AT37*VLOOKUP('Données projet'!$B$10,Paramètres!$A$1:$I$89,3,0)*0.475*44/12</f>
        <v>5.0673086254832373</v>
      </c>
      <c r="AX37" s="23">
        <f t="shared" si="6"/>
        <v>15.727722563092023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221</v>
      </c>
      <c r="L38" s="13">
        <f>VLOOKUP(A38,'Données projet'!$A$35:$I$55,9,0)</f>
        <v>13.6</v>
      </c>
      <c r="M38" s="13">
        <f t="array" ref="M38">INDEX(L:L,MIN(IF(ISNUMBER(L38:L234),ROW(L38:L234),"")))</f>
        <v>13.6</v>
      </c>
      <c r="N38" s="14">
        <f>IF('Données projet'!$A$36&gt;35,N37+M38-V37,IF(A38&lt;'Données projet'!$A$36,$K$205^A38,IF(A38='Données projet'!$A$36,'Données projet'!$B$36,N37+M38-V37)))</f>
        <v>221</v>
      </c>
      <c r="O38" s="14">
        <f>N38*VLOOKUP('Données projet'!$B$9,Paramètres!$A$1:$I$89,3,0)*VLOOKUP('Données projet'!$B$9,Paramètres!$A$1:$I$89,5,0)</f>
        <v>193.06560000000002</v>
      </c>
      <c r="P38" s="14">
        <f t="shared" si="33"/>
        <v>48.217080828790458</v>
      </c>
      <c r="Q38" s="22">
        <f t="shared" si="53"/>
        <v>420.23400244347675</v>
      </c>
      <c r="R38" s="62">
        <f t="shared" si="0"/>
        <v>663.88453516805123</v>
      </c>
      <c r="S38" s="62">
        <f ca="1">AVERAGE(OFFSET($R$3,0,0,'Données projet'!$E$9+1,1))-AVERAGE(OFFSET($H$3,0,0,'Données projet'!$E$9+1,1))</f>
        <v>317.71917965043735</v>
      </c>
      <c r="T38" s="62">
        <f t="shared" si="34"/>
        <v>444.40801165665744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3.8364017285517686</v>
      </c>
      <c r="AA38" s="23">
        <f>EXP(-LN(2)/25)*AA37+(1-EXP(-LN(2)/25))/(LN(2)/25)*Calculateur!V38*Calculateur!X38*VLOOKUP('Données projet'!$B$9,Paramètres!$A$1:$I$89,3,0)*0.475*44/12</f>
        <v>29.929930756683486</v>
      </c>
      <c r="AB38" s="23">
        <f>EXP(-LN(2)/2)*AB37+(1-EXP(-LN(2)/2))/(LN(2)/2)*V38*Y38*VLOOKUP('Données projet'!$B$9,Paramètres!$A$1:$I$89,3,0)*0.475*44/12</f>
        <v>0</v>
      </c>
      <c r="AC38" s="24">
        <f t="shared" si="3"/>
        <v>33.766332485235253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</v>
      </c>
      <c r="AG38" s="13">
        <f>VLOOKUP(A38,'Données projet'!$A$61:$I$81,9,0)</f>
        <v>13</v>
      </c>
      <c r="AH38" s="13">
        <f t="array" ref="AH38">INDEX(AG:AG,MIN(IF(ISNUMBER(AG38:AG234),ROW(AG38:AG234),"")))</f>
        <v>13</v>
      </c>
      <c r="AI38" s="14">
        <f>IF('Données projet'!$A$62&gt;35,AI37+AH38-AQ37,IF(A38&lt;'Données projet'!$A$62,$AF$205^A38,IF(A38='Données projet'!$A$62,'Données projet'!$B$62,AI37+AH38-AQ37)))</f>
        <v>205.99999999999991</v>
      </c>
      <c r="AJ38" s="14">
        <f>AI38*VLOOKUP('Données projet'!$B$10,Paramètres!$A$1:$I$89,3,0)*VLOOKUP('Données projet'!$B$10,Paramètres!$A$1:$I$89,5,0)</f>
        <v>163.89359999999994</v>
      </c>
      <c r="AK38" s="14">
        <f t="shared" si="35"/>
        <v>41.71949506642347</v>
      </c>
      <c r="AL38" s="22">
        <f t="shared" si="4"/>
        <v>358.10947390735402</v>
      </c>
      <c r="AM38" s="62">
        <f t="shared" si="5"/>
        <v>601.76000663192849</v>
      </c>
      <c r="AN38" s="62">
        <f ca="1">AVERAGE(OFFSET($AM$3,0,0,'Données projet'!$E$10+1,1))-AVERAGE(OFFSET($H$3,0,0,'Données projet'!$E$10+1,1))</f>
        <v>376.47942810265266</v>
      </c>
      <c r="AO38" s="62">
        <f t="shared" si="36"/>
        <v>362.87951024071265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35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2.9553676106576132</v>
      </c>
      <c r="AV38" s="23">
        <f>EXP(-LN(2)/25)*AV37+(1-EXP(-LN(2)/25))/(LN(2)/25)*Calculateur!AQ38*Calculateur!AS38*VLOOKUP('Données projet'!$B$10,Paramètres!$A$1:$I$89,3,0)*0.475*44/12</f>
        <v>7.4368557450249337</v>
      </c>
      <c r="AW38" s="23">
        <f>EXP(-LN(2)/2)*AW37+(1-EXP(-LN(2)/2))/(LN(2)/2)*AQ38*AT38*VLOOKUP('Données projet'!$B$10,Paramètres!$A$1:$I$89,3,0)*0.475*44/12</f>
        <v>3.5831282914442806</v>
      </c>
      <c r="AX38" s="23">
        <f t="shared" si="6"/>
        <v>13.975351647126827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12.2</v>
      </c>
      <c r="N39" s="14">
        <f>IF('Données projet'!$A$36&gt;35,N38+M39-V38,IF(A39&lt;'Données projet'!$A$36,$K$205^A39,IF(A39='Données projet'!$A$36,'Données projet'!$B$36,N38+M39-V38)))</f>
        <v>184.2</v>
      </c>
      <c r="O39" s="14">
        <f>N39*VLOOKUP('Données projet'!$B$9,Paramètres!$A$1:$I$89,3,0)*VLOOKUP('Données projet'!$B$9,Paramètres!$A$1:$I$89,5,0)</f>
        <v>160.91712000000001</v>
      </c>
      <c r="P39" s="14">
        <f t="shared" si="33"/>
        <v>41.049305520788089</v>
      </c>
      <c r="Q39" s="22">
        <f t="shared" si="53"/>
        <v>351.75819111537254</v>
      </c>
      <c r="R39" s="62">
        <f t="shared" si="0"/>
        <v>596.27060935640702</v>
      </c>
      <c r="S39" s="62">
        <f ca="1">AVERAGE(OFFSET($R$3,0,0,'Données projet'!$E$9+1,1))-AVERAGE(OFFSET($H$3,0,0,'Données projet'!$E$9+1,1))</f>
        <v>317.71917965043735</v>
      </c>
      <c r="T39" s="62">
        <f t="shared" si="34"/>
        <v>444.40801165665744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3.7611722306288695</v>
      </c>
      <c r="AA39" s="23">
        <f>EXP(-LN(2)/25)*AA38+(1-EXP(-LN(2)/25))/(LN(2)/25)*Calculateur!V39*Calculateur!X39*VLOOKUP('Données projet'!$B$9,Paramètres!$A$1:$I$89,3,0)*0.475*44/12</f>
        <v>29.111495226195323</v>
      </c>
      <c r="AB39" s="23">
        <f>EXP(-LN(2)/2)*AB38+(1-EXP(-LN(2)/2))/(LN(2)/2)*V39*Y39*VLOOKUP('Données projet'!$B$9,Paramètres!$A$1:$I$89,3,0)*0.475*44/12</f>
        <v>0</v>
      </c>
      <c r="AC39" s="24">
        <f t="shared" si="3"/>
        <v>32.872667456824196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11.4</v>
      </c>
      <c r="AI39" s="14">
        <f>IF('Données projet'!$A$62&gt;35,AI38+AH39-AQ38,IF(A39&lt;'Données projet'!$A$62,$AF$205^A39,IF(A39='Données projet'!$A$62,'Données projet'!$B$62,AI38+AH39-AQ38)))</f>
        <v>182.39999999999992</v>
      </c>
      <c r="AJ39" s="14">
        <f>AI39*VLOOKUP('Données projet'!$B$10,Paramètres!$A$1:$I$89,3,0)*VLOOKUP('Données projet'!$B$10,Paramètres!$A$1:$I$89,5,0)</f>
        <v>145.11743999999993</v>
      </c>
      <c r="AK39" s="14">
        <f t="shared" si="35"/>
        <v>37.466878406916173</v>
      </c>
      <c r="AL39" s="22">
        <f t="shared" si="4"/>
        <v>318.00102122537891</v>
      </c>
      <c r="AM39" s="62">
        <f t="shared" si="5"/>
        <v>562.51343946641327</v>
      </c>
      <c r="AN39" s="62">
        <f ca="1">AVERAGE(OFFSET($AM$3,0,0,'Données projet'!$E$10+1,1))-AVERAGE(OFFSET($H$3,0,0,'Données projet'!$E$10+1,1))</f>
        <v>376.47942810265266</v>
      </c>
      <c r="AO39" s="62">
        <f t="shared" si="36"/>
        <v>362.87951024071265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2.8974146544088684</v>
      </c>
      <c r="AV39" s="23">
        <f>EXP(-LN(2)/25)*AV38+(1-EXP(-LN(2)/25))/(LN(2)/25)*Calculateur!AQ39*Calculateur!AS39*VLOOKUP('Données projet'!$B$10,Paramètres!$A$1:$I$89,3,0)*0.475*44/12</f>
        <v>7.2334945335899805</v>
      </c>
      <c r="AW39" s="23">
        <f>EXP(-LN(2)/2)*AW38+(1-EXP(-LN(2)/2))/(LN(2)/2)*AQ39*AT39*VLOOKUP('Données projet'!$B$10,Paramètres!$A$1:$I$89,3,0)*0.475*44/12</f>
        <v>2.5336543127416191</v>
      </c>
      <c r="AX39" s="23">
        <f t="shared" si="6"/>
        <v>12.664563500740469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12.2</v>
      </c>
      <c r="N40" s="14">
        <f>IF('Données projet'!$A$36&gt;35,N39+M40-V39,IF(A40&lt;'Données projet'!$A$36,$K$205^A40,IF(A40='Données projet'!$A$36,'Données projet'!$B$36,N39+M40-V39)))</f>
        <v>196.39999999999998</v>
      </c>
      <c r="O40" s="14">
        <f>N40*VLOOKUP('Données projet'!$B$9,Paramètres!$A$1:$I$89,3,0)*VLOOKUP('Données projet'!$B$9,Paramètres!$A$1:$I$89,5,0)</f>
        <v>171.57504</v>
      </c>
      <c r="P40" s="14">
        <f t="shared" si="33"/>
        <v>43.44259058996105</v>
      </c>
      <c r="Q40" s="22">
        <f t="shared" si="53"/>
        <v>374.48903994418214</v>
      </c>
      <c r="R40" s="62">
        <f t="shared" si="0"/>
        <v>619.84839191485321</v>
      </c>
      <c r="S40" s="62">
        <f ca="1">AVERAGE(OFFSET($R$3,0,0,'Données projet'!$E$9+1,1))-AVERAGE(OFFSET($H$3,0,0,'Données projet'!$E$9+1,1))</f>
        <v>317.71917965043735</v>
      </c>
      <c r="T40" s="62">
        <f t="shared" si="34"/>
        <v>444.40801165665744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3.6874179372747755</v>
      </c>
      <c r="AA40" s="23">
        <f>EXP(-LN(2)/25)*AA39+(1-EXP(-LN(2)/25))/(LN(2)/25)*Calculateur!V40*Calculateur!X40*VLOOKUP('Données projet'!$B$9,Paramètres!$A$1:$I$89,3,0)*0.475*44/12</f>
        <v>28.315439858328013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32.002857795602786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11.4</v>
      </c>
      <c r="AI40" s="14">
        <f>IF('Données projet'!$A$62&gt;35,AI39+AH40-AQ39,IF(A40&lt;'Données projet'!$A$62,$AF$205^A40,IF(A40='Données projet'!$A$62,'Données projet'!$B$62,AI39+AH40-AQ39)))</f>
        <v>193.79999999999993</v>
      </c>
      <c r="AJ40" s="14">
        <f>AI40*VLOOKUP('Données projet'!$B$10,Paramètres!$A$1:$I$89,3,0)*VLOOKUP('Données projet'!$B$10,Paramètres!$A$1:$I$89,5,0)</f>
        <v>154.18727999999996</v>
      </c>
      <c r="AK40" s="14">
        <f t="shared" si="35"/>
        <v>39.528629863903078</v>
      </c>
      <c r="AL40" s="22">
        <f t="shared" si="4"/>
        <v>337.38854301296448</v>
      </c>
      <c r="AM40" s="62">
        <f t="shared" si="5"/>
        <v>582.74789498363555</v>
      </c>
      <c r="AN40" s="62">
        <f ca="1">AVERAGE(OFFSET($AM$3,0,0,'Données projet'!$E$10+1,1))-AVERAGE(OFFSET($H$3,0,0,'Données projet'!$E$10+1,1))</f>
        <v>376.47942810265266</v>
      </c>
      <c r="AO40" s="62">
        <f t="shared" si="36"/>
        <v>362.87951024071265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2.8405981202843482</v>
      </c>
      <c r="AV40" s="23">
        <f>EXP(-LN(2)/25)*AV39+(1-EXP(-LN(2)/25))/(LN(2)/25)*Calculateur!AQ40*Calculateur!AS40*VLOOKUP('Données projet'!$B$10,Paramètres!$A$1:$I$89,3,0)*0.475*44/12</f>
        <v>7.0356942451760176</v>
      </c>
      <c r="AW40" s="23">
        <f>EXP(-LN(2)/2)*AW39+(1-EXP(-LN(2)/2))/(LN(2)/2)*AQ40*AT40*VLOOKUP('Données projet'!$B$10,Paramètres!$A$1:$I$89,3,0)*0.475*44/12</f>
        <v>1.7915641457221407</v>
      </c>
      <c r="AX40" s="23">
        <f t="shared" si="6"/>
        <v>11.667856511182507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12.2</v>
      </c>
      <c r="N41" s="14">
        <f>IF('Données projet'!$A$36&gt;35,N40+M41-V40,IF(A41&lt;'Données projet'!$A$36,$K$205^A41,IF(A41='Données projet'!$A$36,'Données projet'!$B$36,N40+M41-V40)))</f>
        <v>208.59999999999997</v>
      </c>
      <c r="O41" s="14">
        <f>N41*VLOOKUP('Données projet'!$B$9,Paramètres!$A$1:$I$89,3,0)*VLOOKUP('Données projet'!$B$9,Paramètres!$A$1:$I$89,5,0)</f>
        <v>182.23295999999999</v>
      </c>
      <c r="P41" s="14">
        <f t="shared" si="33"/>
        <v>45.818621592366291</v>
      </c>
      <c r="Q41" s="22">
        <f t="shared" si="53"/>
        <v>397.18983794003793</v>
      </c>
      <c r="R41" s="62">
        <f t="shared" si="0"/>
        <v>643.38143123359669</v>
      </c>
      <c r="S41" s="62">
        <f ca="1">AVERAGE(OFFSET($R$3,0,0,'Données projet'!$E$9+1,1))-AVERAGE(OFFSET($H$3,0,0,'Données projet'!$E$9+1,1))</f>
        <v>317.71917965043735</v>
      </c>
      <c r="T41" s="62">
        <f t="shared" si="34"/>
        <v>444.40801165665744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3.6151099206276784</v>
      </c>
      <c r="AA41" s="23">
        <f>EXP(-LN(2)/25)*AA40+(1-EXP(-LN(2)/25))/(LN(2)/25)*Calculateur!V41*Calculateur!X41*VLOOKUP('Données projet'!$B$9,Paramètres!$A$1:$I$89,3,0)*0.475*44/12</f>
        <v>27.541152666357767</v>
      </c>
      <c r="AB41" s="23">
        <f>EXP(-LN(2)/2)*AB40+(1-EXP(-LN(2)/2))/(LN(2)/2)*V41*Y41*VLOOKUP('Données projet'!$B$9,Paramètres!$A$1:$I$89,3,0)*0.475*44/12</f>
        <v>0</v>
      </c>
      <c r="AC41" s="24">
        <f t="shared" si="3"/>
        <v>31.156262586985445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11.4</v>
      </c>
      <c r="AI41" s="14">
        <f>IF('Données projet'!$A$62&gt;35,AI40+AH41-AQ40,IF(A41&lt;'Données projet'!$A$62,$AF$205^A41,IF(A41='Données projet'!$A$62,'Données projet'!$B$62,AI40+AH41-AQ40)))</f>
        <v>205.19999999999993</v>
      </c>
      <c r="AJ41" s="14">
        <f>AI41*VLOOKUP('Données projet'!$B$10,Paramètres!$A$1:$I$89,3,0)*VLOOKUP('Données projet'!$B$10,Paramètres!$A$1:$I$89,5,0)</f>
        <v>163.25711999999996</v>
      </c>
      <c r="AK41" s="14">
        <f t="shared" si="35"/>
        <v>41.576304038313033</v>
      </c>
      <c r="AL41" s="22">
        <f t="shared" si="4"/>
        <v>356.7515468667284</v>
      </c>
      <c r="AM41" s="62">
        <f t="shared" si="5"/>
        <v>602.94314016028716</v>
      </c>
      <c r="AN41" s="62">
        <f ca="1">AVERAGE(OFFSET($AM$3,0,0,'Données projet'!$E$10+1,1))-AVERAGE(OFFSET($H$3,0,0,'Données projet'!$E$10+1,1))</f>
        <v>376.47942810265266</v>
      </c>
      <c r="AO41" s="62">
        <f t="shared" si="36"/>
        <v>362.87951024071265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2.7848957237393459</v>
      </c>
      <c r="AV41" s="23">
        <f>EXP(-LN(2)/25)*AV40+(1-EXP(-LN(2)/25))/(LN(2)/25)*Calculateur!AQ41*Calculateur!AS41*VLOOKUP('Données projet'!$B$10,Paramètres!$A$1:$I$89,3,0)*0.475*44/12</f>
        <v>6.8433028160505991</v>
      </c>
      <c r="AW41" s="23">
        <f>EXP(-LN(2)/2)*AW40+(1-EXP(-LN(2)/2))/(LN(2)/2)*AQ41*AT41*VLOOKUP('Données projet'!$B$10,Paramètres!$A$1:$I$89,3,0)*0.475*44/12</f>
        <v>1.2668271563708098</v>
      </c>
      <c r="AX41" s="23">
        <f t="shared" si="6"/>
        <v>10.895025696160754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12.2</v>
      </c>
      <c r="N42" s="14">
        <f>IF('Données projet'!$A$36&gt;35,N41+M42-V41,IF(A42&lt;'Données projet'!$A$36,$K$205^A42,IF(A42='Données projet'!$A$36,'Données projet'!$B$36,N41+M42-V41)))</f>
        <v>220.79999999999995</v>
      </c>
      <c r="O42" s="14">
        <f>N42*VLOOKUP('Données projet'!$B$9,Paramètres!$A$1:$I$89,3,0)*VLOOKUP('Données projet'!$B$9,Paramètres!$A$1:$I$89,5,0)</f>
        <v>192.89087999999998</v>
      </c>
      <c r="P42" s="14">
        <f t="shared" si="33"/>
        <v>48.178522586846704</v>
      </c>
      <c r="Q42" s="22">
        <f t="shared" si="53"/>
        <v>419.86254283875792</v>
      </c>
      <c r="R42" s="62">
        <f t="shared" si="0"/>
        <v>666.871939928865</v>
      </c>
      <c r="S42" s="62">
        <f ca="1">AVERAGE(OFFSET($R$3,0,0,'Données projet'!$E$9+1,1))-AVERAGE(OFFSET($H$3,0,0,'Données projet'!$E$9+1,1))</f>
        <v>317.71917965043735</v>
      </c>
      <c r="T42" s="62">
        <f t="shared" si="34"/>
        <v>444.40801165665744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3.5442198200834958</v>
      </c>
      <c r="AA42" s="23">
        <f>EXP(-LN(2)/25)*AA41+(1-EXP(-LN(2)/25))/(LN(2)/25)*Calculateur!V42*Calculateur!X42*VLOOKUP('Données projet'!$B$9,Paramètres!$A$1:$I$89,3,0)*0.475*44/12</f>
        <v>26.788038398369942</v>
      </c>
      <c r="AB42" s="23">
        <f>EXP(-LN(2)/2)*AB41+(1-EXP(-LN(2)/2))/(LN(2)/2)*V42*Y42*VLOOKUP('Données projet'!$B$9,Paramètres!$A$1:$I$89,3,0)*0.475*44/12</f>
        <v>0</v>
      </c>
      <c r="AC42" s="24">
        <f t="shared" si="3"/>
        <v>30.332258218453436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11.4</v>
      </c>
      <c r="AI42" s="14">
        <f>IF('Données projet'!$A$62&gt;35,AI41+AH42-AQ41,IF(A42&lt;'Données projet'!$A$62,$AF$205^A42,IF(A42='Données projet'!$A$62,'Données projet'!$B$62,AI41+AH42-AQ41)))</f>
        <v>216.59999999999994</v>
      </c>
      <c r="AJ42" s="14">
        <f>AI42*VLOOKUP('Données projet'!$B$10,Paramètres!$A$1:$I$89,3,0)*VLOOKUP('Données projet'!$B$10,Paramètres!$A$1:$I$89,5,0)</f>
        <v>172.32695999999996</v>
      </c>
      <c r="AK42" s="14">
        <f t="shared" si="35"/>
        <v>43.610772138081288</v>
      </c>
      <c r="AL42" s="22">
        <f t="shared" si="4"/>
        <v>376.09155014049139</v>
      </c>
      <c r="AM42" s="62">
        <f t="shared" si="5"/>
        <v>623.10094723059854</v>
      </c>
      <c r="AN42" s="62">
        <f ca="1">AVERAGE(OFFSET($AM$3,0,0,'Données projet'!$E$10+1,1))-AVERAGE(OFFSET($H$3,0,0,'Données projet'!$E$10+1,1))</f>
        <v>376.47942810265266</v>
      </c>
      <c r="AO42" s="62">
        <f t="shared" si="36"/>
        <v>362.87951024071265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2.7302856172154844</v>
      </c>
      <c r="AV42" s="23">
        <f>EXP(-LN(2)/25)*AV41+(1-EXP(-LN(2)/25))/(LN(2)/25)*Calculateur!AQ42*Calculateur!AS42*VLOOKUP('Données projet'!$B$10,Paramètres!$A$1:$I$89,3,0)*0.475*44/12</f>
        <v>6.6561723406720406</v>
      </c>
      <c r="AW42" s="23">
        <f>EXP(-LN(2)/2)*AW41+(1-EXP(-LN(2)/2))/(LN(2)/2)*AQ42*AT42*VLOOKUP('Données projet'!$B$10,Paramètres!$A$1:$I$89,3,0)*0.475*44/12</f>
        <v>0.89578207286107048</v>
      </c>
      <c r="AX42" s="23">
        <f t="shared" si="6"/>
        <v>10.282240030748596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12.2</v>
      </c>
      <c r="M43" s="13">
        <f t="array" ref="M43">INDEX(L:L,MIN(IF(ISNUMBER(L43:L239),ROW(L43:L239),"")))</f>
        <v>12.2</v>
      </c>
      <c r="N43" s="14">
        <f>IF('Données projet'!$A$36&gt;35,N42+M43-V42,IF(A43&lt;'Données projet'!$A$36,$K$205^A43,IF(A43='Données projet'!$A$36,'Données projet'!$B$36,N42+M43-V42)))</f>
        <v>232.99999999999994</v>
      </c>
      <c r="O43" s="14">
        <f>N43*VLOOKUP('Données projet'!$B$9,Paramètres!$A$1:$I$89,3,0)*VLOOKUP('Données projet'!$B$9,Paramètres!$A$1:$I$89,5,0)</f>
        <v>203.5488</v>
      </c>
      <c r="P43" s="14">
        <f t="shared" si="33"/>
        <v>50.523286400023487</v>
      </c>
      <c r="Q43" s="22">
        <f t="shared" si="53"/>
        <v>442.50888381337427</v>
      </c>
      <c r="R43" s="62">
        <f t="shared" si="0"/>
        <v>690.32189763249505</v>
      </c>
      <c r="S43" s="62">
        <f ca="1">AVERAGE(OFFSET($R$3,0,0,'Données projet'!$E$9+1,1))-AVERAGE(OFFSET($H$3,0,0,'Données projet'!$E$9+1,1))</f>
        <v>317.71917965043735</v>
      </c>
      <c r="T43" s="62">
        <f t="shared" si="34"/>
        <v>444.40801165665744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45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3.4747198311722927</v>
      </c>
      <c r="AA43" s="23">
        <f>EXP(-LN(2)/25)*AA42+(1-EXP(-LN(2)/25))/(LN(2)/25)*Calculateur!V43*Calculateur!X43*VLOOKUP('Données projet'!$B$9,Paramètres!$A$1:$I$89,3,0)*0.475*44/12</f>
        <v>26.055518079644802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29.530237910817096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228</v>
      </c>
      <c r="AG43" s="13">
        <f>VLOOKUP(A43,'Données projet'!$A$61:$I$81,9,0)</f>
        <v>11.4</v>
      </c>
      <c r="AH43" s="13">
        <f t="array" ref="AH43">INDEX(AG:AG,MIN(IF(ISNUMBER(AG43:AG239),ROW(AG43:AG239),"")))</f>
        <v>11.4</v>
      </c>
      <c r="AI43" s="14">
        <f>IF('Données projet'!$A$62&gt;35,AI42+AH43-AQ42,IF(A43&lt;'Données projet'!$A$62,$AF$205^A43,IF(A43='Données projet'!$A$62,'Données projet'!$B$62,AI42+AH43-AQ42)))</f>
        <v>227.99999999999994</v>
      </c>
      <c r="AJ43" s="14">
        <f>AI43*VLOOKUP('Données projet'!$B$10,Paramètres!$A$1:$I$89,3,0)*VLOOKUP('Données projet'!$B$10,Paramètres!$A$1:$I$89,5,0)</f>
        <v>181.39679999999996</v>
      </c>
      <c r="AK43" s="14">
        <f t="shared" si="35"/>
        <v>45.63280848550832</v>
      </c>
      <c r="AL43" s="22">
        <f t="shared" si="4"/>
        <v>395.40990144559356</v>
      </c>
      <c r="AM43" s="62">
        <f t="shared" si="5"/>
        <v>643.2229152647144</v>
      </c>
      <c r="AN43" s="62">
        <f ca="1">AVERAGE(OFFSET($AM$3,0,0,'Données projet'!$E$10+1,1))-AVERAGE(OFFSET($H$3,0,0,'Données projet'!$E$10+1,1))</f>
        <v>376.47942810265266</v>
      </c>
      <c r="AO43" s="62">
        <f t="shared" si="36"/>
        <v>362.87951024071265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35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2.6767463815716797</v>
      </c>
      <c r="AV43" s="23">
        <f>EXP(-LN(2)/25)*AV42+(1-EXP(-LN(2)/25))/(LN(2)/25)*Calculateur!AQ43*Calculateur!AS43*VLOOKUP('Données projet'!$B$10,Paramètres!$A$1:$I$89,3,0)*0.475*44/12</f>
        <v>6.4741589579834731</v>
      </c>
      <c r="AW43" s="23">
        <f>EXP(-LN(2)/2)*AW42+(1-EXP(-LN(2)/2))/(LN(2)/2)*AQ43*AT43*VLOOKUP('Données projet'!$B$10,Paramètres!$A$1:$I$89,3,0)*0.475*44/12</f>
        <v>0.633413578185405</v>
      </c>
      <c r="AX43" s="23">
        <f t="shared" si="6"/>
        <v>9.7843189177405563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11.2</v>
      </c>
      <c r="N44" s="14">
        <f>IF('Données projet'!$A$36&gt;35,N43+M44-V43,IF(A44&lt;'Données projet'!$A$36,$K$205^A44,IF(A44='Données projet'!$A$36,'Données projet'!$B$36,N43+M44-V43)))</f>
        <v>199.19999999999993</v>
      </c>
      <c r="O44" s="14">
        <f>N44*VLOOKUP('Données projet'!$B$9,Paramètres!$A$1:$I$89,3,0)*VLOOKUP('Données projet'!$B$9,Paramètres!$A$1:$I$89,5,0)</f>
        <v>174.02111999999997</v>
      </c>
      <c r="P44" s="14">
        <f t="shared" si="33"/>
        <v>43.989391678613877</v>
      </c>
      <c r="Q44" s="22">
        <f t="shared" si="53"/>
        <v>379.70164117358576</v>
      </c>
      <c r="R44" s="62">
        <f t="shared" si="0"/>
        <v>628.3043307680897</v>
      </c>
      <c r="S44" s="62">
        <f ca="1">AVERAGE(OFFSET($R$3,0,0,'Données projet'!$E$9+1,1))-AVERAGE(OFFSET($H$3,0,0,'Données projet'!$E$9+1,1))</f>
        <v>317.71917965043735</v>
      </c>
      <c r="T44" s="62">
        <f t="shared" si="34"/>
        <v>444.40801165665744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3.4065826946528306</v>
      </c>
      <c r="AA44" s="23">
        <f>EXP(-LN(2)/25)*AA43+(1-EXP(-LN(2)/25))/(LN(2)/25)*Calculateur!V44*Calculateur!X44*VLOOKUP('Données projet'!$B$9,Paramètres!$A$1:$I$89,3,0)*0.475*44/12</f>
        <v>25.343028567556768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28.749611262209598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202.79999999999995</v>
      </c>
      <c r="AJ44" s="14">
        <f>AI44*VLOOKUP('Données projet'!$B$10,Paramètres!$A$1:$I$89,3,0)*VLOOKUP('Données projet'!$B$10,Paramètres!$A$1:$I$89,5,0)</f>
        <v>161.34767999999997</v>
      </c>
      <c r="AK44" s="14">
        <f t="shared" si="35"/>
        <v>41.146339844316657</v>
      </c>
      <c r="AL44" s="22">
        <f t="shared" si="4"/>
        <v>352.67708456218475</v>
      </c>
      <c r="AM44" s="62">
        <f t="shared" si="5"/>
        <v>601.27977415668875</v>
      </c>
      <c r="AN44" s="62">
        <f ca="1">AVERAGE(OFFSET($AM$3,0,0,'Données projet'!$E$10+1,1))-AVERAGE(OFFSET($H$3,0,0,'Données projet'!$E$10+1,1))</f>
        <v>376.47942810265266</v>
      </c>
      <c r="AO44" s="62">
        <f t="shared" si="36"/>
        <v>362.87951024071265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2.6242570176831408</v>
      </c>
      <c r="AV44" s="23">
        <f>EXP(-LN(2)/25)*AV43+(1-EXP(-LN(2)/25))/(LN(2)/25)*Calculateur!AQ44*Calculateur!AS44*VLOOKUP('Données projet'!$B$10,Paramètres!$A$1:$I$89,3,0)*0.475*44/12</f>
        <v>6.2971227408161923</v>
      </c>
      <c r="AW44" s="23">
        <f>EXP(-LN(2)/2)*AW43+(1-EXP(-LN(2)/2))/(LN(2)/2)*AQ44*AT44*VLOOKUP('Données projet'!$B$10,Paramètres!$A$1:$I$89,3,0)*0.475*44/12</f>
        <v>0.44789103643053529</v>
      </c>
      <c r="AX44" s="23">
        <f t="shared" si="6"/>
        <v>9.3692707949298679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11.2</v>
      </c>
      <c r="N45" s="14">
        <f>IF('Données projet'!$A$36&gt;35,N44+M45-V44,IF(A45&lt;'Données projet'!$A$36,$K$205^A45,IF(A45='Données projet'!$A$36,'Données projet'!$B$36,N44+M45-V44)))</f>
        <v>210.39999999999992</v>
      </c>
      <c r="O45" s="14">
        <f>N45*VLOOKUP('Données projet'!$B$9,Paramètres!$A$1:$I$89,3,0)*VLOOKUP('Données projet'!$B$9,Paramètres!$A$1:$I$89,5,0)</f>
        <v>183.80543999999995</v>
      </c>
      <c r="P45" s="14">
        <f t="shared" si="33"/>
        <v>46.167792832806036</v>
      </c>
      <c r="Q45" s="22">
        <f t="shared" si="53"/>
        <v>400.53671385047045</v>
      </c>
      <c r="R45" s="62">
        <f t="shared" si="0"/>
        <v>649.91538011110515</v>
      </c>
      <c r="S45" s="62">
        <f ca="1">AVERAGE(OFFSET($R$3,0,0,'Données projet'!$E$9+1,1))-AVERAGE(OFFSET($H$3,0,0,'Données projet'!$E$9+1,1))</f>
        <v>317.71917965043735</v>
      </c>
      <c r="T45" s="62">
        <f t="shared" si="34"/>
        <v>444.40801165665744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3.3397816858209657</v>
      </c>
      <c r="AA45" s="23">
        <f>EXP(-LN(2)/25)*AA44+(1-EXP(-LN(2)/25))/(LN(2)/25)*Calculateur!V45*Calculateur!X45*VLOOKUP('Données projet'!$B$9,Paramètres!$A$1:$I$89,3,0)*0.475*44/12</f>
        <v>24.65002211864498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27.989803804465947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212.59999999999997</v>
      </c>
      <c r="AJ45" s="14">
        <f>AI45*VLOOKUP('Données projet'!$B$10,Paramètres!$A$1:$I$89,3,0)*VLOOKUP('Données projet'!$B$10,Paramètres!$A$1:$I$89,5,0)</f>
        <v>169.14455999999998</v>
      </c>
      <c r="AK45" s="14">
        <f t="shared" si="35"/>
        <v>42.898377267189964</v>
      </c>
      <c r="AL45" s="22">
        <f t="shared" si="4"/>
        <v>369.30811574035579</v>
      </c>
      <c r="AM45" s="62">
        <f t="shared" si="5"/>
        <v>618.68678200099055</v>
      </c>
      <c r="AN45" s="62">
        <f ca="1">AVERAGE(OFFSET($AM$3,0,0,'Données projet'!$E$10+1,1))-AVERAGE(OFFSET($H$3,0,0,'Données projet'!$E$10+1,1))</f>
        <v>376.47942810265266</v>
      </c>
      <c r="AO45" s="62">
        <f t="shared" si="36"/>
        <v>362.87951024071265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2.572796938205105</v>
      </c>
      <c r="AV45" s="23">
        <f>EXP(-LN(2)/25)*AV44+(1-EXP(-LN(2)/25))/(LN(2)/25)*Calculateur!AQ45*Calculateur!AS45*VLOOKUP('Données projet'!$B$10,Paramètres!$A$1:$I$89,3,0)*0.475*44/12</f>
        <v>6.1249275883172807</v>
      </c>
      <c r="AW45" s="23">
        <f>EXP(-LN(2)/2)*AW44+(1-EXP(-LN(2)/2))/(LN(2)/2)*AQ45*AT45*VLOOKUP('Données projet'!$B$10,Paramètres!$A$1:$I$89,3,0)*0.475*44/12</f>
        <v>0.3167067890927025</v>
      </c>
      <c r="AX45" s="23">
        <f t="shared" si="6"/>
        <v>9.0144313156150879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11.2</v>
      </c>
      <c r="N46" s="14">
        <f>IF('Données projet'!$A$36&gt;35,N45+M46-V45,IF(A46&lt;'Données projet'!$A$36,$K$205^A46,IF(A46='Données projet'!$A$36,'Données projet'!$B$36,N45+M46-V45)))</f>
        <v>221.59999999999991</v>
      </c>
      <c r="O46" s="14">
        <f>N46*VLOOKUP('Données projet'!$B$9,Paramètres!$A$1:$I$89,3,0)*VLOOKUP('Données projet'!$B$9,Paramètres!$A$1:$I$89,5,0)</f>
        <v>193.58975999999996</v>
      </c>
      <c r="P46" s="14">
        <f t="shared" si="33"/>
        <v>48.332731202087039</v>
      </c>
      <c r="Q46" s="22">
        <f t="shared" si="53"/>
        <v>421.34833884363485</v>
      </c>
      <c r="R46" s="62">
        <f t="shared" si="0"/>
        <v>671.48952031006684</v>
      </c>
      <c r="S46" s="62">
        <f ca="1">AVERAGE(OFFSET($R$3,0,0,'Données projet'!$E$9+1,1))-AVERAGE(OFFSET($H$3,0,0,'Données projet'!$E$9+1,1))</f>
        <v>317.71917965043735</v>
      </c>
      <c r="T46" s="62">
        <f t="shared" si="34"/>
        <v>444.40801165665744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3.2742906040277013</v>
      </c>
      <c r="AA46" s="23">
        <f>EXP(-LN(2)/25)*AA45+(1-EXP(-LN(2)/25))/(LN(2)/25)*Calculateur!V46*Calculateur!X46*VLOOKUP('Données projet'!$B$9,Paramètres!$A$1:$I$89,3,0)*0.475*44/12</f>
        <v>23.97596596752231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27.250256571550011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222.39999999999998</v>
      </c>
      <c r="AJ46" s="14">
        <f>AI46*VLOOKUP('Données projet'!$B$10,Paramètres!$A$1:$I$89,3,0)*VLOOKUP('Données projet'!$B$10,Paramètres!$A$1:$I$89,5,0)</f>
        <v>176.94144</v>
      </c>
      <c r="AK46" s="14">
        <f t="shared" si="35"/>
        <v>44.641035679901449</v>
      </c>
      <c r="AL46" s="22">
        <f t="shared" si="4"/>
        <v>385.92281180916166</v>
      </c>
      <c r="AM46" s="62">
        <f t="shared" si="5"/>
        <v>636.0639932755937</v>
      </c>
      <c r="AN46" s="62">
        <f ca="1">AVERAGE(OFFSET($AM$3,0,0,'Données projet'!$E$10+1,1))-AVERAGE(OFFSET($H$3,0,0,'Données projet'!$E$10+1,1))</f>
        <v>376.47942810265266</v>
      </c>
      <c r="AO46" s="62">
        <f t="shared" si="36"/>
        <v>362.87951024071265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2.5223459594980846</v>
      </c>
      <c r="AV46" s="23">
        <f>EXP(-LN(2)/25)*AV45+(1-EXP(-LN(2)/25))/(LN(2)/25)*Calculateur!AQ46*Calculateur!AS46*VLOOKUP('Données projet'!$B$10,Paramètres!$A$1:$I$89,3,0)*0.475*44/12</f>
        <v>5.9574411213188014</v>
      </c>
      <c r="AW46" s="23">
        <f>EXP(-LN(2)/2)*AW45+(1-EXP(-LN(2)/2))/(LN(2)/2)*AQ46*AT46*VLOOKUP('Données projet'!$B$10,Paramètres!$A$1:$I$89,3,0)*0.475*44/12</f>
        <v>0.22394551821526765</v>
      </c>
      <c r="AX46" s="23">
        <f t="shared" si="6"/>
        <v>8.7037325990321541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11.2</v>
      </c>
      <c r="N47" s="14">
        <f>IF('Données projet'!$A$36&gt;35,N46+M47-V46,IF(A47&lt;'Données projet'!$A$36,$K$205^A47,IF(A47='Données projet'!$A$36,'Données projet'!$B$36,N46+M47-V46)))</f>
        <v>232.7999999999999</v>
      </c>
      <c r="O47" s="14">
        <f>N47*VLOOKUP('Données projet'!$B$9,Paramètres!$A$1:$I$89,3,0)*VLOOKUP('Données projet'!$B$9,Paramètres!$A$1:$I$89,5,0)</f>
        <v>203.37407999999996</v>
      </c>
      <c r="P47" s="14">
        <f t="shared" si="33"/>
        <v>50.484964849140574</v>
      </c>
      <c r="Q47" s="22">
        <f t="shared" si="53"/>
        <v>442.1378364455864</v>
      </c>
      <c r="R47" s="62">
        <f t="shared" si="0"/>
        <v>693.02830518372389</v>
      </c>
      <c r="S47" s="62">
        <f ca="1">AVERAGE(OFFSET($R$3,0,0,'Données projet'!$E$9+1,1))-AVERAGE(OFFSET($H$3,0,0,'Données projet'!$E$9+1,1))</f>
        <v>317.71917965043735</v>
      </c>
      <c r="T47" s="62">
        <f t="shared" si="34"/>
        <v>444.40801165665744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3.2100837624027871</v>
      </c>
      <c r="AA47" s="23">
        <f>EXP(-LN(2)/25)*AA46+(1-EXP(-LN(2)/25))/(LN(2)/25)*Calculateur!V47*Calculateur!X47*VLOOKUP('Données projet'!$B$9,Paramètres!$A$1:$I$89,3,0)*0.475*44/12</f>
        <v>23.32034191729916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26.530425679701949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232.2</v>
      </c>
      <c r="AJ47" s="14">
        <f>AI47*VLOOKUP('Données projet'!$B$10,Paramètres!$A$1:$I$89,3,0)*VLOOKUP('Données projet'!$B$10,Paramètres!$A$1:$I$89,5,0)</f>
        <v>184.73832000000002</v>
      </c>
      <c r="AK47" s="14">
        <f t="shared" si="35"/>
        <v>46.374775595471988</v>
      </c>
      <c r="AL47" s="22">
        <f t="shared" si="4"/>
        <v>402.5219748287804</v>
      </c>
      <c r="AM47" s="62">
        <f t="shared" si="5"/>
        <v>653.41244356691777</v>
      </c>
      <c r="AN47" s="62">
        <f ca="1">AVERAGE(OFFSET($AM$3,0,0,'Données projet'!$E$10+1,1))-AVERAGE(OFFSET($H$3,0,0,'Données projet'!$E$10+1,1))</f>
        <v>376.47942810265266</v>
      </c>
      <c r="AO47" s="62">
        <f t="shared" si="36"/>
        <v>362.87951024071265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2.4728842937114504</v>
      </c>
      <c r="AV47" s="23">
        <f>EXP(-LN(2)/25)*AV46+(1-EXP(-LN(2)/25))/(LN(2)/25)*Calculateur!AQ47*Calculateur!AS47*VLOOKUP('Données projet'!$B$10,Paramètres!$A$1:$I$89,3,0)*0.475*44/12</f>
        <v>5.7945345805681265</v>
      </c>
      <c r="AW47" s="23">
        <f>EXP(-LN(2)/2)*AW46+(1-EXP(-LN(2)/2))/(LN(2)/2)*AQ47*AT47*VLOOKUP('Données projet'!$B$10,Paramètres!$A$1:$I$89,3,0)*0.475*44/12</f>
        <v>0.15835339454635125</v>
      </c>
      <c r="AX47" s="23">
        <f t="shared" si="6"/>
        <v>8.4257722688259289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244</v>
      </c>
      <c r="L48" s="13">
        <f>VLOOKUP(A48,'Données projet'!$A$35:$I$55,9,0)</f>
        <v>11.2</v>
      </c>
      <c r="M48" s="13">
        <f t="array" ref="M48">INDEX(L:L,MIN(IF(ISNUMBER(L48:L244),ROW(L48:L244),"")))</f>
        <v>11.2</v>
      </c>
      <c r="N48" s="14">
        <f>IF('Données projet'!$A$36&gt;35,N47+M48-V47,IF(A48&lt;'Données projet'!$A$36,$K$205^A48,IF(A48='Données projet'!$A$36,'Données projet'!$B$36,N47+M48-V47)))</f>
        <v>243.99999999999989</v>
      </c>
      <c r="O48" s="14">
        <f>N48*VLOOKUP('Données projet'!$B$9,Paramètres!$A$1:$I$89,3,0)*VLOOKUP('Données projet'!$B$9,Paramètres!$A$1:$I$89,5,0)</f>
        <v>213.15839999999994</v>
      </c>
      <c r="P48" s="14">
        <f t="shared" si="33"/>
        <v>52.62517477463237</v>
      </c>
      <c r="Q48" s="22">
        <f t="shared" si="53"/>
        <v>462.90639273248456</v>
      </c>
      <c r="R48" s="62">
        <f t="shared" si="0"/>
        <v>714.53315028331872</v>
      </c>
      <c r="S48" s="62">
        <f ca="1">AVERAGE(OFFSET($R$3,0,0,'Données projet'!$E$9+1,1))-AVERAGE(OFFSET($H$3,0,0,'Données projet'!$E$9+1,1))</f>
        <v>317.71917965043735</v>
      </c>
      <c r="T48" s="62">
        <f t="shared" si="34"/>
        <v>444.40801165665744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41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3.1471359777798313</v>
      </c>
      <c r="AA48" s="23">
        <f>EXP(-LN(2)/25)*AA47+(1-EXP(-LN(2)/25))/(LN(2)/25)*Calculateur!V48*Calculateur!X48*VLOOKUP('Données projet'!$B$9,Paramètres!$A$1:$I$89,3,0)*0.475*44/12</f>
        <v>22.682645941207131</v>
      </c>
      <c r="AB48" s="23">
        <f>EXP(-LN(2)/2)*AB47+(1-EXP(-LN(2)/2))/(LN(2)/2)*V48*Y48*VLOOKUP('Données projet'!$B$9,Paramètres!$A$1:$I$89,3,0)*0.475*44/12</f>
        <v>0</v>
      </c>
      <c r="AC48" s="24">
        <f t="shared" si="3"/>
        <v>25.829781918986964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242</v>
      </c>
      <c r="AJ48" s="14">
        <f>AI48*VLOOKUP('Données projet'!$B$10,Paramètres!$A$1:$I$89,3,0)*VLOOKUP('Données projet'!$B$10,Paramètres!$A$1:$I$89,5,0)</f>
        <v>192.5352</v>
      </c>
      <c r="AK48" s="14">
        <f t="shared" si="35"/>
        <v>48.100016456123079</v>
      </c>
      <c r="AL48" s="22">
        <f t="shared" si="4"/>
        <v>419.10633532774767</v>
      </c>
      <c r="AM48" s="62">
        <f t="shared" si="5"/>
        <v>670.73309287858183</v>
      </c>
      <c r="AN48" s="62">
        <f ca="1">AVERAGE(OFFSET($AM$3,0,0,'Données projet'!$E$10+1,1))-AVERAGE(OFFSET($H$3,0,0,'Données projet'!$E$10+1,1))</f>
        <v>376.47942810265266</v>
      </c>
      <c r="AO48" s="62">
        <f t="shared" si="36"/>
        <v>362.87951024071265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2.4243925410222547</v>
      </c>
      <c r="AV48" s="23">
        <f>EXP(-LN(2)/25)*AV47+(1-EXP(-LN(2)/25))/(LN(2)/25)*Calculateur!AQ48*Calculateur!AS48*VLOOKUP('Données projet'!$B$10,Paramètres!$A$1:$I$89,3,0)*0.475*44/12</f>
        <v>5.6360827277411607</v>
      </c>
      <c r="AW48" s="23">
        <f>EXP(-LN(2)/2)*AW47+(1-EXP(-LN(2)/2))/(LN(2)/2)*AQ48*AT48*VLOOKUP('Données projet'!$B$10,Paramètres!$A$1:$I$89,3,0)*0.475*44/12</f>
        <v>0.11197275910763382</v>
      </c>
      <c r="AX48" s="23">
        <f t="shared" si="6"/>
        <v>8.1724480278710487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9.8000000000000007</v>
      </c>
      <c r="N49" s="14">
        <f>IF('Données projet'!$A$36&gt;35,N48+M49-V48,IF(A49&lt;'Données projet'!$A$36,$K$205^A49,IF(A49='Données projet'!$A$36,'Données projet'!$B$36,N48+M49-V48)))</f>
        <v>212.7999999999999</v>
      </c>
      <c r="O49" s="14">
        <f>N49*VLOOKUP('Données projet'!$B$9,Paramètres!$A$1:$I$89,3,0)*VLOOKUP('Données projet'!$B$9,Paramètres!$A$1:$I$89,5,0)</f>
        <v>185.90207999999993</v>
      </c>
      <c r="P49" s="14">
        <f t="shared" si="33"/>
        <v>46.632814435744606</v>
      </c>
      <c r="Q49" s="22">
        <f t="shared" si="53"/>
        <v>404.9982744755884</v>
      </c>
      <c r="R49" s="62">
        <f t="shared" si="0"/>
        <v>657.34854787431402</v>
      </c>
      <c r="S49" s="62">
        <f ca="1">AVERAGE(OFFSET($R$3,0,0,'Données projet'!$E$9+1,1))-AVERAGE(OFFSET($H$3,0,0,'Données projet'!$E$9+1,1))</f>
        <v>317.71917965043735</v>
      </c>
      <c r="T49" s="62">
        <f t="shared" si="34"/>
        <v>444.40801165665744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3.0854225608189743</v>
      </c>
      <c r="AA49" s="23">
        <f>EXP(-LN(2)/25)*AA48+(1-EXP(-LN(2)/25))/(LN(2)/25)*Calculateur!V49*Calculateur!X49*VLOOKUP('Données projet'!$B$9,Paramètres!$A$1:$I$89,3,0)*0.475*44/12</f>
        <v>22.062387795116315</v>
      </c>
      <c r="AB49" s="23">
        <f>EXP(-LN(2)/2)*AB48+(1-EXP(-LN(2)/2))/(LN(2)/2)*V49*Y49*VLOOKUP('Données projet'!$B$9,Paramètres!$A$1:$I$89,3,0)*0.475*44/12</f>
        <v>0</v>
      </c>
      <c r="AC49" s="24">
        <f t="shared" si="3"/>
        <v>25.147810355935288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226.4</v>
      </c>
      <c r="AJ49" s="14">
        <f>AI49*VLOOKUP('Données projet'!$B$10,Paramètres!$A$1:$I$89,3,0)*VLOOKUP('Données projet'!$B$10,Paramètres!$A$1:$I$89,5,0)</f>
        <v>180.12384</v>
      </c>
      <c r="AK49" s="14">
        <f t="shared" si="35"/>
        <v>45.349737181998847</v>
      </c>
      <c r="AL49" s="22">
        <f t="shared" si="4"/>
        <v>392.69981359198135</v>
      </c>
      <c r="AM49" s="62">
        <f t="shared" si="5"/>
        <v>645.05008699070697</v>
      </c>
      <c r="AN49" s="62">
        <f ca="1">AVERAGE(OFFSET($AM$3,0,0,'Données projet'!$E$10+1,1))-AVERAGE(OFFSET($H$3,0,0,'Données projet'!$E$10+1,1))</f>
        <v>376.47942810265266</v>
      </c>
      <c r="AO49" s="62">
        <f t="shared" si="36"/>
        <v>362.87951024071265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2.3768516820262455</v>
      </c>
      <c r="AV49" s="23">
        <f>EXP(-LN(2)/25)*AV48+(1-EXP(-LN(2)/25))/(LN(2)/25)*Calculateur!AQ49*Calculateur!AS49*VLOOKUP('Données projet'!$B$10,Paramètres!$A$1:$I$89,3,0)*0.475*44/12</f>
        <v>5.4819637491623698</v>
      </c>
      <c r="AW49" s="23">
        <f>EXP(-LN(2)/2)*AW48+(1-EXP(-LN(2)/2))/(LN(2)/2)*AQ49*AT49*VLOOKUP('Données projet'!$B$10,Paramètres!$A$1:$I$89,3,0)*0.475*44/12</f>
        <v>7.9176697273175625E-2</v>
      </c>
      <c r="AX49" s="23">
        <f t="shared" si="6"/>
        <v>7.9379921284617909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9.8000000000000007</v>
      </c>
      <c r="N50" s="14">
        <f>IF('Données projet'!$A$36&gt;35,N49+M50-V49,IF(A50&lt;'Données projet'!$A$36,$K$205^A50,IF(A50='Données projet'!$A$36,'Données projet'!$B$36,N49+M50-V49)))</f>
        <v>222.59999999999991</v>
      </c>
      <c r="O50" s="14">
        <f>N50*VLOOKUP('Données projet'!$B$9,Paramètres!$A$1:$I$89,3,0)*VLOOKUP('Données projet'!$B$9,Paramètres!$A$1:$I$89,5,0)</f>
        <v>194.46335999999994</v>
      </c>
      <c r="P50" s="14">
        <f t="shared" si="33"/>
        <v>48.525400894162644</v>
      </c>
      <c r="Q50" s="22">
        <f t="shared" si="53"/>
        <v>423.20542522399978</v>
      </c>
      <c r="R50" s="62">
        <f t="shared" si="0"/>
        <v>676.26666308819517</v>
      </c>
      <c r="S50" s="62">
        <f ca="1">AVERAGE(OFFSET($R$3,0,0,'Données projet'!$E$9+1,1))-AVERAGE(OFFSET($H$3,0,0,'Données projet'!$E$9+1,1))</f>
        <v>317.71917965043735</v>
      </c>
      <c r="T50" s="62">
        <f t="shared" si="34"/>
        <v>444.40801165665744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3.0249193063232518</v>
      </c>
      <c r="AA50" s="23">
        <f>EXP(-LN(2)/25)*AA49+(1-EXP(-LN(2)/25))/(LN(2)/25)*Calculateur!V50*Calculateur!X50*VLOOKUP('Données projet'!$B$9,Paramètres!$A$1:$I$89,3,0)*0.475*44/12</f>
        <v>21.459090640648309</v>
      </c>
      <c r="AB50" s="23">
        <f>EXP(-LN(2)/2)*AB49+(1-EXP(-LN(2)/2))/(LN(2)/2)*V50*Y50*VLOOKUP('Données projet'!$B$9,Paramètres!$A$1:$I$89,3,0)*0.475*44/12</f>
        <v>0</v>
      </c>
      <c r="AC50" s="24">
        <f t="shared" si="3"/>
        <v>24.484009946971561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234.8</v>
      </c>
      <c r="AJ50" s="14">
        <f>AI50*VLOOKUP('Données projet'!$B$10,Paramètres!$A$1:$I$89,3,0)*VLOOKUP('Données projet'!$B$10,Paramètres!$A$1:$I$89,5,0)</f>
        <v>186.80688000000001</v>
      </c>
      <c r="AK50" s="14">
        <f t="shared" si="35"/>
        <v>46.833304503358612</v>
      </c>
      <c r="AL50" s="22">
        <f t="shared" si="4"/>
        <v>406.92332134334953</v>
      </c>
      <c r="AM50" s="62">
        <f t="shared" si="5"/>
        <v>659.98455920754486</v>
      </c>
      <c r="AN50" s="62">
        <f ca="1">AVERAGE(OFFSET($AM$3,0,0,'Données projet'!$E$10+1,1))-AVERAGE(OFFSET($H$3,0,0,'Données projet'!$E$10+1,1))</f>
        <v>376.47942810265266</v>
      </c>
      <c r="AO50" s="62">
        <f t="shared" si="36"/>
        <v>362.87951024071265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2.3302430702780872</v>
      </c>
      <c r="AV50" s="23">
        <f>EXP(-LN(2)/25)*AV49+(1-EXP(-LN(2)/25))/(LN(2)/25)*Calculateur!AQ50*Calculateur!AS50*VLOOKUP('Données projet'!$B$10,Paramètres!$A$1:$I$89,3,0)*0.475*44/12</f>
        <v>5.3320591621575808</v>
      </c>
      <c r="AW50" s="23">
        <f>EXP(-LN(2)/2)*AW49+(1-EXP(-LN(2)/2))/(LN(2)/2)*AQ50*AT50*VLOOKUP('Données projet'!$B$10,Paramètres!$A$1:$I$89,3,0)*0.475*44/12</f>
        <v>5.5986379553816912E-2</v>
      </c>
      <c r="AX50" s="23">
        <f t="shared" si="6"/>
        <v>7.7182886119894842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9.8000000000000007</v>
      </c>
      <c r="N51" s="14">
        <f>IF('Données projet'!$A$36&gt;35,N50+M51-V50,IF(A51&lt;'Données projet'!$A$36,$K$205^A51,IF(A51='Données projet'!$A$36,'Données projet'!$B$36,N50+M51-V50)))</f>
        <v>232.39999999999992</v>
      </c>
      <c r="O51" s="14">
        <f>N51*VLOOKUP('Données projet'!$B$9,Paramètres!$A$1:$I$89,3,0)*VLOOKUP('Données projet'!$B$9,Paramètres!$A$1:$I$89,5,0)</f>
        <v>203.02463999999998</v>
      </c>
      <c r="P51" s="14">
        <f t="shared" si="33"/>
        <v>50.408310246654189</v>
      </c>
      <c r="Q51" s="22">
        <f t="shared" si="53"/>
        <v>441.39572167958931</v>
      </c>
      <c r="R51" s="62">
        <f t="shared" si="0"/>
        <v>695.15559036525701</v>
      </c>
      <c r="S51" s="62">
        <f ca="1">AVERAGE(OFFSET($R$3,0,0,'Données projet'!$E$9+1,1))-AVERAGE(OFFSET($H$3,0,0,'Données projet'!$E$9+1,1))</f>
        <v>317.71917965043735</v>
      </c>
      <c r="T51" s="62">
        <f t="shared" si="34"/>
        <v>444.40801165665744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2.9656024837448491</v>
      </c>
      <c r="AA51" s="23">
        <f>EXP(-LN(2)/25)*AA50+(1-EXP(-LN(2)/25))/(LN(2)/25)*Calculateur!V51*Calculateur!X51*VLOOKUP('Données projet'!$B$9,Paramètres!$A$1:$I$89,3,0)*0.475*44/12</f>
        <v>20.872290678595249</v>
      </c>
      <c r="AB51" s="23">
        <f>EXP(-LN(2)/2)*AB50+(1-EXP(-LN(2)/2))/(LN(2)/2)*V51*Y51*VLOOKUP('Données projet'!$B$9,Paramètres!$A$1:$I$89,3,0)*0.475*44/12</f>
        <v>0</v>
      </c>
      <c r="AC51" s="24">
        <f t="shared" si="3"/>
        <v>23.837893162340098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243.20000000000002</v>
      </c>
      <c r="AJ51" s="14">
        <f>AI51*VLOOKUP('Données projet'!$B$10,Paramètres!$A$1:$I$89,3,0)*VLOOKUP('Données projet'!$B$10,Paramètres!$A$1:$I$89,5,0)</f>
        <v>193.48992000000001</v>
      </c>
      <c r="AK51" s="14">
        <f t="shared" si="35"/>
        <v>48.310705372586774</v>
      </c>
      <c r="AL51" s="22">
        <f t="shared" si="4"/>
        <v>421.13608919058862</v>
      </c>
      <c r="AM51" s="62">
        <f t="shared" si="5"/>
        <v>674.89595787625626</v>
      </c>
      <c r="AN51" s="62">
        <f ca="1">AVERAGE(OFFSET($AM$3,0,0,'Données projet'!$E$10+1,1))-AVERAGE(OFFSET($H$3,0,0,'Données projet'!$E$10+1,1))</f>
        <v>376.47942810265266</v>
      </c>
      <c r="AO51" s="62">
        <f t="shared" si="36"/>
        <v>362.87951024071265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2.2845484249778645</v>
      </c>
      <c r="AV51" s="23">
        <f>EXP(-LN(2)/25)*AV50+(1-EXP(-LN(2)/25))/(LN(2)/25)*Calculateur!AQ51*Calculateur!AS51*VLOOKUP('Données projet'!$B$10,Paramètres!$A$1:$I$89,3,0)*0.475*44/12</f>
        <v>5.1862537239675772</v>
      </c>
      <c r="AW51" s="23">
        <f>EXP(-LN(2)/2)*AW50+(1-EXP(-LN(2)/2))/(LN(2)/2)*AQ51*AT51*VLOOKUP('Données projet'!$B$10,Paramètres!$A$1:$I$89,3,0)*0.475*44/12</f>
        <v>3.9588348636587813E-2</v>
      </c>
      <c r="AX51" s="23">
        <f t="shared" si="6"/>
        <v>7.5103904975820299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9.8000000000000007</v>
      </c>
      <c r="N52" s="14">
        <f>IF('Données projet'!$A$36&gt;35,N51+M52-V51,IF(A52&lt;'Données projet'!$A$36,$K$205^A52,IF(A52='Données projet'!$A$36,'Données projet'!$B$36,N51+M52-V51)))</f>
        <v>242.19999999999993</v>
      </c>
      <c r="O52" s="14">
        <f>N52*VLOOKUP('Données projet'!$B$9,Paramètres!$A$1:$I$89,3,0)*VLOOKUP('Données projet'!$B$9,Paramètres!$A$1:$I$89,5,0)</f>
        <v>211.58591999999996</v>
      </c>
      <c r="P52" s="14">
        <f t="shared" si="33"/>
        <v>52.281997222074629</v>
      </c>
      <c r="Q52" s="22">
        <f t="shared" si="53"/>
        <v>459.56995582844655</v>
      </c>
      <c r="R52" s="62">
        <f t="shared" si="0"/>
        <v>714.01633565273846</v>
      </c>
      <c r="S52" s="62">
        <f ca="1">AVERAGE(OFFSET($R$3,0,0,'Données projet'!$E$9+1,1))-AVERAGE(OFFSET($H$3,0,0,'Données projet'!$E$9+1,1))</f>
        <v>317.71917965043735</v>
      </c>
      <c r="T52" s="62">
        <f t="shared" si="34"/>
        <v>444.40801165665744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2.9074488278775199</v>
      </c>
      <c r="AA52" s="23">
        <f>EXP(-LN(2)/25)*AA51+(1-EXP(-LN(2)/25))/(LN(2)/25)*Calculateur!V52*Calculateur!X52*VLOOKUP('Données projet'!$B$9,Paramètres!$A$1:$I$89,3,0)*0.475*44/12</f>
        <v>20.301536792362999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23.208985620240519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251.60000000000002</v>
      </c>
      <c r="AJ52" s="14">
        <f>AI52*VLOOKUP('Données projet'!$B$10,Paramètres!$A$1:$I$89,3,0)*VLOOKUP('Données projet'!$B$10,Paramètres!$A$1:$I$89,5,0)</f>
        <v>200.17296000000002</v>
      </c>
      <c r="AK52" s="14">
        <f t="shared" si="35"/>
        <v>49.782177185856028</v>
      </c>
      <c r="AL52" s="22">
        <f t="shared" si="4"/>
        <v>435.33853059869926</v>
      </c>
      <c r="AM52" s="62">
        <f t="shared" si="5"/>
        <v>689.78491042299129</v>
      </c>
      <c r="AN52" s="62">
        <f ca="1">AVERAGE(OFFSET($AM$3,0,0,'Données projet'!$E$10+1,1))-AVERAGE(OFFSET($H$3,0,0,'Données projet'!$E$10+1,1))</f>
        <v>376.47942810265266</v>
      </c>
      <c r="AO52" s="62">
        <f t="shared" si="36"/>
        <v>362.87951024071265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2.2397498238009974</v>
      </c>
      <c r="AV52" s="23">
        <f>EXP(-LN(2)/25)*AV51+(1-EXP(-LN(2)/25))/(LN(2)/25)*Calculateur!AQ52*Calculateur!AS52*VLOOKUP('Données projet'!$B$10,Paramètres!$A$1:$I$89,3,0)*0.475*44/12</f>
        <v>5.044435343152454</v>
      </c>
      <c r="AW52" s="23">
        <f>EXP(-LN(2)/2)*AW51+(1-EXP(-LN(2)/2))/(LN(2)/2)*AQ52*AT52*VLOOKUP('Données projet'!$B$10,Paramètres!$A$1:$I$89,3,0)*0.475*44/12</f>
        <v>2.7993189776908456E-2</v>
      </c>
      <c r="AX52" s="23">
        <f t="shared" si="6"/>
        <v>7.3121783567303593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252</v>
      </c>
      <c r="L53" s="13">
        <f>VLOOKUP(A53,'Données projet'!$A$35:$I$55,9,0)</f>
        <v>9.8000000000000007</v>
      </c>
      <c r="M53" s="13">
        <f t="array" ref="M53">INDEX(L:L,MIN(IF(ISNUMBER(L53:L249),ROW(L53:L249),"")))</f>
        <v>9.8000000000000007</v>
      </c>
      <c r="N53" s="14">
        <f>IF('Données projet'!$A$36&gt;35,N52+M53-V52,IF(A53&lt;'Données projet'!$A$36,$K$205^A53,IF(A53='Données projet'!$A$36,'Données projet'!$B$36,N52+M53-V52)))</f>
        <v>251.99999999999994</v>
      </c>
      <c r="O53" s="14">
        <f>N53*VLOOKUP('Données projet'!$B$9,Paramètres!$A$1:$I$89,3,0)*VLOOKUP('Données projet'!$B$9,Paramètres!$A$1:$I$89,5,0)</f>
        <v>220.14719999999997</v>
      </c>
      <c r="P53" s="14">
        <f t="shared" si="33"/>
        <v>54.146877667769637</v>
      </c>
      <c r="Q53" s="22">
        <f t="shared" si="53"/>
        <v>477.72885193803205</v>
      </c>
      <c r="R53" s="62">
        <f t="shared" si="0"/>
        <v>732.84983346750209</v>
      </c>
      <c r="S53" s="62">
        <f ca="1">AVERAGE(OFFSET($R$3,0,0,'Données projet'!$E$9+1,1))-AVERAGE(OFFSET($H$3,0,0,'Données projet'!$E$9+1,1))</f>
        <v>317.71917965043735</v>
      </c>
      <c r="T53" s="62">
        <f t="shared" si="34"/>
        <v>444.40801165665744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2.8504355297315209</v>
      </c>
      <c r="AA53" s="23">
        <f>EXP(-LN(2)/25)*AA52+(1-EXP(-LN(2)/25))/(LN(2)/25)*Calculateur!V53*Calculateur!X53*VLOOKUP('Données projet'!$B$9,Paramètres!$A$1:$I$89,3,0)*0.475*44/12</f>
        <v>19.746390201164413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22.596825730895933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260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260</v>
      </c>
      <c r="AJ53" s="14">
        <f>AI53*VLOOKUP('Données projet'!$B$10,Paramètres!$A$1:$I$89,3,0)*VLOOKUP('Données projet'!$B$10,Paramètres!$A$1:$I$89,5,0)</f>
        <v>206.85599999999999</v>
      </c>
      <c r="AK53" s="14">
        <f t="shared" si="35"/>
        <v>51.247940588293027</v>
      </c>
      <c r="AL53" s="22">
        <f t="shared" si="4"/>
        <v>449.53102985794368</v>
      </c>
      <c r="AM53" s="62">
        <f t="shared" si="5"/>
        <v>704.65201138741372</v>
      </c>
      <c r="AN53" s="62">
        <f ca="1">AVERAGE(OFFSET($AM$3,0,0,'Données projet'!$E$10+1,1))-AVERAGE(OFFSET($H$3,0,0,'Données projet'!$E$10+1,1))</f>
        <v>376.47942810265266</v>
      </c>
      <c r="AO53" s="62">
        <f t="shared" si="36"/>
        <v>362.87951024071265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19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2.1958296958687598</v>
      </c>
      <c r="AV53" s="23">
        <f>EXP(-LN(2)/25)*AV52+(1-EXP(-LN(2)/25))/(LN(2)/25)*Calculateur!AQ53*Calculateur!AS53*VLOOKUP('Données projet'!$B$10,Paramètres!$A$1:$I$89,3,0)*0.475*44/12</f>
        <v>4.9064949934186251</v>
      </c>
      <c r="AW53" s="23">
        <f>EXP(-LN(2)/2)*AW52+(1-EXP(-LN(2)/2))/(LN(2)/2)*AQ53*AT53*VLOOKUP('Données projet'!$B$10,Paramètres!$A$1:$I$89,3,0)*0.475*44/12</f>
        <v>1.9794174318293906E-2</v>
      </c>
      <c r="AX53" s="23">
        <f t="shared" si="6"/>
        <v>7.1221188636056789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8.6</v>
      </c>
      <c r="N54" s="14">
        <f>IF('Données projet'!$A$36&gt;35,N53+M54-V53,IF(A54&lt;'Données projet'!$A$36,$K$205^A54,IF(A54='Données projet'!$A$36,'Données projet'!$B$36,N53+M54-V53)))</f>
        <v>223.59999999999997</v>
      </c>
      <c r="O54" s="14">
        <f>N54*VLOOKUP('Données projet'!$B$9,Paramètres!$A$1:$I$89,3,0)*VLOOKUP('Données projet'!$B$9,Paramètres!$A$1:$I$89,5,0)</f>
        <v>195.33696</v>
      </c>
      <c r="P54" s="14">
        <f t="shared" si="33"/>
        <v>48.717969863105488</v>
      </c>
      <c r="Q54" s="22">
        <f t="shared" si="53"/>
        <v>425.06233617824205</v>
      </c>
      <c r="R54" s="62">
        <f t="shared" si="0"/>
        <v>680.84621658148887</v>
      </c>
      <c r="S54" s="62">
        <f ca="1">AVERAGE(OFFSET($R$3,0,0,'Données projet'!$E$9+1,1))-AVERAGE(OFFSET($H$3,0,0,'Données projet'!$E$9+1,1))</f>
        <v>317.71917965043735</v>
      </c>
      <c r="T54" s="62">
        <f t="shared" si="34"/>
        <v>444.40801165665744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2.7945402275874871</v>
      </c>
      <c r="AA54" s="23">
        <f>EXP(-LN(2)/25)*AA53+(1-EXP(-LN(2)/25))/(LN(2)/25)*Calculateur!V54*Calculateur!X54*VLOOKUP('Données projet'!$B$9,Paramètres!$A$1:$I$89,3,0)*0.475*44/12</f>
        <v>19.206424122696042</v>
      </c>
      <c r="AB54" s="23">
        <f>EXP(-LN(2)/2)*AB53+(1-EXP(-LN(2)/2))/(LN(2)/2)*V54*Y54*VLOOKUP('Données projet'!$B$9,Paramètres!$A$1:$I$89,3,0)*0.475*44/12</f>
        <v>0</v>
      </c>
      <c r="AC54" s="24">
        <f t="shared" si="3"/>
        <v>22.000964350283528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7.4</v>
      </c>
      <c r="AI54" s="14">
        <f>IF('Données projet'!$A$62&gt;35,AI53+AH54-AQ53,IF(A54&lt;'Données projet'!$A$62,$AF$205^A54,IF(A54='Données projet'!$A$62,'Données projet'!$B$62,AI53+AH54-AQ53)))</f>
        <v>248.39999999999998</v>
      </c>
      <c r="AJ54" s="14">
        <f>AI54*VLOOKUP('Données projet'!$B$10,Paramètres!$A$1:$I$89,3,0)*VLOOKUP('Données projet'!$B$10,Paramètres!$A$1:$I$89,5,0)</f>
        <v>197.62703999999999</v>
      </c>
      <c r="AK54" s="14">
        <f t="shared" si="35"/>
        <v>49.222301224260015</v>
      </c>
      <c r="AL54" s="22">
        <f t="shared" si="4"/>
        <v>429.92926929891951</v>
      </c>
      <c r="AM54" s="62">
        <f t="shared" si="5"/>
        <v>685.71314970216633</v>
      </c>
      <c r="AN54" s="62">
        <f ca="1">AVERAGE(OFFSET($AM$3,0,0,'Données projet'!$E$10+1,1))-AVERAGE(OFFSET($H$3,0,0,'Données projet'!$E$10+1,1))</f>
        <v>376.47942810265266</v>
      </c>
      <c r="AO54" s="62">
        <f t="shared" si="36"/>
        <v>362.87951024071265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2.1527708148566407</v>
      </c>
      <c r="AV54" s="23">
        <f>EXP(-LN(2)/25)*AV53+(1-EXP(-LN(2)/25))/(LN(2)/25)*Calculateur!AQ54*Calculateur!AS54*VLOOKUP('Données projet'!$B$10,Paramètres!$A$1:$I$89,3,0)*0.475*44/12</f>
        <v>4.7723266298022349</v>
      </c>
      <c r="AW54" s="23">
        <f>EXP(-LN(2)/2)*AW53+(1-EXP(-LN(2)/2))/(LN(2)/2)*AQ54*AT54*VLOOKUP('Données projet'!$B$10,Paramètres!$A$1:$I$89,3,0)*0.475*44/12</f>
        <v>1.3996594888454228E-2</v>
      </c>
      <c r="AX54" s="23">
        <f t="shared" si="6"/>
        <v>6.9390940395473306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8.6</v>
      </c>
      <c r="N55" s="14">
        <f>IF('Données projet'!$A$36&gt;35,N54+M55-V54,IF(A55&lt;'Données projet'!$A$36,$K$205^A55,IF(A55='Données projet'!$A$36,'Données projet'!$B$36,N54+M55-V54)))</f>
        <v>232.19999999999996</v>
      </c>
      <c r="O55" s="14">
        <f>N55*VLOOKUP('Données projet'!$B$9,Paramètres!$A$1:$I$89,3,0)*VLOOKUP('Données projet'!$B$9,Paramètres!$A$1:$I$89,5,0)</f>
        <v>202.84991999999997</v>
      </c>
      <c r="P55" s="14">
        <f t="shared" si="33"/>
        <v>50.369977187686075</v>
      </c>
      <c r="Q55" s="22">
        <f t="shared" si="53"/>
        <v>441.02465426855321</v>
      </c>
      <c r="R55" s="62">
        <f t="shared" si="0"/>
        <v>697.45993373213651</v>
      </c>
      <c r="S55" s="62">
        <f ca="1">AVERAGE(OFFSET($R$3,0,0,'Données projet'!$E$9+1,1))-AVERAGE(OFFSET($H$3,0,0,'Données projet'!$E$9+1,1))</f>
        <v>317.71917965043735</v>
      </c>
      <c r="T55" s="62">
        <f t="shared" si="34"/>
        <v>444.40801165665744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2.7397409982257299</v>
      </c>
      <c r="AA55" s="23">
        <f>EXP(-LN(2)/25)*AA54+(1-EXP(-LN(2)/25))/(LN(2)/25)*Calculateur!V55*Calculateur!X55*VLOOKUP('Données projet'!$B$9,Paramètres!$A$1:$I$89,3,0)*0.475*44/12</f>
        <v>18.68122344503897</v>
      </c>
      <c r="AB55" s="23">
        <f>EXP(-LN(2)/2)*AB54+(1-EXP(-LN(2)/2))/(LN(2)/2)*V55*Y55*VLOOKUP('Données projet'!$B$9,Paramètres!$A$1:$I$89,3,0)*0.475*44/12</f>
        <v>0</v>
      </c>
      <c r="AC55" s="24">
        <f t="shared" si="3"/>
        <v>21.420964443264701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7.4</v>
      </c>
      <c r="AI55" s="14">
        <f>IF('Données projet'!$A$62&gt;35,AI54+AH55-AQ54,IF(A55&lt;'Données projet'!$A$62,$AF$205^A55,IF(A55='Données projet'!$A$62,'Données projet'!$B$62,AI54+AH55-AQ54)))</f>
        <v>255.79999999999998</v>
      </c>
      <c r="AJ55" s="14">
        <f>AI55*VLOOKUP('Données projet'!$B$10,Paramètres!$A$1:$I$89,3,0)*VLOOKUP('Données projet'!$B$10,Paramètres!$A$1:$I$89,5,0)</f>
        <v>203.51447999999999</v>
      </c>
      <c r="AK55" s="14">
        <f t="shared" si="35"/>
        <v>50.515759254811513</v>
      </c>
      <c r="AL55" s="22">
        <f t="shared" si="4"/>
        <v>442.43600003546334</v>
      </c>
      <c r="AM55" s="62">
        <f t="shared" si="5"/>
        <v>698.87127949904675</v>
      </c>
      <c r="AN55" s="62">
        <f ca="1">AVERAGE(OFFSET($AM$3,0,0,'Données projet'!$E$10+1,1))-AVERAGE(OFFSET($H$3,0,0,'Données projet'!$E$10+1,1))</f>
        <v>376.47942810265266</v>
      </c>
      <c r="AO55" s="62">
        <f t="shared" si="36"/>
        <v>362.87951024071265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2.1105562922378449</v>
      </c>
      <c r="AV55" s="23">
        <f>EXP(-LN(2)/25)*AV54+(1-EXP(-LN(2)/25))/(LN(2)/25)*Calculateur!AQ55*Calculateur!AS55*VLOOKUP('Données projet'!$B$10,Paramètres!$A$1:$I$89,3,0)*0.475*44/12</f>
        <v>4.6418271071445423</v>
      </c>
      <c r="AW55" s="23">
        <f>EXP(-LN(2)/2)*AW54+(1-EXP(-LN(2)/2))/(LN(2)/2)*AQ55*AT55*VLOOKUP('Données projet'!$B$10,Paramètres!$A$1:$I$89,3,0)*0.475*44/12</f>
        <v>9.8970871591469532E-3</v>
      </c>
      <c r="AX55" s="23">
        <f t="shared" si="6"/>
        <v>6.7622804865415338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8.6</v>
      </c>
      <c r="N56" s="14">
        <f>IF('Données projet'!$A$36&gt;35,N55+M56-V55,IF(A56&lt;'Données projet'!$A$36,$K$205^A56,IF(A56='Données projet'!$A$36,'Données projet'!$B$36,N55+M56-V55)))</f>
        <v>240.79999999999995</v>
      </c>
      <c r="O56" s="14">
        <f>N56*VLOOKUP('Données projet'!$B$9,Paramètres!$A$1:$I$89,3,0)*VLOOKUP('Données projet'!$B$9,Paramètres!$A$1:$I$89,5,0)</f>
        <v>210.36287999999999</v>
      </c>
      <c r="P56" s="14">
        <f t="shared" si="33"/>
        <v>52.014876138342963</v>
      </c>
      <c r="Q56" s="22">
        <f t="shared" si="53"/>
        <v>456.97459194094722</v>
      </c>
      <c r="R56" s="62">
        <f t="shared" si="0"/>
        <v>714.04997014748051</v>
      </c>
      <c r="S56" s="62">
        <f ca="1">AVERAGE(OFFSET($R$3,0,0,'Données projet'!$E$9+1,1))-AVERAGE(OFFSET($H$3,0,0,'Données projet'!$E$9+1,1))</f>
        <v>317.71917965043735</v>
      </c>
      <c r="T56" s="62">
        <f t="shared" si="34"/>
        <v>444.40801165665744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2.6860163483275272</v>
      </c>
      <c r="AA56" s="23">
        <f>EXP(-LN(2)/25)*AA55+(1-EXP(-LN(2)/25))/(LN(2)/25)*Calculateur!V56*Calculateur!X56*VLOOKUP('Données projet'!$B$9,Paramètres!$A$1:$I$89,3,0)*0.475*44/12</f>
        <v>18.170384407531536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20.856400755859063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7.4</v>
      </c>
      <c r="AI56" s="14">
        <f>IF('Données projet'!$A$62&gt;35,AI55+AH56-AQ55,IF(A56&lt;'Données projet'!$A$62,$AF$205^A56,IF(A56='Données projet'!$A$62,'Données projet'!$B$62,AI55+AH56-AQ55)))</f>
        <v>263.2</v>
      </c>
      <c r="AJ56" s="14">
        <f>AI56*VLOOKUP('Données projet'!$B$10,Paramètres!$A$1:$I$89,3,0)*VLOOKUP('Données projet'!$B$10,Paramètres!$A$1:$I$89,5,0)</f>
        <v>209.40192000000002</v>
      </c>
      <c r="AK56" s="14">
        <f t="shared" si="35"/>
        <v>51.804868484579089</v>
      </c>
      <c r="AL56" s="22">
        <f t="shared" si="4"/>
        <v>454.93515661064185</v>
      </c>
      <c r="AM56" s="62">
        <f t="shared" si="5"/>
        <v>712.01053481717508</v>
      </c>
      <c r="AN56" s="62">
        <f ca="1">AVERAGE(OFFSET($AM$3,0,0,'Données projet'!$E$10+1,1))-AVERAGE(OFFSET($H$3,0,0,'Données projet'!$E$10+1,1))</f>
        <v>376.47942810265266</v>
      </c>
      <c r="AO56" s="62">
        <f t="shared" si="36"/>
        <v>362.87951024071265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2.0691695706592874</v>
      </c>
      <c r="AV56" s="23">
        <f>EXP(-LN(2)/25)*AV55+(1-EXP(-LN(2)/25))/(LN(2)/25)*Calculateur!AQ56*Calculateur!AS56*VLOOKUP('Données projet'!$B$10,Paramètres!$A$1:$I$89,3,0)*0.475*44/12</f>
        <v>4.5148961007965962</v>
      </c>
      <c r="AW56" s="23">
        <f>EXP(-LN(2)/2)*AW55+(1-EXP(-LN(2)/2))/(LN(2)/2)*AQ56*AT56*VLOOKUP('Données projet'!$B$10,Paramètres!$A$1:$I$89,3,0)*0.475*44/12</f>
        <v>6.998297444227114E-3</v>
      </c>
      <c r="AX56" s="23">
        <f t="shared" si="6"/>
        <v>6.5910639689001105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8.6</v>
      </c>
      <c r="N57" s="14">
        <f>IF('Données projet'!$A$36&gt;35,N56+M57-V56,IF(A57&lt;'Données projet'!$A$36,$K$205^A57,IF(A57='Données projet'!$A$36,'Données projet'!$B$36,N56+M57-V56)))</f>
        <v>249.39999999999995</v>
      </c>
      <c r="O57" s="14">
        <f>N57*VLOOKUP('Données projet'!$B$9,Paramètres!$A$1:$I$89,3,0)*VLOOKUP('Données projet'!$B$9,Paramètres!$A$1:$I$89,5,0)</f>
        <v>217.87583999999998</v>
      </c>
      <c r="P57" s="14">
        <f t="shared" si="33"/>
        <v>53.652949670124926</v>
      </c>
      <c r="Q57" s="22">
        <f t="shared" si="53"/>
        <v>472.9126420088009</v>
      </c>
      <c r="R57" s="62">
        <f t="shared" si="0"/>
        <v>730.61701467614023</v>
      </c>
      <c r="S57" s="62">
        <f ca="1">AVERAGE(OFFSET($R$3,0,0,'Données projet'!$E$9+1,1))-AVERAGE(OFFSET($H$3,0,0,'Données projet'!$E$9+1,1))</f>
        <v>317.71917965043735</v>
      </c>
      <c r="T57" s="62">
        <f t="shared" si="34"/>
        <v>444.40801165665744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2.6333452060450275</v>
      </c>
      <c r="AA57" s="23">
        <f>EXP(-LN(2)/25)*AA56+(1-EXP(-LN(2)/25))/(LN(2)/25)*Calculateur!V57*Calculateur!X57*VLOOKUP('Données projet'!$B$9,Paramètres!$A$1:$I$89,3,0)*0.475*44/12</f>
        <v>17.673514290368598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20.306859496413626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7.4</v>
      </c>
      <c r="AI57" s="14">
        <f>IF('Données projet'!$A$62&gt;35,AI56+AH57-AQ56,IF(A57&lt;'Données projet'!$A$62,$AF$205^A57,IF(A57='Données projet'!$A$62,'Données projet'!$B$62,AI56+AH57-AQ56)))</f>
        <v>270.59999999999997</v>
      </c>
      <c r="AJ57" s="14">
        <f>AI57*VLOOKUP('Données projet'!$B$10,Paramètres!$A$1:$I$89,3,0)*VLOOKUP('Données projet'!$B$10,Paramètres!$A$1:$I$89,5,0)</f>
        <v>215.28935999999996</v>
      </c>
      <c r="AK57" s="14">
        <f t="shared" si="35"/>
        <v>53.089765227625676</v>
      </c>
      <c r="AL57" s="22">
        <f t="shared" si="4"/>
        <v>467.42697643811471</v>
      </c>
      <c r="AM57" s="62">
        <f t="shared" si="5"/>
        <v>725.13134910545409</v>
      </c>
      <c r="AN57" s="62">
        <f ca="1">AVERAGE(OFFSET($AM$3,0,0,'Données projet'!$E$10+1,1))-AVERAGE(OFFSET($H$3,0,0,'Données projet'!$E$10+1,1))</f>
        <v>376.47942810265266</v>
      </c>
      <c r="AO57" s="62">
        <f t="shared" si="36"/>
        <v>362.87951024071265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2.0285944174474779</v>
      </c>
      <c r="AV57" s="23">
        <f>EXP(-LN(2)/25)*AV56+(1-EXP(-LN(2)/25))/(LN(2)/25)*Calculateur!AQ57*Calculateur!AS57*VLOOKUP('Données projet'!$B$10,Paramètres!$A$1:$I$89,3,0)*0.475*44/12</f>
        <v>4.3914360294922465</v>
      </c>
      <c r="AW57" s="23">
        <f>EXP(-LN(2)/2)*AW56+(1-EXP(-LN(2)/2))/(LN(2)/2)*AQ57*AT57*VLOOKUP('Données projet'!$B$10,Paramètres!$A$1:$I$89,3,0)*0.475*44/12</f>
        <v>4.9485435795734766E-3</v>
      </c>
      <c r="AX57" s="23">
        <f t="shared" si="6"/>
        <v>6.424978990519298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258</v>
      </c>
      <c r="L58" s="13">
        <f>VLOOKUP(A58,'Données projet'!$A$35:$I$55,9,0)</f>
        <v>8.6</v>
      </c>
      <c r="M58" s="13">
        <f t="array" ref="M58">INDEX(L:L,MIN(IF(ISNUMBER(L58:L254),ROW(L58:L254),"")))</f>
        <v>8.6</v>
      </c>
      <c r="N58" s="14">
        <f>IF('Données projet'!$A$36&gt;35,N57+M58-V57,IF(A58&lt;'Données projet'!$A$36,$K$205^A58,IF(A58='Données projet'!$A$36,'Données projet'!$B$36,N57+M58-V57)))</f>
        <v>257.99999999999994</v>
      </c>
      <c r="O58" s="14">
        <f>N58*VLOOKUP('Données projet'!$B$9,Paramètres!$A$1:$I$89,3,0)*VLOOKUP('Données projet'!$B$9,Paramètres!$A$1:$I$89,5,0)</f>
        <v>225.3888</v>
      </c>
      <c r="P58" s="14">
        <f t="shared" si="33"/>
        <v>55.284460117161593</v>
      </c>
      <c r="Q58" s="22">
        <f t="shared" si="53"/>
        <v>488.83926137072308</v>
      </c>
      <c r="R58" s="62">
        <f t="shared" si="0"/>
        <v>747.16171685119446</v>
      </c>
      <c r="S58" s="62">
        <f ca="1">AVERAGE(OFFSET($R$3,0,0,'Données projet'!$E$9+1,1))-AVERAGE(OFFSET($H$3,0,0,'Données projet'!$E$9+1,1))</f>
        <v>317.71917965043735</v>
      </c>
      <c r="T58" s="62">
        <f t="shared" si="34"/>
        <v>444.40801165665744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258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2.5817069127364629</v>
      </c>
      <c r="AA58" s="23">
        <f>EXP(-LN(2)/25)*AA57+(1-EXP(-LN(2)/25))/(LN(2)/25)*Calculateur!V58*Calculateur!X58*VLOOKUP('Données projet'!$B$9,Paramètres!$A$1:$I$89,3,0)*0.475*44/12</f>
        <v>17.190231112688746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19.771938025425207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278</v>
      </c>
      <c r="AG58" s="13">
        <f>VLOOKUP(A58,'Données projet'!$A$61:$I$81,9,0)</f>
        <v>7.4</v>
      </c>
      <c r="AH58" s="13">
        <f t="array" ref="AH58">INDEX(AG:AG,MIN(IF(ISNUMBER(AG58:AG254),ROW(AG58:AG254),"")))</f>
        <v>7.4</v>
      </c>
      <c r="AI58" s="14">
        <f>IF('Données projet'!$A$62&gt;35,AI57+AH58-AQ57,IF(A58&lt;'Données projet'!$A$62,$AF$205^A58,IF(A58='Données projet'!$A$62,'Données projet'!$B$62,AI57+AH58-AQ57)))</f>
        <v>277.99999999999994</v>
      </c>
      <c r="AJ58" s="14">
        <f>AI58*VLOOKUP('Données projet'!$B$10,Paramètres!$A$1:$I$89,3,0)*VLOOKUP('Données projet'!$B$10,Paramètres!$A$1:$I$89,5,0)</f>
        <v>221.17679999999996</v>
      </c>
      <c r="AK58" s="14">
        <f t="shared" si="35"/>
        <v>54.370577918219368</v>
      </c>
      <c r="AL58" s="22">
        <f t="shared" si="4"/>
        <v>479.91168320756537</v>
      </c>
      <c r="AM58" s="62">
        <f t="shared" si="5"/>
        <v>738.23413868803675</v>
      </c>
      <c r="AN58" s="62">
        <f ca="1">AVERAGE(OFFSET($AM$3,0,0,'Données projet'!$E$10+1,1))-AVERAGE(OFFSET($H$3,0,0,'Données projet'!$E$10+1,1))</f>
        <v>376.47942810265266</v>
      </c>
      <c r="AO58" s="62">
        <f t="shared" si="36"/>
        <v>362.87951024071265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1.9888149182417523</v>
      </c>
      <c r="AV58" s="23">
        <f>EXP(-LN(2)/25)*AV57+(1-EXP(-LN(2)/25))/(LN(2)/25)*Calculateur!AQ58*Calculateur!AS58*VLOOKUP('Données projet'!$B$10,Paramètres!$A$1:$I$89,3,0)*0.475*44/12</f>
        <v>4.2713519803301967</v>
      </c>
      <c r="AW58" s="23">
        <f>EXP(-LN(2)/2)*AW57+(1-EXP(-LN(2)/2))/(LN(2)/2)*AQ58*AT58*VLOOKUP('Données projet'!$B$10,Paramètres!$A$1:$I$89,3,0)*0.475*44/12</f>
        <v>3.499148722113557E-3</v>
      </c>
      <c r="AX58" s="23">
        <f t="shared" si="6"/>
        <v>6.2636660472940626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-4.9658410716801891E-14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317.71917965043735</v>
      </c>
      <c r="T59" s="62">
        <f t="shared" si="34"/>
        <v>444.40801165665744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2.5310812148634305</v>
      </c>
      <c r="AA59" s="23">
        <f>EXP(-LN(2)/25)*AA58+(1-EXP(-LN(2)/25))/(LN(2)/25)*Calculateur!V59*Calculateur!X59*VLOOKUP('Données projet'!$B$9,Paramètres!$A$1:$I$89,3,0)*0.475*44/12</f>
        <v>16.720163338917306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19.251244553780737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6.4</v>
      </c>
      <c r="AI59" s="14">
        <f>IF('Données projet'!$A$62&gt;35,AI58+AH59-AQ58,IF(A59&lt;'Données projet'!$A$62,$AF$205^A59,IF(A59='Données projet'!$A$62,'Données projet'!$B$62,AI58+AH59-AQ58)))</f>
        <v>268.39999999999992</v>
      </c>
      <c r="AJ59" s="14">
        <f>AI59*VLOOKUP('Données projet'!$B$10,Paramètres!$A$1:$I$89,3,0)*VLOOKUP('Données projet'!$B$10,Paramètres!$A$1:$I$89,5,0)</f>
        <v>213.53903999999994</v>
      </c>
      <c r="AK59" s="14">
        <f t="shared" si="35"/>
        <v>52.708201158564101</v>
      </c>
      <c r="AL59" s="22">
        <f t="shared" si="4"/>
        <v>463.71394501783237</v>
      </c>
      <c r="AM59" s="62">
        <f t="shared" si="5"/>
        <v>722.64376095645412</v>
      </c>
      <c r="AN59" s="62">
        <f ca="1">AVERAGE(OFFSET($AM$3,0,0,'Données projet'!$E$10+1,1))-AVERAGE(OFFSET($H$3,0,0,'Données projet'!$E$10+1,1))</f>
        <v>376.47942810265266</v>
      </c>
      <c r="AO59" s="62">
        <f t="shared" si="36"/>
        <v>362.87951024071265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1.9498154707523523</v>
      </c>
      <c r="AV59" s="23">
        <f>EXP(-LN(2)/25)*AV58+(1-EXP(-LN(2)/25))/(LN(2)/25)*Calculateur!AQ59*Calculateur!AS59*VLOOKUP('Données projet'!$B$10,Paramètres!$A$1:$I$89,3,0)*0.475*44/12</f>
        <v>4.1545516358074295</v>
      </c>
      <c r="AW59" s="23">
        <f>EXP(-LN(2)/2)*AW58+(1-EXP(-LN(2)/2))/(LN(2)/2)*AQ59*AT59*VLOOKUP('Données projet'!$B$10,Paramètres!$A$1:$I$89,3,0)*0.475*44/12</f>
        <v>2.4742717897867383E-3</v>
      </c>
      <c r="AX59" s="23">
        <f t="shared" si="6"/>
        <v>6.1068413783495679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-4.9658410716801891E-14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317.71917965043735</v>
      </c>
      <c r="T60" s="62">
        <f t="shared" si="34"/>
        <v>444.40801165665744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2.4814482560470612</v>
      </c>
      <c r="AA60" s="23">
        <f>EXP(-LN(2)/25)*AA59+(1-EXP(-LN(2)/25))/(LN(2)/25)*Calculateur!V60*Calculateur!X60*VLOOKUP('Données projet'!$B$9,Paramètres!$A$1:$I$89,3,0)*0.475*44/12</f>
        <v>16.262949593139435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18.744397849186498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6.4</v>
      </c>
      <c r="AI60" s="14">
        <f>IF('Données projet'!$A$62&gt;35,AI59+AH60-AQ59,IF(A60&lt;'Données projet'!$A$62,$AF$205^A60,IF(A60='Données projet'!$A$62,'Données projet'!$B$62,AI59+AH60-AQ59)))</f>
        <v>274.7999999999999</v>
      </c>
      <c r="AJ60" s="14">
        <f>AI60*VLOOKUP('Données projet'!$B$10,Paramètres!$A$1:$I$89,3,0)*VLOOKUP('Données projet'!$B$10,Paramètres!$A$1:$I$89,5,0)</f>
        <v>218.63087999999991</v>
      </c>
      <c r="AK60" s="14">
        <f t="shared" si="35"/>
        <v>53.817206223982794</v>
      </c>
      <c r="AL60" s="22">
        <f t="shared" si="4"/>
        <v>474.51375017343656</v>
      </c>
      <c r="AM60" s="62">
        <f t="shared" si="5"/>
        <v>734.04039022411428</v>
      </c>
      <c r="AN60" s="62">
        <f ca="1">AVERAGE(OFFSET($AM$3,0,0,'Données projet'!$E$10+1,1))-AVERAGE(OFFSET($H$3,0,0,'Données projet'!$E$10+1,1))</f>
        <v>376.47942810265266</v>
      </c>
      <c r="AO60" s="62">
        <f t="shared" si="36"/>
        <v>362.87951024071265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1.9115807786409051</v>
      </c>
      <c r="AV60" s="23">
        <f>EXP(-LN(2)/25)*AV59+(1-EXP(-LN(2)/25))/(LN(2)/25)*Calculateur!AQ60*Calculateur!AS60*VLOOKUP('Données projet'!$B$10,Paramètres!$A$1:$I$89,3,0)*0.475*44/12</f>
        <v>4.0409452028479</v>
      </c>
      <c r="AW60" s="23">
        <f>EXP(-LN(2)/2)*AW59+(1-EXP(-LN(2)/2))/(LN(2)/2)*AQ60*AT60*VLOOKUP('Données projet'!$B$10,Paramètres!$A$1:$I$89,3,0)*0.475*44/12</f>
        <v>1.7495743610567785E-3</v>
      </c>
      <c r="AX60" s="23">
        <f t="shared" si="6"/>
        <v>5.9542755558498621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-4.9658410716801891E-14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317.71917965043735</v>
      </c>
      <c r="T61" s="62">
        <f t="shared" si="34"/>
        <v>444.40801165665744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2.4327885692799653</v>
      </c>
      <c r="AA61" s="23">
        <f>EXP(-LN(2)/25)*AA60+(1-EXP(-LN(2)/25))/(LN(2)/25)*Calculateur!V61*Calculateur!X61*VLOOKUP('Données projet'!$B$9,Paramètres!$A$1:$I$89,3,0)*0.475*44/12</f>
        <v>15.818238381283688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18.251026950563652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6.4</v>
      </c>
      <c r="AI61" s="14">
        <f>IF('Données projet'!$A$62&gt;35,AI60+AH61-AQ60,IF(A61&lt;'Données projet'!$A$62,$AF$205^A61,IF(A61='Données projet'!$A$62,'Données projet'!$B$62,AI60+AH61-AQ60)))</f>
        <v>281.19999999999987</v>
      </c>
      <c r="AJ61" s="14">
        <f>AI61*VLOOKUP('Données projet'!$B$10,Paramètres!$A$1:$I$89,3,0)*VLOOKUP('Données projet'!$B$10,Paramètres!$A$1:$I$89,5,0)</f>
        <v>223.72271999999992</v>
      </c>
      <c r="AK61" s="14">
        <f t="shared" si="35"/>
        <v>54.923208653192283</v>
      </c>
      <c r="AL61" s="22">
        <f t="shared" si="4"/>
        <v>485.30832573764309</v>
      </c>
      <c r="AM61" s="62">
        <f t="shared" si="5"/>
        <v>745.42143633633145</v>
      </c>
      <c r="AN61" s="62">
        <f ca="1">AVERAGE(OFFSET($AM$3,0,0,'Données projet'!$E$10+1,1))-AVERAGE(OFFSET($H$3,0,0,'Données projet'!$E$10+1,1))</f>
        <v>376.47942810265266</v>
      </c>
      <c r="AO61" s="62">
        <f t="shared" si="36"/>
        <v>362.87951024071265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1.874095845520904</v>
      </c>
      <c r="AV61" s="23">
        <f>EXP(-LN(2)/25)*AV60+(1-EXP(-LN(2)/25))/(LN(2)/25)*Calculateur!AQ61*Calculateur!AS61*VLOOKUP('Données projet'!$B$10,Paramètres!$A$1:$I$89,3,0)*0.475*44/12</f>
        <v>3.9304453437719515</v>
      </c>
      <c r="AW61" s="23">
        <f>EXP(-LN(2)/2)*AW60+(1-EXP(-LN(2)/2))/(LN(2)/2)*AQ61*AT61*VLOOKUP('Données projet'!$B$10,Paramètres!$A$1:$I$89,3,0)*0.475*44/12</f>
        <v>1.2371358948933691E-3</v>
      </c>
      <c r="AX61" s="23">
        <f t="shared" si="6"/>
        <v>5.8057783251877488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-4.9658410716801891E-14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317.71917965043735</v>
      </c>
      <c r="T62" s="62">
        <f t="shared" si="34"/>
        <v>444.40801165665744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2.3850830692908942</v>
      </c>
      <c r="AA62" s="23">
        <f>EXP(-LN(2)/25)*AA61+(1-EXP(-LN(2)/25))/(LN(2)/25)*Calculateur!V62*Calculateur!X62*VLOOKUP('Données projet'!$B$9,Paramètres!$A$1:$I$89,3,0)*0.475*44/12</f>
        <v>15.385687820902483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17.770770890193376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6.4</v>
      </c>
      <c r="AI62" s="14">
        <f>IF('Données projet'!$A$62&gt;35,AI61+AH62-AQ61,IF(A62&lt;'Données projet'!$A$62,$AF$205^A62,IF(A62='Données projet'!$A$62,'Données projet'!$B$62,AI61+AH62-AQ61)))</f>
        <v>287.59999999999985</v>
      </c>
      <c r="AJ62" s="14">
        <f>AI62*VLOOKUP('Données projet'!$B$10,Paramètres!$A$1:$I$89,3,0)*VLOOKUP('Données projet'!$B$10,Paramètres!$A$1:$I$89,5,0)</f>
        <v>228.81455999999989</v>
      </c>
      <c r="AK62" s="14">
        <f t="shared" si="35"/>
        <v>56.026284651959251</v>
      </c>
      <c r="AL62" s="22">
        <f t="shared" si="4"/>
        <v>496.09780443549545</v>
      </c>
      <c r="AM62" s="62">
        <f t="shared" si="5"/>
        <v>756.78721162933823</v>
      </c>
      <c r="AN62" s="62">
        <f ca="1">AVERAGE(OFFSET($AM$3,0,0,'Données projet'!$E$10+1,1))-AVERAGE(OFFSET($H$3,0,0,'Données projet'!$E$10+1,1))</f>
        <v>376.47942810265266</v>
      </c>
      <c r="AO62" s="62">
        <f t="shared" si="36"/>
        <v>362.87951024071265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1.8373459690758345</v>
      </c>
      <c r="AV62" s="23">
        <f>EXP(-LN(2)/25)*AV61+(1-EXP(-LN(2)/25))/(LN(2)/25)*Calculateur!AQ62*Calculateur!AS62*VLOOKUP('Données projet'!$B$10,Paramètres!$A$1:$I$89,3,0)*0.475*44/12</f>
        <v>3.8229671091533701</v>
      </c>
      <c r="AW62" s="23">
        <f>EXP(-LN(2)/2)*AW61+(1-EXP(-LN(2)/2))/(LN(2)/2)*AQ62*AT62*VLOOKUP('Données projet'!$B$10,Paramètres!$A$1:$I$89,3,0)*0.475*44/12</f>
        <v>8.7478718052838925E-4</v>
      </c>
      <c r="AX62" s="23">
        <f t="shared" si="6"/>
        <v>5.6611878654097332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-4.9658410716801891E-14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317.71917965043735</v>
      </c>
      <c r="T63" s="62">
        <f t="shared" si="34"/>
        <v>444.40801165665744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2.3383130450591265</v>
      </c>
      <c r="AA63" s="23">
        <f>EXP(-LN(2)/25)*AA62+(1-EXP(-LN(2)/25))/(LN(2)/25)*Calculateur!V63*Calculateur!X63*VLOOKUP('Données projet'!$B$9,Paramètres!$A$1:$I$89,3,0)*0.475*44/12</f>
        <v>14.964965378341747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17.303278423400872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294</v>
      </c>
      <c r="AG63" s="13">
        <f>VLOOKUP(A63,'Données projet'!$A$61:$I$81,9,0)</f>
        <v>6.4</v>
      </c>
      <c r="AH63" s="13">
        <f t="array" ref="AH63">INDEX(AG:AG,MIN(IF(ISNUMBER(AG63:AG259),ROW(AG63:AG259),"")))</f>
        <v>6.4</v>
      </c>
      <c r="AI63" s="14">
        <f>IF('Données projet'!$A$62&gt;35,AI62+AH63-AQ62,IF(A63&lt;'Données projet'!$A$62,$AF$205^A63,IF(A63='Données projet'!$A$62,'Données projet'!$B$62,AI62+AH63-AQ62)))</f>
        <v>293.99999999999983</v>
      </c>
      <c r="AJ63" s="14">
        <f>AI63*VLOOKUP('Données projet'!$B$10,Paramètres!$A$1:$I$89,3,0)*VLOOKUP('Données projet'!$B$10,Paramètres!$A$1:$I$89,5,0)</f>
        <v>233.90639999999988</v>
      </c>
      <c r="AK63" s="14">
        <f t="shared" si="35"/>
        <v>57.126506840778347</v>
      </c>
      <c r="AL63" s="22">
        <f t="shared" si="4"/>
        <v>506.88231274768867</v>
      </c>
      <c r="AM63" s="62">
        <f t="shared" si="5"/>
        <v>768.13801907916616</v>
      </c>
      <c r="AN63" s="62">
        <f ca="1">AVERAGE(OFFSET($AM$3,0,0,'Données projet'!$E$10+1,1))-AVERAGE(OFFSET($H$3,0,0,'Données projet'!$E$10+1,1))</f>
        <v>376.47942810265266</v>
      </c>
      <c r="AO63" s="62">
        <f t="shared" si="36"/>
        <v>362.87951024071265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1.8013167352926416</v>
      </c>
      <c r="AV63" s="23">
        <f>EXP(-LN(2)/25)*AV62+(1-EXP(-LN(2)/25))/(LN(2)/25)*Calculateur!AQ63*Calculateur!AS63*VLOOKUP('Données projet'!$B$10,Paramètres!$A$1:$I$89,3,0)*0.475*44/12</f>
        <v>3.7184278725124686</v>
      </c>
      <c r="AW63" s="23">
        <f>EXP(-LN(2)/2)*AW62+(1-EXP(-LN(2)/2))/(LN(2)/2)*AQ63*AT63*VLOOKUP('Données projet'!$B$10,Paramètres!$A$1:$I$89,3,0)*0.475*44/12</f>
        <v>6.1856794744668457E-4</v>
      </c>
      <c r="AX63" s="23">
        <f t="shared" si="6"/>
        <v>5.5203631757525571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-4.9658410716801891E-14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317.71917965043735</v>
      </c>
      <c r="T64" s="62">
        <f t="shared" si="34"/>
        <v>444.40801165665744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2.2924601524756461</v>
      </c>
      <c r="AA64" s="23">
        <f>EXP(-LN(2)/25)*AA63+(1-EXP(-LN(2)/25))/(LN(2)/25)*Calculateur!V64*Calculateur!X64*VLOOKUP('Données projet'!$B$9,Paramètres!$A$1:$I$89,3,0)*0.475*44/12</f>
        <v>14.555747613097665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16.84820776557331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285.19999999999982</v>
      </c>
      <c r="AJ64" s="14">
        <f>AI64*VLOOKUP('Données projet'!$B$10,Paramètres!$A$1:$I$89,3,0)*VLOOKUP('Données projet'!$B$10,Paramètres!$A$1:$I$89,5,0)</f>
        <v>226.90511999999987</v>
      </c>
      <c r="AK64" s="14">
        <f t="shared" si="35"/>
        <v>55.612969408444364</v>
      </c>
      <c r="AL64" s="22">
        <f t="shared" si="4"/>
        <v>492.05233905304038</v>
      </c>
      <c r="AM64" s="62">
        <f t="shared" si="5"/>
        <v>753.86452049816967</v>
      </c>
      <c r="AN64" s="62">
        <f ca="1">AVERAGE(OFFSET($AM$3,0,0,'Données projet'!$E$10+1,1))-AVERAGE(OFFSET($H$3,0,0,'Données projet'!$E$10+1,1))</f>
        <v>376.47942810265266</v>
      </c>
      <c r="AO64" s="62">
        <f t="shared" si="36"/>
        <v>362.87951024071265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1.7659940128082743</v>
      </c>
      <c r="AV64" s="23">
        <f>EXP(-LN(2)/25)*AV63+(1-EXP(-LN(2)/25))/(LN(2)/25)*Calculateur!AQ64*Calculateur!AS64*VLOOKUP('Données projet'!$B$10,Paramètres!$A$1:$I$89,3,0)*0.475*44/12</f>
        <v>3.616747266794992</v>
      </c>
      <c r="AW64" s="23">
        <f>EXP(-LN(2)/2)*AW63+(1-EXP(-LN(2)/2))/(LN(2)/2)*AQ64*AT64*VLOOKUP('Données projet'!$B$10,Paramètres!$A$1:$I$89,3,0)*0.475*44/12</f>
        <v>4.3739359026419462E-4</v>
      </c>
      <c r="AX64" s="23">
        <f t="shared" si="6"/>
        <v>5.3831786731935303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-4.9658410716801891E-14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317.71917965043735</v>
      </c>
      <c r="T65" s="62">
        <f t="shared" si="34"/>
        <v>444.40801165665744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2.2475064071482245</v>
      </c>
      <c r="AA65" s="23">
        <f>EXP(-LN(2)/25)*AA64+(1-EXP(-LN(2)/25))/(LN(2)/25)*Calculateur!V65*Calculateur!X65*VLOOKUP('Données projet'!$B$9,Paramètres!$A$1:$I$89,3,0)*0.475*44/12</f>
        <v>14.15771992916401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16.405226336312236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290.39999999999981</v>
      </c>
      <c r="AJ65" s="14">
        <f>AI65*VLOOKUP('Données projet'!$B$10,Paramètres!$A$1:$I$89,3,0)*VLOOKUP('Données projet'!$B$10,Paramètres!$A$1:$I$89,5,0)</f>
        <v>231.04223999999985</v>
      </c>
      <c r="AK65" s="14">
        <f t="shared" si="35"/>
        <v>56.507978852931409</v>
      </c>
      <c r="AL65" s="22">
        <f t="shared" si="4"/>
        <v>500.81663116885534</v>
      </c>
      <c r="AM65" s="62">
        <f t="shared" si="5"/>
        <v>763.17563412850666</v>
      </c>
      <c r="AN65" s="62">
        <f ca="1">AVERAGE(OFFSET($AM$3,0,0,'Données projet'!$E$10+1,1))-AVERAGE(OFFSET($H$3,0,0,'Données projet'!$E$10+1,1))</f>
        <v>376.47942810265266</v>
      </c>
      <c r="AO65" s="62">
        <f t="shared" si="36"/>
        <v>362.87951024071265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1.7313639473670921</v>
      </c>
      <c r="AV65" s="23">
        <f>EXP(-LN(2)/25)*AV64+(1-EXP(-LN(2)/25))/(LN(2)/25)*Calculateur!AQ65*Calculateur!AS65*VLOOKUP('Données projet'!$B$10,Paramètres!$A$1:$I$89,3,0)*0.475*44/12</f>
        <v>3.5178471225880106</v>
      </c>
      <c r="AW65" s="23">
        <f>EXP(-LN(2)/2)*AW64+(1-EXP(-LN(2)/2))/(LN(2)/2)*AQ65*AT65*VLOOKUP('Données projet'!$B$10,Paramètres!$A$1:$I$89,3,0)*0.475*44/12</f>
        <v>3.0928397372334229E-4</v>
      </c>
      <c r="AX65" s="23">
        <f t="shared" si="6"/>
        <v>5.2495203539288262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-4.9658410716801891E-14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317.71917965043735</v>
      </c>
      <c r="T66" s="62">
        <f t="shared" si="34"/>
        <v>444.40801165665744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2.2034341773475967</v>
      </c>
      <c r="AA66" s="23">
        <f>EXP(-LN(2)/25)*AA65+(1-EXP(-LN(2)/25))/(LN(2)/25)*Calculateur!V66*Calculateur!X66*VLOOKUP('Données projet'!$B$9,Paramètres!$A$1:$I$89,3,0)*0.475*44/12</f>
        <v>13.770576333178887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15.974010510526483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295.5999999999998</v>
      </c>
      <c r="AJ66" s="14">
        <f>AI66*VLOOKUP('Données projet'!$B$10,Paramètres!$A$1:$I$89,3,0)*VLOOKUP('Données projet'!$B$10,Paramètres!$A$1:$I$89,5,0)</f>
        <v>235.17935999999983</v>
      </c>
      <c r="AK66" s="14">
        <f t="shared" si="35"/>
        <v>57.401124668909425</v>
      </c>
      <c r="AL66" s="22">
        <f t="shared" si="4"/>
        <v>509.57767746501696</v>
      </c>
      <c r="AM66" s="62">
        <f t="shared" si="5"/>
        <v>772.47401580842302</v>
      </c>
      <c r="AN66" s="62">
        <f ca="1">AVERAGE(OFFSET($AM$3,0,0,'Données projet'!$E$10+1,1))-AVERAGE(OFFSET($H$3,0,0,'Données projet'!$E$10+1,1))</f>
        <v>376.47942810265266</v>
      </c>
      <c r="AO66" s="62">
        <f t="shared" si="36"/>
        <v>362.87951024071265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1.6974129563869573</v>
      </c>
      <c r="AV66" s="23">
        <f>EXP(-LN(2)/25)*AV65+(1-EXP(-LN(2)/25))/(LN(2)/25)*Calculateur!AQ66*Calculateur!AS66*VLOOKUP('Données projet'!$B$10,Paramètres!$A$1:$I$89,3,0)*0.475*44/12</f>
        <v>3.4216514080253013</v>
      </c>
      <c r="AW66" s="23">
        <f>EXP(-LN(2)/2)*AW65+(1-EXP(-LN(2)/2))/(LN(2)/2)*AQ66*AT66*VLOOKUP('Données projet'!$B$10,Paramètres!$A$1:$I$89,3,0)*0.475*44/12</f>
        <v>2.1869679513209731E-4</v>
      </c>
      <c r="AX66" s="23">
        <f t="shared" si="6"/>
        <v>5.1192830612073905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-4.9658410716801891E-14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317.71917965043735</v>
      </c>
      <c r="T67" s="62">
        <f t="shared" si="34"/>
        <v>444.40801165665744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2.1602261770919533</v>
      </c>
      <c r="AA67" s="23">
        <f>EXP(-LN(2)/25)*AA66+(1-EXP(-LN(2)/25))/(LN(2)/25)*Calculateur!V67*Calculateur!X67*VLOOKUP('Données projet'!$B$9,Paramètres!$A$1:$I$89,3,0)*0.475*44/12</f>
        <v>13.394019199184974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15.554245376276928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300.79999999999978</v>
      </c>
      <c r="AJ67" s="14">
        <f>AI67*VLOOKUP('Données projet'!$B$10,Paramètres!$A$1:$I$89,3,0)*VLOOKUP('Données projet'!$B$10,Paramètres!$A$1:$I$89,5,0)</f>
        <v>239.31647999999984</v>
      </c>
      <c r="AK67" s="14">
        <f t="shared" si="35"/>
        <v>58.292443422481945</v>
      </c>
      <c r="AL67" s="22">
        <f t="shared" si="4"/>
        <v>518.33554162748908</v>
      </c>
      <c r="AM67" s="62">
        <f t="shared" si="5"/>
        <v>781.75989378704389</v>
      </c>
      <c r="AN67" s="62">
        <f ca="1">AVERAGE(OFFSET($AM$3,0,0,'Données projet'!$E$10+1,1))-AVERAGE(OFFSET($H$3,0,0,'Données projet'!$E$10+1,1))</f>
        <v>376.47942810265266</v>
      </c>
      <c r="AO67" s="62">
        <f t="shared" si="36"/>
        <v>362.87951024071265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1.6641277236318832</v>
      </c>
      <c r="AV67" s="23">
        <f>EXP(-LN(2)/25)*AV66+(1-EXP(-LN(2)/25))/(LN(2)/25)*Calculateur!AQ67*Calculateur!AS67*VLOOKUP('Données projet'!$B$10,Paramètres!$A$1:$I$89,3,0)*0.475*44/12</f>
        <v>3.3280861703360221</v>
      </c>
      <c r="AW67" s="23">
        <f>EXP(-LN(2)/2)*AW66+(1-EXP(-LN(2)/2))/(LN(2)/2)*AQ67*AT67*VLOOKUP('Données projet'!$B$10,Paramètres!$A$1:$I$89,3,0)*0.475*44/12</f>
        <v>1.5464198686167114E-4</v>
      </c>
      <c r="AX67" s="23">
        <f t="shared" si="6"/>
        <v>4.9923685359547676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-4.9658410716801891E-14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317.71917965043735</v>
      </c>
      <c r="T68" s="62">
        <f t="shared" si="34"/>
        <v>444.40801165665744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2.117865459367045</v>
      </c>
      <c r="AA68" s="23">
        <f>EXP(-LN(2)/25)*AA67+(1-EXP(-LN(2)/25))/(LN(2)/25)*Calculateur!V68*Calculateur!X68*VLOOKUP('Données projet'!$B$9,Paramètres!$A$1:$I$89,3,0)*0.475*44/12</f>
        <v>13.027759039822405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15.145624499189449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305.99999999999977</v>
      </c>
      <c r="AJ68" s="14">
        <f>AI68*VLOOKUP('Données projet'!$B$10,Paramètres!$A$1:$I$89,3,0)*VLOOKUP('Données projet'!$B$10,Paramètres!$A$1:$I$89,5,0)</f>
        <v>243.45359999999982</v>
      </c>
      <c r="AK68" s="14">
        <f t="shared" si="35"/>
        <v>59.181970343065267</v>
      </c>
      <c r="AL68" s="22">
        <f t="shared" ref="AL68:AL131" si="58">(AJ68+AK68)*0.475*44/12</f>
        <v>527.09028501417163</v>
      </c>
      <c r="AM68" s="62">
        <f t="shared" ref="AM68:AM131" si="59">AL68+(AD68+AE68)*44/12</f>
        <v>791.03349113062677</v>
      </c>
      <c r="AN68" s="62">
        <f ca="1">AVERAGE(OFFSET($AM$3,0,0,'Données projet'!$E$10+1,1))-AVERAGE(OFFSET($H$3,0,0,'Données projet'!$E$10+1,1))</f>
        <v>376.47942810265266</v>
      </c>
      <c r="AO68" s="62">
        <f t="shared" si="36"/>
        <v>362.87951024071265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1.6314951939891487</v>
      </c>
      <c r="AV68" s="23">
        <f>EXP(-LN(2)/25)*AV67+(1-EXP(-LN(2)/25))/(LN(2)/25)*Calculateur!AQ68*Calculateur!AS68*VLOOKUP('Données projet'!$B$10,Paramètres!$A$1:$I$89,3,0)*0.475*44/12</f>
        <v>3.2370794789917383</v>
      </c>
      <c r="AW68" s="23">
        <f>EXP(-LN(2)/2)*AW67+(1-EXP(-LN(2)/2))/(LN(2)/2)*AQ68*AT68*VLOOKUP('Données projet'!$B$10,Paramètres!$A$1:$I$89,3,0)*0.475*44/12</f>
        <v>1.0934839756604866E-4</v>
      </c>
      <c r="AX68" s="23">
        <f t="shared" ref="AX68:AX131" si="60">SUM(AU68:AW68)</f>
        <v>4.8686840213784528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-4.9658410716801891E-14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317.71917965043735</v>
      </c>
      <c r="T69" s="62">
        <f t="shared" ref="T69:T132" si="88">$T$3</f>
        <v>444.40801165665744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2.0763354094792357</v>
      </c>
      <c r="AA69" s="23">
        <f>EXP(-LN(2)/25)*AA68+(1-EXP(-LN(2)/25))/(LN(2)/25)*Calculateur!V69*Calculateur!X69*VLOOKUP('Données projet'!$B$9,Paramètres!$A$1:$I$89,3,0)*0.475*44/12</f>
        <v>12.671514283778388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14.747849693257624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4.4000000000000004</v>
      </c>
      <c r="AI69" s="14">
        <f>IF('Données projet'!$A$62&gt;35,AI68+AH69-AQ68,IF(A69&lt;'Données projet'!$A$62,$AF$205^A69,IF(A69='Données projet'!$A$62,'Données projet'!$B$62,AI68+AH69-AQ68)))</f>
        <v>297.39999999999975</v>
      </c>
      <c r="AJ69" s="14">
        <f>AI69*VLOOKUP('Données projet'!$B$10,Paramètres!$A$1:$I$89,3,0)*VLOOKUP('Données projet'!$B$10,Paramètres!$A$1:$I$89,5,0)</f>
        <v>236.61143999999979</v>
      </c>
      <c r="AK69" s="14">
        <f t="shared" ref="AK69:AK132" si="89">EXP(-1.0587+0.8836*LN(AJ69)+0.284)</f>
        <v>57.70986302809164</v>
      </c>
      <c r="AL69" s="22">
        <f t="shared" si="58"/>
        <v>512.60960277392599</v>
      </c>
      <c r="AM69" s="62">
        <f t="shared" si="59"/>
        <v>777.06266189111307</v>
      </c>
      <c r="AN69" s="62">
        <f ca="1">AVERAGE(OFFSET($AM$3,0,0,'Données projet'!$E$10+1,1))-AVERAGE(OFFSET($H$3,0,0,'Données projet'!$E$10+1,1))</f>
        <v>376.47942810265266</v>
      </c>
      <c r="AO69" s="62">
        <f t="shared" ref="AO69:AO132" si="90">$AO$3</f>
        <v>362.87951024071265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1.5995025683488304</v>
      </c>
      <c r="AV69" s="23">
        <f>EXP(-LN(2)/25)*AV68+(1-EXP(-LN(2)/25))/(LN(2)/25)*Calculateur!AQ69*Calculateur!AS69*VLOOKUP('Données projet'!$B$10,Paramètres!$A$1:$I$89,3,0)*0.475*44/12</f>
        <v>3.1485613704080979</v>
      </c>
      <c r="AW69" s="23">
        <f>EXP(-LN(2)/2)*AW68+(1-EXP(-LN(2)/2))/(LN(2)/2)*AQ69*AT69*VLOOKUP('Données projet'!$B$10,Paramètres!$A$1:$I$89,3,0)*0.475*44/12</f>
        <v>7.7320993430835572E-5</v>
      </c>
      <c r="AX69" s="23">
        <f t="shared" si="60"/>
        <v>4.7481412597503594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-4.9658410716801891E-14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317.71917965043735</v>
      </c>
      <c r="T70" s="62">
        <f t="shared" si="88"/>
        <v>444.40801165665744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2.0356197385388972</v>
      </c>
      <c r="AA70" s="23">
        <f>EXP(-LN(2)/25)*AA69+(1-EXP(-LN(2)/25))/(LN(2)/25)*Calculateur!V70*Calculateur!X70*VLOOKUP('Données projet'!$B$9,Paramètres!$A$1:$I$89,3,0)*0.475*44/12</f>
        <v>12.325011059322492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14.36063079786139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4.4000000000000004</v>
      </c>
      <c r="AI70" s="14">
        <f>IF('Données projet'!$A$62&gt;35,AI69+AH70-AQ69,IF(A70&lt;'Données projet'!$A$62,$AF$205^A70,IF(A70='Données projet'!$A$62,'Données projet'!$B$62,AI69+AH70-AQ69)))</f>
        <v>301.79999999999973</v>
      </c>
      <c r="AJ70" s="14">
        <f>AI70*VLOOKUP('Données projet'!$B$10,Paramètres!$A$1:$I$89,3,0)*VLOOKUP('Données projet'!$B$10,Paramètres!$A$1:$I$89,5,0)</f>
        <v>240.11207999999979</v>
      </c>
      <c r="AK70" s="14">
        <f t="shared" si="89"/>
        <v>58.463644384894735</v>
      </c>
      <c r="AL70" s="22">
        <f t="shared" si="58"/>
        <v>520.0193866370247</v>
      </c>
      <c r="AM70" s="62">
        <f t="shared" si="59"/>
        <v>784.97345394524154</v>
      </c>
      <c r="AN70" s="62">
        <f ca="1">AVERAGE(OFFSET($AM$3,0,0,'Données projet'!$E$10+1,1))-AVERAGE(OFFSET($H$3,0,0,'Données projet'!$E$10+1,1))</f>
        <v>376.47942810265266</v>
      </c>
      <c r="AO70" s="62">
        <f t="shared" si="90"/>
        <v>362.87951024071265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1.5681372985837441</v>
      </c>
      <c r="AV70" s="23">
        <f>EXP(-LN(2)/25)*AV69+(1-EXP(-LN(2)/25))/(LN(2)/25)*Calculateur!AQ70*Calculateur!AS70*VLOOKUP('Données projet'!$B$10,Paramètres!$A$1:$I$89,3,0)*0.475*44/12</f>
        <v>3.0624637941586421</v>
      </c>
      <c r="AW70" s="23">
        <f>EXP(-LN(2)/2)*AW69+(1-EXP(-LN(2)/2))/(LN(2)/2)*AQ70*AT70*VLOOKUP('Données projet'!$B$10,Paramètres!$A$1:$I$89,3,0)*0.475*44/12</f>
        <v>5.4674198783024328E-5</v>
      </c>
      <c r="AX70" s="23">
        <f t="shared" si="60"/>
        <v>4.6306557669411701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-4.9658410716801891E-14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317.71917965043735</v>
      </c>
      <c r="T71" s="62">
        <f t="shared" si="88"/>
        <v>444.40801165665744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1.9957024770715917</v>
      </c>
      <c r="AA71" s="23">
        <f>EXP(-LN(2)/25)*AA70+(1-EXP(-LN(2)/25))/(LN(2)/25)*Calculateur!V71*Calculateur!X71*VLOOKUP('Données projet'!$B$9,Paramètres!$A$1:$I$89,3,0)*0.475*44/12</f>
        <v>11.987982983761157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13.983685460832749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4.4000000000000004</v>
      </c>
      <c r="AI71" s="14">
        <f>IF('Données projet'!$A$62&gt;35,AI70+AH71-AQ70,IF(A71&lt;'Données projet'!$A$62,$AF$205^A71,IF(A71='Données projet'!$A$62,'Données projet'!$B$62,AI70+AH71-AQ70)))</f>
        <v>306.1999999999997</v>
      </c>
      <c r="AJ71" s="14">
        <f>AI71*VLOOKUP('Données projet'!$B$10,Paramètres!$A$1:$I$89,3,0)*VLOOKUP('Données projet'!$B$10,Paramètres!$A$1:$I$89,5,0)</f>
        <v>243.6127199999998</v>
      </c>
      <c r="AK71" s="14">
        <f t="shared" si="89"/>
        <v>59.216147598154699</v>
      </c>
      <c r="AL71" s="22">
        <f t="shared" si="58"/>
        <v>527.42694440011905</v>
      </c>
      <c r="AM71" s="62">
        <f t="shared" si="59"/>
        <v>792.87332852733789</v>
      </c>
      <c r="AN71" s="62">
        <f ca="1">AVERAGE(OFFSET($AM$3,0,0,'Données projet'!$E$10+1,1))-AVERAGE(OFFSET($H$3,0,0,'Données projet'!$E$10+1,1))</f>
        <v>376.47942810265266</v>
      </c>
      <c r="AO71" s="62">
        <f t="shared" si="90"/>
        <v>362.87951024071265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1.5373870826278255</v>
      </c>
      <c r="AV71" s="23">
        <f>EXP(-LN(2)/25)*AV70+(1-EXP(-LN(2)/25))/(LN(2)/25)*Calculateur!AQ71*Calculateur!AS71*VLOOKUP('Données projet'!$B$10,Paramètres!$A$1:$I$89,3,0)*0.475*44/12</f>
        <v>2.9787205606594025</v>
      </c>
      <c r="AW71" s="23">
        <f>EXP(-LN(2)/2)*AW70+(1-EXP(-LN(2)/2))/(LN(2)/2)*AQ71*AT71*VLOOKUP('Données projet'!$B$10,Paramètres!$A$1:$I$89,3,0)*0.475*44/12</f>
        <v>3.8660496715417786E-5</v>
      </c>
      <c r="AX71" s="23">
        <f t="shared" si="60"/>
        <v>4.5161463037839429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-4.9658410716801891E-14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317.71917965043735</v>
      </c>
      <c r="T72" s="62">
        <f t="shared" si="88"/>
        <v>444.40801165665744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1.9565679687545345</v>
      </c>
      <c r="AA72" s="23">
        <f>EXP(-LN(2)/25)*AA71+(1-EXP(-LN(2)/25))/(LN(2)/25)*Calculateur!V72*Calculateur!X72*VLOOKUP('Données projet'!$B$9,Paramètres!$A$1:$I$89,3,0)*0.475*44/12</f>
        <v>11.660170958649582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13.616738927404116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4.4000000000000004</v>
      </c>
      <c r="AI72" s="14">
        <f>IF('Données projet'!$A$62&gt;35,AI71+AH72-AQ71,IF(A72&lt;'Données projet'!$A$62,$AF$205^A72,IF(A72='Données projet'!$A$62,'Données projet'!$B$62,AI71+AH72-AQ71)))</f>
        <v>310.59999999999968</v>
      </c>
      <c r="AJ72" s="14">
        <f>AI72*VLOOKUP('Données projet'!$B$10,Paramètres!$A$1:$I$89,3,0)*VLOOKUP('Données projet'!$B$10,Paramètres!$A$1:$I$89,5,0)</f>
        <v>247.11335999999974</v>
      </c>
      <c r="AK72" s="14">
        <f t="shared" si="89"/>
        <v>59.967393156546734</v>
      </c>
      <c r="AL72" s="22">
        <f t="shared" si="58"/>
        <v>534.83231174765172</v>
      </c>
      <c r="AM72" s="62">
        <f t="shared" si="59"/>
        <v>800.76247209771827</v>
      </c>
      <c r="AN72" s="62">
        <f ca="1">AVERAGE(OFFSET($AM$3,0,0,'Données projet'!$E$10+1,1))-AVERAGE(OFFSET($H$3,0,0,'Données projet'!$E$10+1,1))</f>
        <v>376.47942810265266</v>
      </c>
      <c r="AO72" s="62">
        <f t="shared" si="90"/>
        <v>362.87951024071265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1.5072398596510228</v>
      </c>
      <c r="AV72" s="23">
        <f>EXP(-LN(2)/25)*AV71+(1-EXP(-LN(2)/25))/(LN(2)/25)*Calculateur!AQ72*Calculateur!AS72*VLOOKUP('Données projet'!$B$10,Paramètres!$A$1:$I$89,3,0)*0.475*44/12</f>
        <v>2.8972672902840646</v>
      </c>
      <c r="AW72" s="23">
        <f>EXP(-LN(2)/2)*AW71+(1-EXP(-LN(2)/2))/(LN(2)/2)*AQ72*AT72*VLOOKUP('Données projet'!$B$10,Paramètres!$A$1:$I$89,3,0)*0.475*44/12</f>
        <v>2.7337099391512164E-5</v>
      </c>
      <c r="AX72" s="23">
        <f t="shared" si="60"/>
        <v>4.4045344870344785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-4.9658410716801891E-14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317.71917965043735</v>
      </c>
      <c r="T73" s="62">
        <f t="shared" si="88"/>
        <v>444.40801165665744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1.9182008642758817</v>
      </c>
      <c r="AA73" s="23">
        <f>EXP(-LN(2)/25)*AA72+(1-EXP(-LN(2)/25))/(LN(2)/25)*Calculateur!V73*Calculateur!X73*VLOOKUP('Données projet'!$B$9,Paramètres!$A$1:$I$89,3,0)*0.475*44/12</f>
        <v>11.341322970603567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13.259523834879449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315</v>
      </c>
      <c r="AG73" s="13">
        <f>VLOOKUP(A73,'Données projet'!$A$61:$I$81,9,0)</f>
        <v>4.4000000000000004</v>
      </c>
      <c r="AH73" s="13">
        <f t="array" ref="AH73">INDEX(AG:AG,MIN(IF(ISNUMBER(AG73:AG269),ROW(AG73:AG269),"")))</f>
        <v>4.4000000000000004</v>
      </c>
      <c r="AI73" s="14">
        <f>IF('Données projet'!$A$62&gt;35,AI72+AH73-AQ72,IF(A73&lt;'Données projet'!$A$62,$AF$205^A73,IF(A73='Données projet'!$A$62,'Données projet'!$B$62,AI72+AH73-AQ72)))</f>
        <v>314.99999999999966</v>
      </c>
      <c r="AJ73" s="14">
        <f>AI73*VLOOKUP('Données projet'!$B$10,Paramètres!$A$1:$I$89,3,0)*VLOOKUP('Données projet'!$B$10,Paramètres!$A$1:$I$89,5,0)</f>
        <v>250.61399999999975</v>
      </c>
      <c r="AK73" s="14">
        <f t="shared" si="89"/>
        <v>60.717400934915986</v>
      </c>
      <c r="AL73" s="22">
        <f t="shared" si="58"/>
        <v>542.23552329497818</v>
      </c>
      <c r="AM73" s="62">
        <f t="shared" si="59"/>
        <v>808.64106743198772</v>
      </c>
      <c r="AN73" s="62">
        <f ca="1">AVERAGE(OFFSET($AM$3,0,0,'Données projet'!$E$10+1,1))-AVERAGE(OFFSET($H$3,0,0,'Données projet'!$E$10+1,1))</f>
        <v>376.47942810265266</v>
      </c>
      <c r="AO73" s="62">
        <f t="shared" si="90"/>
        <v>362.87951024071265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1.4776838053288048</v>
      </c>
      <c r="AV73" s="23">
        <f>EXP(-LN(2)/25)*AV72+(1-EXP(-LN(2)/25))/(LN(2)/25)*Calculateur!AQ73*Calculateur!AS73*VLOOKUP('Données projet'!$B$10,Paramètres!$A$1:$I$89,3,0)*0.475*44/12</f>
        <v>2.8180413638705817</v>
      </c>
      <c r="AW73" s="23">
        <f>EXP(-LN(2)/2)*AW72+(1-EXP(-LN(2)/2))/(LN(2)/2)*AQ73*AT73*VLOOKUP('Données projet'!$B$10,Paramètres!$A$1:$I$89,3,0)*0.475*44/12</f>
        <v>1.9330248357708893E-5</v>
      </c>
      <c r="AX73" s="23">
        <f t="shared" si="60"/>
        <v>4.2957444994477436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-4.9658410716801891E-14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317.71917965043735</v>
      </c>
      <c r="T74" s="62">
        <f t="shared" si="88"/>
        <v>444.40801165665744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1.8805861153144321</v>
      </c>
      <c r="AA74" s="23">
        <f>EXP(-LN(2)/25)*AA73+(1-EXP(-LN(2)/25))/(LN(2)/25)*Calculateur!V74*Calculateur!X74*VLOOKUP('Données projet'!$B$9,Paramètres!$A$1:$I$89,3,0)*0.475*44/12</f>
        <v>11.031193897558159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12.911780012872592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4.2</v>
      </c>
      <c r="AI74" s="14">
        <f>IF('Données projet'!$A$62&gt;35,AI73+AH74-AQ73,IF(A74&lt;'Données projet'!$A$62,$AF$205^A74,IF(A74='Données projet'!$A$62,'Données projet'!$B$62,AI73+AH74-AQ73)))</f>
        <v>306.19999999999965</v>
      </c>
      <c r="AJ74" s="14">
        <f>AI74*VLOOKUP('Données projet'!$B$10,Paramètres!$A$1:$I$89,3,0)*VLOOKUP('Données projet'!$B$10,Paramètres!$A$1:$I$89,5,0)</f>
        <v>243.61271999999974</v>
      </c>
      <c r="AK74" s="14">
        <f t="shared" si="89"/>
        <v>59.216147598154699</v>
      </c>
      <c r="AL74" s="22">
        <f t="shared" si="58"/>
        <v>527.42694440011894</v>
      </c>
      <c r="AM74" s="62">
        <f t="shared" si="59"/>
        <v>794.29962547816694</v>
      </c>
      <c r="AN74" s="62">
        <f ca="1">AVERAGE(OFFSET($AM$3,0,0,'Données projet'!$E$10+1,1))-AVERAGE(OFFSET($H$3,0,0,'Données projet'!$E$10+1,1))</f>
        <v>376.47942810265266</v>
      </c>
      <c r="AO74" s="62">
        <f t="shared" si="90"/>
        <v>362.87951024071265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1.4487073272044324</v>
      </c>
      <c r="AV74" s="23">
        <f>EXP(-LN(2)/25)*AV73+(1-EXP(-LN(2)/25))/(LN(2)/25)*Calculateur!AQ74*Calculateur!AS74*VLOOKUP('Données projet'!$B$10,Paramètres!$A$1:$I$89,3,0)*0.475*44/12</f>
        <v>2.7409818745811858</v>
      </c>
      <c r="AW74" s="23">
        <f>EXP(-LN(2)/2)*AW73+(1-EXP(-LN(2)/2))/(LN(2)/2)*AQ74*AT74*VLOOKUP('Données projet'!$B$10,Paramètres!$A$1:$I$89,3,0)*0.475*44/12</f>
        <v>1.3668549695756082E-5</v>
      </c>
      <c r="AX74" s="23">
        <f t="shared" si="60"/>
        <v>4.1897028703353136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-4.9658410716801891E-14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317.71917965043735</v>
      </c>
      <c r="T75" s="62">
        <f t="shared" si="88"/>
        <v>444.40801165665744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1.8437089686373853</v>
      </c>
      <c r="AA75" s="23">
        <f>EXP(-LN(2)/25)*AA74+(1-EXP(-LN(2)/25))/(LN(2)/25)*Calculateur!V75*Calculateur!X75*VLOOKUP('Données projet'!$B$9,Paramètres!$A$1:$I$89,3,0)*0.475*44/12</f>
        <v>10.729545320324156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12.573254288961541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4.2</v>
      </c>
      <c r="AI75" s="14">
        <f>IF('Données projet'!$A$62&gt;35,AI74+AH75-AQ74,IF(A75&lt;'Données projet'!$A$62,$AF$205^A75,IF(A75='Données projet'!$A$62,'Données projet'!$B$62,AI74+AH75-AQ74)))</f>
        <v>310.39999999999964</v>
      </c>
      <c r="AJ75" s="14">
        <f>AI75*VLOOKUP('Données projet'!$B$10,Paramètres!$A$1:$I$89,3,0)*VLOOKUP('Données projet'!$B$10,Paramètres!$A$1:$I$89,5,0)</f>
        <v>246.95423999999971</v>
      </c>
      <c r="AK75" s="14">
        <f t="shared" si="89"/>
        <v>59.933272631878836</v>
      </c>
      <c r="AL75" s="22">
        <f t="shared" si="58"/>
        <v>534.49575116718847</v>
      </c>
      <c r="AM75" s="62">
        <f t="shared" si="59"/>
        <v>801.82746540470953</v>
      </c>
      <c r="AN75" s="62">
        <f ca="1">AVERAGE(OFFSET($AM$3,0,0,'Données projet'!$E$10+1,1))-AVERAGE(OFFSET($H$3,0,0,'Données projet'!$E$10+1,1))</f>
        <v>376.47942810265266</v>
      </c>
      <c r="AO75" s="62">
        <f t="shared" si="90"/>
        <v>362.87951024071265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1.4202990601421723</v>
      </c>
      <c r="AV75" s="23">
        <f>EXP(-LN(2)/25)*AV74+(1-EXP(-LN(2)/25))/(LN(2)/25)*Calculateur!AQ75*Calculateur!AS75*VLOOKUP('Données projet'!$B$10,Paramètres!$A$1:$I$89,3,0)*0.475*44/12</f>
        <v>2.6660295810787913</v>
      </c>
      <c r="AW75" s="23">
        <f>EXP(-LN(2)/2)*AW74+(1-EXP(-LN(2)/2))/(LN(2)/2)*AQ75*AT75*VLOOKUP('Données projet'!$B$10,Paramètres!$A$1:$I$89,3,0)*0.475*44/12</f>
        <v>9.6651241788544464E-6</v>
      </c>
      <c r="AX75" s="23">
        <f t="shared" si="60"/>
        <v>4.0863383063451426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-4.9658410716801891E-14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317.71917965043735</v>
      </c>
      <c r="T76" s="62">
        <f t="shared" si="88"/>
        <v>444.40801165665744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1.8075549603138368</v>
      </c>
      <c r="AA76" s="23">
        <f>EXP(-LN(2)/25)*AA75+(1-EXP(-LN(2)/25))/(LN(2)/25)*Calculateur!V76*Calculateur!X76*VLOOKUP('Données projet'!$B$9,Paramètres!$A$1:$I$89,3,0)*0.475*44/12</f>
        <v>10.436145339297626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12.243700299611463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4.2</v>
      </c>
      <c r="AI76" s="14">
        <f>IF('Données projet'!$A$62&gt;35,AI75+AH76-AQ75,IF(A76&lt;'Données projet'!$A$62,$AF$205^A76,IF(A76='Données projet'!$A$62,'Données projet'!$B$62,AI75+AH76-AQ75)))</f>
        <v>314.59999999999962</v>
      </c>
      <c r="AJ76" s="14">
        <f>AI76*VLOOKUP('Données projet'!$B$10,Paramètres!$A$1:$I$89,3,0)*VLOOKUP('Données projet'!$B$10,Paramètres!$A$1:$I$89,5,0)</f>
        <v>250.29575999999969</v>
      </c>
      <c r="AK76" s="14">
        <f t="shared" si="89"/>
        <v>60.649269046250886</v>
      </c>
      <c r="AL76" s="22">
        <f t="shared" si="58"/>
        <v>541.56259225555311</v>
      </c>
      <c r="AM76" s="62">
        <f t="shared" si="59"/>
        <v>809.34537645347496</v>
      </c>
      <c r="AN76" s="62">
        <f ca="1">AVERAGE(OFFSET($AM$3,0,0,'Données projet'!$E$10+1,1))-AVERAGE(OFFSET($H$3,0,0,'Données projet'!$E$10+1,1))</f>
        <v>376.47942810265266</v>
      </c>
      <c r="AO76" s="62">
        <f t="shared" si="90"/>
        <v>362.87951024071265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1.3924478618696714</v>
      </c>
      <c r="AV76" s="23">
        <f>EXP(-LN(2)/25)*AV75+(1-EXP(-LN(2)/25))/(LN(2)/25)*Calculateur!AQ76*Calculateur!AS76*VLOOKUP('Données projet'!$B$10,Paramètres!$A$1:$I$89,3,0)*0.475*44/12</f>
        <v>2.5931268619837895</v>
      </c>
      <c r="AW76" s="23">
        <f>EXP(-LN(2)/2)*AW75+(1-EXP(-LN(2)/2))/(LN(2)/2)*AQ76*AT76*VLOOKUP('Données projet'!$B$10,Paramètres!$A$1:$I$89,3,0)*0.475*44/12</f>
        <v>6.834274847878041E-6</v>
      </c>
      <c r="AX76" s="23">
        <f t="shared" si="60"/>
        <v>3.9855815581283087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-4.9658410716801891E-14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317.71917965043735</v>
      </c>
      <c r="T77" s="62">
        <f t="shared" si="88"/>
        <v>444.40801165665744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1.7721099100417455</v>
      </c>
      <c r="AA77" s="23">
        <f>EXP(-LN(2)/25)*AA76+(1-EXP(-LN(2)/25))/(LN(2)/25)*Calculateur!V77*Calculateur!X77*VLOOKUP('Données projet'!$B$9,Paramètres!$A$1:$I$89,3,0)*0.475*44/12</f>
        <v>10.150768396181501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11.922878306223247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4.2</v>
      </c>
      <c r="AI77" s="14">
        <f>IF('Données projet'!$A$62&gt;35,AI76+AH77-AQ76,IF(A77&lt;'Données projet'!$A$62,$AF$205^A77,IF(A77='Données projet'!$A$62,'Données projet'!$B$62,AI76+AH77-AQ76)))</f>
        <v>318.79999999999961</v>
      </c>
      <c r="AJ77" s="14">
        <f>AI77*VLOOKUP('Données projet'!$B$10,Paramètres!$A$1:$I$89,3,0)*VLOOKUP('Données projet'!$B$10,Paramètres!$A$1:$I$89,5,0)</f>
        <v>253.63727999999969</v>
      </c>
      <c r="AK77" s="14">
        <f t="shared" si="89"/>
        <v>61.364153650447946</v>
      </c>
      <c r="AL77" s="22">
        <f t="shared" si="58"/>
        <v>548.62749694119634</v>
      </c>
      <c r="AM77" s="62">
        <f t="shared" si="59"/>
        <v>816.8535260441472</v>
      </c>
      <c r="AN77" s="62">
        <f ca="1">AVERAGE(OFFSET($AM$3,0,0,'Données projet'!$E$10+1,1))-AVERAGE(OFFSET($H$3,0,0,'Données projet'!$E$10+1,1))</f>
        <v>376.47942810265266</v>
      </c>
      <c r="AO77" s="62">
        <f t="shared" si="90"/>
        <v>362.87951024071265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1.3651428086077406</v>
      </c>
      <c r="AV77" s="23">
        <f>EXP(-LN(2)/25)*AV76+(1-EXP(-LN(2)/25))/(LN(2)/25)*Calculateur!AQ77*Calculateur!AS77*VLOOKUP('Données projet'!$B$10,Paramètres!$A$1:$I$89,3,0)*0.475*44/12</f>
        <v>2.5222176715762279</v>
      </c>
      <c r="AW77" s="23">
        <f>EXP(-LN(2)/2)*AW76+(1-EXP(-LN(2)/2))/(LN(2)/2)*AQ77*AT77*VLOOKUP('Données projet'!$B$10,Paramètres!$A$1:$I$89,3,0)*0.475*44/12</f>
        <v>4.8325620894272232E-6</v>
      </c>
      <c r="AX77" s="23">
        <f t="shared" si="60"/>
        <v>3.8873653127460579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-4.9658410716801891E-14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317.71917965043735</v>
      </c>
      <c r="T78" s="62">
        <f t="shared" si="88"/>
        <v>444.40801165665744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1.7373599155861439</v>
      </c>
      <c r="AA78" s="23">
        <f>EXP(-LN(2)/25)*AA77+(1-EXP(-LN(2)/25))/(LN(2)/25)*Calculateur!V78*Calculateur!X78*VLOOKUP('Données projet'!$B$9,Paramètres!$A$1:$I$89,3,0)*0.475*44/12</f>
        <v>9.8731951005822083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11.610555016168352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323</v>
      </c>
      <c r="AG78" s="13">
        <f>VLOOKUP(A78,'Données projet'!$A$61:$I$81,9,0)</f>
        <v>4.2</v>
      </c>
      <c r="AH78" s="13">
        <f t="array" ref="AH78">INDEX(AG:AG,MIN(IF(ISNUMBER(AG78:AG274),ROW(AG78:AG274),"")))</f>
        <v>4.2</v>
      </c>
      <c r="AI78" s="14">
        <f>IF('Données projet'!$A$62&gt;35,AI77+AH78-AQ77,IF(A78&lt;'Données projet'!$A$62,$AF$205^A78,IF(A78='Données projet'!$A$62,'Données projet'!$B$62,AI77+AH78-AQ77)))</f>
        <v>322.9999999999996</v>
      </c>
      <c r="AJ78" s="14">
        <f>AI78*VLOOKUP('Données projet'!$B$10,Paramètres!$A$1:$I$89,3,0)*VLOOKUP('Données projet'!$B$10,Paramètres!$A$1:$I$89,5,0)</f>
        <v>256.97879999999969</v>
      </c>
      <c r="AK78" s="14">
        <f t="shared" si="89"/>
        <v>62.077942785287192</v>
      </c>
      <c r="AL78" s="22">
        <f t="shared" si="58"/>
        <v>555.69049368437459</v>
      </c>
      <c r="AM78" s="62">
        <f t="shared" si="59"/>
        <v>824.35207838419933</v>
      </c>
      <c r="AN78" s="62">
        <f ca="1">AVERAGE(OFFSET($AM$3,0,0,'Données projet'!$E$10+1,1))-AVERAGE(OFFSET($H$3,0,0,'Données projet'!$E$10+1,1))</f>
        <v>376.47942810265266</v>
      </c>
      <c r="AO78" s="62">
        <f t="shared" si="90"/>
        <v>362.87951024071265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1.3383731907858383</v>
      </c>
      <c r="AV78" s="23">
        <f>EXP(-LN(2)/25)*AV77+(1-EXP(-LN(2)/25))/(LN(2)/25)*Calculateur!AQ78*Calculateur!AS78*VLOOKUP('Données projet'!$B$10,Paramètres!$A$1:$I$89,3,0)*0.475*44/12</f>
        <v>2.4532474967093134</v>
      </c>
      <c r="AW78" s="23">
        <f>EXP(-LN(2)/2)*AW77+(1-EXP(-LN(2)/2))/(LN(2)/2)*AQ78*AT78*VLOOKUP('Données projet'!$B$10,Paramètres!$A$1:$I$89,3,0)*0.475*44/12</f>
        <v>3.4171374239390205E-6</v>
      </c>
      <c r="AX78" s="23">
        <f t="shared" si="60"/>
        <v>3.7916241046325756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-4.9658410716801891E-14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317.71917965043735</v>
      </c>
      <c r="T79" s="62">
        <f t="shared" si="88"/>
        <v>444.40801165665744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1.7032913473264129</v>
      </c>
      <c r="AA79" s="23">
        <f>EXP(-LN(2)/25)*AA78+(1-EXP(-LN(2)/25))/(LN(2)/25)*Calculateur!V79*Calculateur!X79*VLOOKUP('Données projet'!$B$9,Paramètres!$A$1:$I$89,3,0)*0.475*44/12</f>
        <v>9.6032120613480227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11.306503408674436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314.59999999999962</v>
      </c>
      <c r="AJ79" s="14">
        <f>AI79*VLOOKUP('Données projet'!$B$10,Paramètres!$A$1:$I$89,3,0)*VLOOKUP('Données projet'!$B$10,Paramètres!$A$1:$I$89,5,0)</f>
        <v>250.29575999999969</v>
      </c>
      <c r="AK79" s="14">
        <f t="shared" si="89"/>
        <v>60.649269046250886</v>
      </c>
      <c r="AL79" s="22">
        <f t="shared" si="58"/>
        <v>541.56259225555311</v>
      </c>
      <c r="AM79" s="62">
        <f t="shared" si="59"/>
        <v>810.6521766364026</v>
      </c>
      <c r="AN79" s="62">
        <f ca="1">AVERAGE(OFFSET($AM$3,0,0,'Données projet'!$E$10+1,1))-AVERAGE(OFFSET($H$3,0,0,'Données projet'!$E$10+1,1))</f>
        <v>376.47942810265266</v>
      </c>
      <c r="AO79" s="62">
        <f t="shared" si="90"/>
        <v>362.87951024071265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1.3121285088415688</v>
      </c>
      <c r="AV79" s="23">
        <f>EXP(-LN(2)/25)*AV78+(1-EXP(-LN(2)/25))/(LN(2)/25)*Calculateur!AQ79*Calculateur!AS79*VLOOKUP('Données projet'!$B$10,Paramètres!$A$1:$I$89,3,0)*0.475*44/12</f>
        <v>2.3861633149011183</v>
      </c>
      <c r="AW79" s="23">
        <f>EXP(-LN(2)/2)*AW78+(1-EXP(-LN(2)/2))/(LN(2)/2)*AQ79*AT79*VLOOKUP('Données projet'!$B$10,Paramètres!$A$1:$I$89,3,0)*0.475*44/12</f>
        <v>2.4162810447136116E-6</v>
      </c>
      <c r="AX79" s="23">
        <f t="shared" si="60"/>
        <v>3.6982942400237317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-4.9658410716801891E-14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317.71917965043735</v>
      </c>
      <c r="T80" s="62">
        <f t="shared" si="88"/>
        <v>444.40801165665744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1.6698908429104804</v>
      </c>
      <c r="AA80" s="23">
        <f>EXP(-LN(2)/25)*AA79+(1-EXP(-LN(2)/25))/(LN(2)/25)*Calculateur!V80*Calculateur!X80*VLOOKUP('Données projet'!$B$9,Paramètres!$A$1:$I$89,3,0)*0.475*44/12</f>
        <v>9.3406117225194869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11.010502565429967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318.19999999999965</v>
      </c>
      <c r="AJ80" s="14">
        <f>AI80*VLOOKUP('Données projet'!$B$10,Paramètres!$A$1:$I$89,3,0)*VLOOKUP('Données projet'!$B$10,Paramètres!$A$1:$I$89,5,0)</f>
        <v>253.15991999999972</v>
      </c>
      <c r="AK80" s="14">
        <f t="shared" si="89"/>
        <v>61.262094724147147</v>
      </c>
      <c r="AL80" s="22">
        <f t="shared" si="58"/>
        <v>547.61834231122236</v>
      </c>
      <c r="AM80" s="62">
        <f t="shared" si="59"/>
        <v>817.12850153549471</v>
      </c>
      <c r="AN80" s="62">
        <f ca="1">AVERAGE(OFFSET($AM$3,0,0,'Données projet'!$E$10+1,1))-AVERAGE(OFFSET($H$3,0,0,'Données projet'!$E$10+1,1))</f>
        <v>376.47942810265266</v>
      </c>
      <c r="AO80" s="62">
        <f t="shared" si="90"/>
        <v>362.87951024071265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1.2863984691025512</v>
      </c>
      <c r="AV80" s="23">
        <f>EXP(-LN(2)/25)*AV79+(1-EXP(-LN(2)/25))/(LN(2)/25)*Calculateur!AQ80*Calculateur!AS80*VLOOKUP('Données projet'!$B$10,Paramètres!$A$1:$I$89,3,0)*0.475*44/12</f>
        <v>2.320913553572272</v>
      </c>
      <c r="AW80" s="23">
        <f>EXP(-LN(2)/2)*AW79+(1-EXP(-LN(2)/2))/(LN(2)/2)*AQ80*AT80*VLOOKUP('Données projet'!$B$10,Paramètres!$A$1:$I$89,3,0)*0.475*44/12</f>
        <v>1.7085687119695102E-6</v>
      </c>
      <c r="AX80" s="23">
        <f t="shared" si="60"/>
        <v>3.607313731243535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-4.9658410716801891E-14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317.71917965043735</v>
      </c>
      <c r="T81" s="62">
        <f t="shared" si="88"/>
        <v>444.40801165665744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1.6371453020138482</v>
      </c>
      <c r="AA81" s="23">
        <f>EXP(-LN(2)/25)*AA80+(1-EXP(-LN(2)/25))/(LN(2)/25)*Calculateur!V81*Calculateur!X81*VLOOKUP('Données projet'!$B$9,Paramètres!$A$1:$I$89,3,0)*0.475*44/12</f>
        <v>9.0851922037657697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10.722337505779619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321.79999999999967</v>
      </c>
      <c r="AJ81" s="14">
        <f>AI81*VLOOKUP('Données projet'!$B$10,Paramètres!$A$1:$I$89,3,0)*VLOOKUP('Données projet'!$B$10,Paramètres!$A$1:$I$89,5,0)</f>
        <v>256.02407999999974</v>
      </c>
      <c r="AK81" s="14">
        <f t="shared" si="89"/>
        <v>61.874113880213791</v>
      </c>
      <c r="AL81" s="22">
        <f t="shared" si="58"/>
        <v>553.67268767470523</v>
      </c>
      <c r="AM81" s="62">
        <f t="shared" si="59"/>
        <v>823.59612570913146</v>
      </c>
      <c r="AN81" s="62">
        <f ca="1">AVERAGE(OFFSET($AM$3,0,0,'Données projet'!$E$10+1,1))-AVERAGE(OFFSET($H$3,0,0,'Données projet'!$E$10+1,1))</f>
        <v>376.47942810265266</v>
      </c>
      <c r="AO81" s="62">
        <f t="shared" si="90"/>
        <v>362.87951024071265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1.261172979749041</v>
      </c>
      <c r="AV81" s="23">
        <f>EXP(-LN(2)/25)*AV80+(1-EXP(-LN(2)/25))/(LN(2)/25)*Calculateur!AQ81*Calculateur!AS81*VLOOKUP('Données projet'!$B$10,Paramètres!$A$1:$I$89,3,0)*0.475*44/12</f>
        <v>2.257448050398299</v>
      </c>
      <c r="AW81" s="23">
        <f>EXP(-LN(2)/2)*AW80+(1-EXP(-LN(2)/2))/(LN(2)/2)*AQ81*AT81*VLOOKUP('Données projet'!$B$10,Paramètres!$A$1:$I$89,3,0)*0.475*44/12</f>
        <v>1.2081405223568058E-6</v>
      </c>
      <c r="AX81" s="23">
        <f t="shared" si="60"/>
        <v>3.5186222382878625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-4.9658410716801891E-14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317.71917965043735</v>
      </c>
      <c r="T82" s="62">
        <f t="shared" si="88"/>
        <v>444.40801165665744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1.6050418812013914</v>
      </c>
      <c r="AA82" s="23">
        <f>EXP(-LN(2)/25)*AA81+(1-EXP(-LN(2)/25))/(LN(2)/25)*Calculateur!V82*Calculateur!X82*VLOOKUP('Données projet'!$B$9,Paramètres!$A$1:$I$89,3,0)*0.475*44/12</f>
        <v>8.8367571451843006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10.441799026385691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325.39999999999969</v>
      </c>
      <c r="AJ82" s="14">
        <f>AI82*VLOOKUP('Données projet'!$B$10,Paramètres!$A$1:$I$89,3,0)*VLOOKUP('Données projet'!$B$10,Paramètres!$A$1:$I$89,5,0)</f>
        <v>258.88823999999977</v>
      </c>
      <c r="AK82" s="14">
        <f t="shared" si="89"/>
        <v>62.485336581168717</v>
      </c>
      <c r="AL82" s="22">
        <f t="shared" si="58"/>
        <v>559.72564587886836</v>
      </c>
      <c r="AM82" s="62">
        <f t="shared" si="59"/>
        <v>830.05519326004537</v>
      </c>
      <c r="AN82" s="62">
        <f ca="1">AVERAGE(OFFSET($AM$3,0,0,'Données projet'!$E$10+1,1))-AVERAGE(OFFSET($H$3,0,0,'Données projet'!$E$10+1,1))</f>
        <v>376.47942810265266</v>
      </c>
      <c r="AO82" s="62">
        <f t="shared" si="90"/>
        <v>362.87951024071265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1.2364421468557238</v>
      </c>
      <c r="AV82" s="23">
        <f>EXP(-LN(2)/25)*AV81+(1-EXP(-LN(2)/25))/(LN(2)/25)*Calculateur!AQ82*Calculateur!AS82*VLOOKUP('Données projet'!$B$10,Paramètres!$A$1:$I$89,3,0)*0.475*44/12</f>
        <v>2.1957180147461242</v>
      </c>
      <c r="AW82" s="23">
        <f>EXP(-LN(2)/2)*AW81+(1-EXP(-LN(2)/2))/(LN(2)/2)*AQ82*AT82*VLOOKUP('Données projet'!$B$10,Paramètres!$A$1:$I$89,3,0)*0.475*44/12</f>
        <v>8.5428435598475512E-7</v>
      </c>
      <c r="AX82" s="23">
        <f t="shared" si="60"/>
        <v>3.4321610158862041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-4.9658410716801891E-14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317.71917965043735</v>
      </c>
      <c r="T83" s="62">
        <f t="shared" si="88"/>
        <v>444.40801165665744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1.5735679888899134</v>
      </c>
      <c r="AA83" s="23">
        <f>EXP(-LN(2)/25)*AA82+(1-EXP(-LN(2)/25))/(LN(2)/25)*Calculateur!V83*Calculateur!X83*VLOOKUP('Données projet'!$B$9,Paramètres!$A$1:$I$89,3,0)*0.475*44/12</f>
        <v>8.5951155563443749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10.168683545234288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329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328.99999999999972</v>
      </c>
      <c r="AJ83" s="14">
        <f>AI83*VLOOKUP('Données projet'!$B$10,Paramètres!$A$1:$I$89,3,0)*VLOOKUP('Données projet'!$B$10,Paramètres!$A$1:$I$89,5,0)</f>
        <v>261.7523999999998</v>
      </c>
      <c r="AK83" s="14">
        <f t="shared" si="89"/>
        <v>63.095772658160975</v>
      </c>
      <c r="AL83" s="22">
        <f t="shared" si="58"/>
        <v>565.7772340462966</v>
      </c>
      <c r="AM83" s="62">
        <f t="shared" si="59"/>
        <v>836.50584568498266</v>
      </c>
      <c r="AN83" s="62">
        <f ca="1">AVERAGE(OFFSET($AM$3,0,0,'Données projet'!$E$10+1,1))-AVERAGE(OFFSET($H$3,0,0,'Données projet'!$E$10+1,1))</f>
        <v>376.47942810265266</v>
      </c>
      <c r="AO83" s="62">
        <f t="shared" si="90"/>
        <v>362.87951024071265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1.212196270511126</v>
      </c>
      <c r="AV83" s="23">
        <f>EXP(-LN(2)/25)*AV82+(1-EXP(-LN(2)/25))/(LN(2)/25)*Calculateur!AQ83*Calculateur!AS83*VLOOKUP('Données projet'!$B$10,Paramètres!$A$1:$I$89,3,0)*0.475*44/12</f>
        <v>2.1356759901650992</v>
      </c>
      <c r="AW83" s="23">
        <f>EXP(-LN(2)/2)*AW82+(1-EXP(-LN(2)/2))/(LN(2)/2)*AQ83*AT83*VLOOKUP('Données projet'!$B$10,Paramètres!$A$1:$I$89,3,0)*0.475*44/12</f>
        <v>6.040702611784029E-7</v>
      </c>
      <c r="AX83" s="23">
        <f t="shared" si="60"/>
        <v>3.3478728647464866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-4.9658410716801891E-14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317.71917965043735</v>
      </c>
      <c r="T84" s="62">
        <f t="shared" si="88"/>
        <v>444.40801165665744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1.5427112804094849</v>
      </c>
      <c r="AA84" s="23">
        <f>EXP(-LN(2)/25)*AA83+(1-EXP(-LN(2)/25))/(LN(2)/25)*Calculateur!V84*Calculateur!X84*VLOOKUP('Données projet'!$B$9,Paramètres!$A$1:$I$89,3,0)*0.475*44/12</f>
        <v>8.3600816694586548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9.9027929498681395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317.99999999999972</v>
      </c>
      <c r="AJ84" s="14">
        <f>AI84*VLOOKUP('Données projet'!$B$10,Paramètres!$A$1:$I$89,3,0)*VLOOKUP('Données projet'!$B$10,Paramètres!$A$1:$I$89,5,0)</f>
        <v>253.0007999999998</v>
      </c>
      <c r="AK84" s="14">
        <f t="shared" si="89"/>
        <v>61.228070105968683</v>
      </c>
      <c r="AL84" s="22">
        <f t="shared" si="58"/>
        <v>547.28194876789507</v>
      </c>
      <c r="AM84" s="62">
        <f t="shared" si="59"/>
        <v>818.40270179139657</v>
      </c>
      <c r="AN84" s="62">
        <f ca="1">AVERAGE(OFFSET($AM$3,0,0,'Données projet'!$E$10+1,1))-AVERAGE(OFFSET($H$3,0,0,'Données projet'!$E$10+1,1))</f>
        <v>376.47942810265266</v>
      </c>
      <c r="AO84" s="62">
        <f t="shared" si="90"/>
        <v>362.87951024071265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1.1884258410131214</v>
      </c>
      <c r="AV84" s="23">
        <f>EXP(-LN(2)/25)*AV83+(1-EXP(-LN(2)/25))/(LN(2)/25)*Calculateur!AQ84*Calculateur!AS84*VLOOKUP('Données projet'!$B$10,Paramètres!$A$1:$I$89,3,0)*0.475*44/12</f>
        <v>2.0772758179037156</v>
      </c>
      <c r="AW84" s="23">
        <f>EXP(-LN(2)/2)*AW83+(1-EXP(-LN(2)/2))/(LN(2)/2)*AQ84*AT84*VLOOKUP('Données projet'!$B$10,Paramètres!$A$1:$I$89,3,0)*0.475*44/12</f>
        <v>4.2714217799237756E-7</v>
      </c>
      <c r="AX84" s="23">
        <f t="shared" si="60"/>
        <v>3.2657020860590151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-4.9658410716801891E-14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317.71917965043735</v>
      </c>
      <c r="T85" s="62">
        <f t="shared" si="88"/>
        <v>444.40801165665744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1.5124596531616237</v>
      </c>
      <c r="AA85" s="23">
        <f>EXP(-LN(2)/25)*AA84+(1-EXP(-LN(2)/25))/(LN(2)/25)*Calculateur!V85*Calculateur!X85*VLOOKUP('Données projet'!$B$9,Paramètres!$A$1:$I$89,3,0)*0.475*44/12</f>
        <v>8.1314747965697194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9.6439344497313435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317.99999999999972</v>
      </c>
      <c r="AJ85" s="14">
        <f>AI85*VLOOKUP('Données projet'!$B$10,Paramètres!$A$1:$I$89,3,0)*VLOOKUP('Données projet'!$B$10,Paramètres!$A$1:$I$89,5,0)</f>
        <v>253.0007999999998</v>
      </c>
      <c r="AK85" s="14">
        <f t="shared" si="89"/>
        <v>61.228070105968683</v>
      </c>
      <c r="AL85" s="22">
        <f t="shared" si="58"/>
        <v>547.28194876789507</v>
      </c>
      <c r="AM85" s="62">
        <f t="shared" si="59"/>
        <v>818.78804039988211</v>
      </c>
      <c r="AN85" s="62">
        <f ca="1">AVERAGE(OFFSET($AM$3,0,0,'Données projet'!$E$10+1,1))-AVERAGE(OFFSET($H$3,0,0,'Données projet'!$E$10+1,1))</f>
        <v>376.47942810265266</v>
      </c>
      <c r="AO85" s="62">
        <f t="shared" si="90"/>
        <v>362.87951024071265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1.1651215351390423</v>
      </c>
      <c r="AV85" s="23">
        <f>EXP(-LN(2)/25)*AV84+(1-EXP(-LN(2)/25))/(LN(2)/25)*Calculateur!AQ85*Calculateur!AS85*VLOOKUP('Données projet'!$B$10,Paramètres!$A$1:$I$89,3,0)*0.475*44/12</f>
        <v>2.0204726014239509</v>
      </c>
      <c r="AW85" s="23">
        <f>EXP(-LN(2)/2)*AW84+(1-EXP(-LN(2)/2))/(LN(2)/2)*AQ85*AT85*VLOOKUP('Données projet'!$B$10,Paramètres!$A$1:$I$89,3,0)*0.475*44/12</f>
        <v>3.0203513058920145E-7</v>
      </c>
      <c r="AX85" s="23">
        <f t="shared" si="60"/>
        <v>3.1855944385981236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-4.9658410716801891E-14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317.71917965043735</v>
      </c>
      <c r="T86" s="62">
        <f t="shared" si="88"/>
        <v>444.40801165665744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1.4828012418724223</v>
      </c>
      <c r="AA86" s="23">
        <f>EXP(-LN(2)/25)*AA85+(1-EXP(-LN(2)/25))/(LN(2)/25)*Calculateur!V86*Calculateur!X86*VLOOKUP('Données projet'!$B$9,Paramètres!$A$1:$I$89,3,0)*0.475*44/12</f>
        <v>7.9091191906418459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9.3919204325142687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317.99999999999972</v>
      </c>
      <c r="AJ86" s="14">
        <f>AI86*VLOOKUP('Données projet'!$B$10,Paramètres!$A$1:$I$89,3,0)*VLOOKUP('Données projet'!$B$10,Paramètres!$A$1:$I$89,5,0)</f>
        <v>253.0007999999998</v>
      </c>
      <c r="AK86" s="14">
        <f t="shared" si="89"/>
        <v>61.228070105968683</v>
      </c>
      <c r="AL86" s="22">
        <f t="shared" si="58"/>
        <v>547.28194876789507</v>
      </c>
      <c r="AM86" s="62">
        <f t="shared" si="59"/>
        <v>819.16669424499855</v>
      </c>
      <c r="AN86" s="62">
        <f ca="1">AVERAGE(OFFSET($AM$3,0,0,'Données projet'!$E$10+1,1))-AVERAGE(OFFSET($H$3,0,0,'Données projet'!$E$10+1,1))</f>
        <v>376.47942810265266</v>
      </c>
      <c r="AO86" s="62">
        <f t="shared" si="90"/>
        <v>362.87951024071265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1.1422742124889309</v>
      </c>
      <c r="AV86" s="23">
        <f>EXP(-LN(2)/25)*AV85+(1-EXP(-LN(2)/25))/(LN(2)/25)*Calculateur!AQ86*Calculateur!AS86*VLOOKUP('Données projet'!$B$10,Paramètres!$A$1:$I$89,3,0)*0.475*44/12</f>
        <v>1.9652226718859767</v>
      </c>
      <c r="AW86" s="23">
        <f>EXP(-LN(2)/2)*AW85+(1-EXP(-LN(2)/2))/(LN(2)/2)*AQ86*AT86*VLOOKUP('Données projet'!$B$10,Paramètres!$A$1:$I$89,3,0)*0.475*44/12</f>
        <v>2.1357108899618878E-7</v>
      </c>
      <c r="AX86" s="23">
        <f t="shared" si="60"/>
        <v>3.1074970979459966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-4.9658410716801891E-14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317.71917965043735</v>
      </c>
      <c r="T87" s="62">
        <f t="shared" si="88"/>
        <v>444.40801165665744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1.4537244139387577</v>
      </c>
      <c r="AA87" s="23">
        <f>EXP(-LN(2)/25)*AA86+(1-EXP(-LN(2)/25))/(LN(2)/25)*Calculateur!V87*Calculateur!X87*VLOOKUP('Données projet'!$B$9,Paramètres!$A$1:$I$89,3,0)*0.475*44/12</f>
        <v>7.6928439104512432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9.1465683243900013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317.99999999999972</v>
      </c>
      <c r="AJ87" s="14">
        <f>AI87*VLOOKUP('Données projet'!$B$10,Paramètres!$A$1:$I$89,3,0)*VLOOKUP('Données projet'!$B$10,Paramètres!$A$1:$I$89,5,0)</f>
        <v>253.0007999999998</v>
      </c>
      <c r="AK87" s="14">
        <f t="shared" si="89"/>
        <v>61.228070105968683</v>
      </c>
      <c r="AL87" s="22">
        <f t="shared" si="58"/>
        <v>547.28194876789507</v>
      </c>
      <c r="AM87" s="62">
        <f t="shared" si="59"/>
        <v>819.53877929244538</v>
      </c>
      <c r="AN87" s="62">
        <f ca="1">AVERAGE(OFFSET($AM$3,0,0,'Données projet'!$E$10+1,1))-AVERAGE(OFFSET($H$3,0,0,'Données projet'!$E$10+1,1))</f>
        <v>376.47942810265266</v>
      </c>
      <c r="AO87" s="62">
        <f t="shared" si="90"/>
        <v>362.87951024071265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1.1198749119004974</v>
      </c>
      <c r="AV87" s="23">
        <f>EXP(-LN(2)/25)*AV86+(1-EXP(-LN(2)/25))/(LN(2)/25)*Calculateur!AQ87*Calculateur!AS87*VLOOKUP('Données projet'!$B$10,Paramètres!$A$1:$I$89,3,0)*0.475*44/12</f>
        <v>1.911483554576686</v>
      </c>
      <c r="AW87" s="23">
        <f>EXP(-LN(2)/2)*AW86+(1-EXP(-LN(2)/2))/(LN(2)/2)*AQ87*AT87*VLOOKUP('Données projet'!$B$10,Paramètres!$A$1:$I$89,3,0)*0.475*44/12</f>
        <v>1.5101756529460073E-7</v>
      </c>
      <c r="AX87" s="23">
        <f t="shared" si="60"/>
        <v>3.0313586174947482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-4.9658410716801891E-14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317.71917965043735</v>
      </c>
      <c r="T88" s="62">
        <f t="shared" si="88"/>
        <v>444.40801165665744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1.4252177648657585</v>
      </c>
      <c r="AA88" s="23">
        <f>EXP(-LN(2)/25)*AA87+(1-EXP(-LN(2)/25))/(LN(2)/25)*Calculateur!V88*Calculateur!X88*VLOOKUP('Données projet'!$B$9,Paramètres!$A$1:$I$89,3,0)*0.475*44/12</f>
        <v>7.4824826891708751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8.9077004540366342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317.99999999999972</v>
      </c>
      <c r="AJ88" s="14">
        <f>AI88*VLOOKUP('Données projet'!$B$10,Paramètres!$A$1:$I$89,3,0)*VLOOKUP('Données projet'!$B$10,Paramètres!$A$1:$I$89,5,0)</f>
        <v>253.0007999999998</v>
      </c>
      <c r="AK88" s="14">
        <f t="shared" si="89"/>
        <v>61.228070105968683</v>
      </c>
      <c r="AL88" s="22">
        <f t="shared" si="58"/>
        <v>547.28194876789507</v>
      </c>
      <c r="AM88" s="62">
        <f t="shared" si="59"/>
        <v>819.90440949617664</v>
      </c>
      <c r="AN88" s="62">
        <f ca="1">AVERAGE(OFFSET($AM$3,0,0,'Données projet'!$E$10+1,1))-AVERAGE(OFFSET($H$3,0,0,'Données projet'!$E$10+1,1))</f>
        <v>376.47942810265266</v>
      </c>
      <c r="AO88" s="62">
        <f t="shared" si="90"/>
        <v>362.87951024071265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1.0979148479343788</v>
      </c>
      <c r="AV88" s="23">
        <f>EXP(-LN(2)/25)*AV87+(1-EXP(-LN(2)/25))/(LN(2)/25)*Calculateur!AQ88*Calculateur!AS88*VLOOKUP('Données projet'!$B$10,Paramètres!$A$1:$I$89,3,0)*0.475*44/12</f>
        <v>1.859213936256235</v>
      </c>
      <c r="AW88" s="23">
        <f>EXP(-LN(2)/2)*AW87+(1-EXP(-LN(2)/2))/(LN(2)/2)*AQ88*AT88*VLOOKUP('Données projet'!$B$10,Paramètres!$A$1:$I$89,3,0)*0.475*44/12</f>
        <v>1.0678554449809439E-7</v>
      </c>
      <c r="AX88" s="23">
        <f t="shared" si="60"/>
        <v>2.9571288909761582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-4.9658410716801891E-14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317.71917965043735</v>
      </c>
      <c r="T89" s="62">
        <f t="shared" si="88"/>
        <v>444.40801165665744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1.3972701137937416</v>
      </c>
      <c r="AA89" s="23">
        <f>EXP(-LN(2)/25)*AA88+(1-EXP(-LN(2)/25))/(LN(2)/25)*Calculateur!V89*Calculateur!X89*VLOOKUP('Données projet'!$B$9,Paramètres!$A$1:$I$89,3,0)*0.475*44/12</f>
        <v>7.2778738065488344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8.6751439203425758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317.99999999999972</v>
      </c>
      <c r="AJ89" s="14">
        <f>AI89*VLOOKUP('Données projet'!$B$10,Paramètres!$A$1:$I$89,3,0)*VLOOKUP('Données projet'!$B$10,Paramètres!$A$1:$I$89,5,0)</f>
        <v>253.0007999999998</v>
      </c>
      <c r="AK89" s="14">
        <f t="shared" si="89"/>
        <v>61.228070105968683</v>
      </c>
      <c r="AL89" s="22">
        <f t="shared" si="58"/>
        <v>547.28194876789507</v>
      </c>
      <c r="AM89" s="62">
        <f t="shared" si="59"/>
        <v>820.26369683329972</v>
      </c>
      <c r="AN89" s="62">
        <f ca="1">AVERAGE(OFFSET($AM$3,0,0,'Données projet'!$E$10+1,1))-AVERAGE(OFFSET($H$3,0,0,'Données projet'!$E$10+1,1))</f>
        <v>376.47942810265266</v>
      </c>
      <c r="AO89" s="62">
        <f t="shared" si="90"/>
        <v>362.87951024071265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1.0763854074283192</v>
      </c>
      <c r="AV89" s="23">
        <f>EXP(-LN(2)/25)*AV88+(1-EXP(-LN(2)/25))/(LN(2)/25)*Calculateur!AQ89*Calculateur!AS89*VLOOKUP('Données projet'!$B$10,Paramètres!$A$1:$I$89,3,0)*0.475*44/12</f>
        <v>1.8083736333974967</v>
      </c>
      <c r="AW89" s="23">
        <f>EXP(-LN(2)/2)*AW88+(1-EXP(-LN(2)/2))/(LN(2)/2)*AQ89*AT89*VLOOKUP('Données projet'!$B$10,Paramètres!$A$1:$I$89,3,0)*0.475*44/12</f>
        <v>7.5508782647300363E-8</v>
      </c>
      <c r="AX89" s="23">
        <f t="shared" si="60"/>
        <v>2.8847591163345987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-4.9658410716801891E-14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317.71917965043735</v>
      </c>
      <c r="T90" s="62">
        <f t="shared" si="88"/>
        <v>444.40801165665744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1.369870499112863</v>
      </c>
      <c r="AA90" s="23">
        <f>EXP(-LN(2)/25)*AA89+(1-EXP(-LN(2)/25))/(LN(2)/25)*Calculateur!V90*Calculateur!X90*VLOOKUP('Données projet'!$B$9,Paramètres!$A$1:$I$89,3,0)*0.475*44/12</f>
        <v>7.0788599645820067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8.4487304636948704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317.99999999999972</v>
      </c>
      <c r="AJ90" s="14">
        <f>AI90*VLOOKUP('Données projet'!$B$10,Paramètres!$A$1:$I$89,3,0)*VLOOKUP('Données projet'!$B$10,Paramètres!$A$1:$I$89,5,0)</f>
        <v>253.0007999999998</v>
      </c>
      <c r="AK90" s="14">
        <f t="shared" si="89"/>
        <v>61.228070105968683</v>
      </c>
      <c r="AL90" s="22">
        <f t="shared" si="58"/>
        <v>547.28194876789507</v>
      </c>
      <c r="AM90" s="62">
        <f t="shared" si="59"/>
        <v>820.61675133836991</v>
      </c>
      <c r="AN90" s="62">
        <f ca="1">AVERAGE(OFFSET($AM$3,0,0,'Données projet'!$E$10+1,1))-AVERAGE(OFFSET($H$3,0,0,'Données projet'!$E$10+1,1))</f>
        <v>376.47942810265266</v>
      </c>
      <c r="AO90" s="62">
        <f t="shared" si="90"/>
        <v>362.87951024071265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1.0552781461189213</v>
      </c>
      <c r="AV90" s="23">
        <f>EXP(-LN(2)/25)*AV89+(1-EXP(-LN(2)/25))/(LN(2)/25)*Calculateur!AQ90*Calculateur!AS90*VLOOKUP('Données projet'!$B$10,Paramètres!$A$1:$I$89,3,0)*0.475*44/12</f>
        <v>1.758923561294006</v>
      </c>
      <c r="AW90" s="23">
        <f>EXP(-LN(2)/2)*AW89+(1-EXP(-LN(2)/2))/(LN(2)/2)*AQ90*AT90*VLOOKUP('Données projet'!$B$10,Paramètres!$A$1:$I$89,3,0)*0.475*44/12</f>
        <v>5.3392772249047195E-8</v>
      </c>
      <c r="AX90" s="23">
        <f t="shared" si="60"/>
        <v>2.8142017608056995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-4.9658410716801891E-14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317.71917965043735</v>
      </c>
      <c r="T91" s="62">
        <f t="shared" si="88"/>
        <v>444.40801165665744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1.3430081741637616</v>
      </c>
      <c r="AA91" s="23">
        <f>EXP(-LN(2)/25)*AA90+(1-EXP(-LN(2)/25))/(LN(2)/25)*Calculateur!V91*Calculateur!X91*VLOOKUP('Données projet'!$B$9,Paramètres!$A$1:$I$89,3,0)*0.475*44/12</f>
        <v>6.8852881665894454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8.2282963407532073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317.99999999999972</v>
      </c>
      <c r="AJ91" s="14">
        <f>AI91*VLOOKUP('Données projet'!$B$10,Paramètres!$A$1:$I$89,3,0)*VLOOKUP('Données projet'!$B$10,Paramètres!$A$1:$I$89,5,0)</f>
        <v>253.0007999999998</v>
      </c>
      <c r="AK91" s="14">
        <f t="shared" si="89"/>
        <v>61.228070105968683</v>
      </c>
      <c r="AL91" s="22">
        <f t="shared" si="58"/>
        <v>547.28194876789507</v>
      </c>
      <c r="AM91" s="62">
        <f t="shared" si="59"/>
        <v>820.96368113708877</v>
      </c>
      <c r="AN91" s="62">
        <f ca="1">AVERAGE(OFFSET($AM$3,0,0,'Données projet'!$E$10+1,1))-AVERAGE(OFFSET($H$3,0,0,'Données projet'!$E$10+1,1))</f>
        <v>376.47942810265266</v>
      </c>
      <c r="AO91" s="62">
        <f t="shared" si="90"/>
        <v>362.87951024071265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1.0345847853296426</v>
      </c>
      <c r="AV91" s="23">
        <f>EXP(-LN(2)/25)*AV90+(1-EXP(-LN(2)/25))/(LN(2)/25)*Calculateur!AQ91*Calculateur!AS91*VLOOKUP('Données projet'!$B$10,Paramètres!$A$1:$I$89,3,0)*0.475*44/12</f>
        <v>1.7108257040126513</v>
      </c>
      <c r="AW91" s="23">
        <f>EXP(-LN(2)/2)*AW90+(1-EXP(-LN(2)/2))/(LN(2)/2)*AQ91*AT91*VLOOKUP('Données projet'!$B$10,Paramètres!$A$1:$I$89,3,0)*0.475*44/12</f>
        <v>3.7754391323650181E-8</v>
      </c>
      <c r="AX91" s="23">
        <f t="shared" si="60"/>
        <v>2.7454105270966851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-4.9658410716801891E-14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317.71917965043735</v>
      </c>
      <c r="T92" s="62">
        <f t="shared" si="88"/>
        <v>444.40801165665744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1.3166726030225118</v>
      </c>
      <c r="AA92" s="23">
        <f>EXP(-LN(2)/25)*AA91+(1-EXP(-LN(2)/25))/(LN(2)/25)*Calculateur!V92*Calculateur!X92*VLOOKUP('Données projet'!$B$9,Paramètres!$A$1:$I$89,3,0)*0.475*44/12</f>
        <v>6.697009599592489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8.0136822026150014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317.99999999999972</v>
      </c>
      <c r="AJ92" s="14">
        <f>AI92*VLOOKUP('Données projet'!$B$10,Paramètres!$A$1:$I$89,3,0)*VLOOKUP('Données projet'!$B$10,Paramètres!$A$1:$I$89,5,0)</f>
        <v>253.0007999999998</v>
      </c>
      <c r="AK92" s="14">
        <f t="shared" si="89"/>
        <v>61.228070105968683</v>
      </c>
      <c r="AL92" s="22">
        <f t="shared" si="58"/>
        <v>547.28194876789507</v>
      </c>
      <c r="AM92" s="62">
        <f t="shared" si="59"/>
        <v>821.30459247941872</v>
      </c>
      <c r="AN92" s="62">
        <f ca="1">AVERAGE(OFFSET($AM$3,0,0,'Données projet'!$E$10+1,1))-AVERAGE(OFFSET($H$3,0,0,'Données projet'!$E$10+1,1))</f>
        <v>376.47942810265266</v>
      </c>
      <c r="AO92" s="62">
        <f t="shared" si="90"/>
        <v>362.87951024071265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1.0142972087237379</v>
      </c>
      <c r="AV92" s="23">
        <f>EXP(-LN(2)/25)*AV91+(1-EXP(-LN(2)/25))/(LN(2)/25)*Calculateur!AQ92*Calculateur!AS92*VLOOKUP('Données projet'!$B$10,Paramètres!$A$1:$I$89,3,0)*0.475*44/12</f>
        <v>1.6640430851680117</v>
      </c>
      <c r="AW92" s="23">
        <f>EXP(-LN(2)/2)*AW91+(1-EXP(-LN(2)/2))/(LN(2)/2)*AQ92*AT92*VLOOKUP('Données projet'!$B$10,Paramètres!$A$1:$I$89,3,0)*0.475*44/12</f>
        <v>2.6696386124523598E-8</v>
      </c>
      <c r="AX92" s="23">
        <f t="shared" si="60"/>
        <v>2.6783403205881355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-4.9658410716801891E-14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317.71917965043735</v>
      </c>
      <c r="T93" s="62">
        <f t="shared" si="88"/>
        <v>444.40801165665744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1.2908534563682295</v>
      </c>
      <c r="AA93" s="23">
        <f>EXP(-LN(2)/25)*AA92+(1-EXP(-LN(2)/25))/(LN(2)/25)*Calculateur!V93*Calculateur!X93*VLOOKUP('Données projet'!$B$9,Paramètres!$A$1:$I$89,3,0)*0.475*44/12</f>
        <v>6.5138795199112041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7.8047329762794337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317.99999999999972</v>
      </c>
      <c r="AJ93" s="14">
        <f>AI93*VLOOKUP('Données projet'!$B$10,Paramètres!$A$1:$I$89,3,0)*VLOOKUP('Données projet'!$B$10,Paramètres!$A$1:$I$89,5,0)</f>
        <v>253.0007999999998</v>
      </c>
      <c r="AK93" s="14">
        <f t="shared" si="89"/>
        <v>61.228070105968683</v>
      </c>
      <c r="AL93" s="22">
        <f t="shared" si="58"/>
        <v>547.28194876789507</v>
      </c>
      <c r="AM93" s="62">
        <f t="shared" si="59"/>
        <v>821.63958977212269</v>
      </c>
      <c r="AN93" s="62">
        <f ca="1">AVERAGE(OFFSET($AM$3,0,0,'Données projet'!$E$10+1,1))-AVERAGE(OFFSET($H$3,0,0,'Données projet'!$E$10+1,1))</f>
        <v>376.47942810265266</v>
      </c>
      <c r="AO93" s="62">
        <f t="shared" si="90"/>
        <v>362.87951024071265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0.99440745912087503</v>
      </c>
      <c r="AV93" s="23">
        <f>EXP(-LN(2)/25)*AV92+(1-EXP(-LN(2)/25))/(LN(2)/25)*Calculateur!AQ93*Calculateur!AS93*VLOOKUP('Données projet'!$B$10,Paramètres!$A$1:$I$89,3,0)*0.475*44/12</f>
        <v>1.6185397394958698</v>
      </c>
      <c r="AW93" s="23">
        <f>EXP(-LN(2)/2)*AW92+(1-EXP(-LN(2)/2))/(LN(2)/2)*AQ93*AT93*VLOOKUP('Données projet'!$B$10,Paramètres!$A$1:$I$89,3,0)*0.475*44/12</f>
        <v>1.8877195661825091E-8</v>
      </c>
      <c r="AX93" s="23">
        <f t="shared" si="60"/>
        <v>2.6129472174939408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-4.9658410716801891E-14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317.71917965043735</v>
      </c>
      <c r="T94" s="62">
        <f t="shared" si="88"/>
        <v>444.40801165665744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1.2655406074317133</v>
      </c>
      <c r="AA94" s="23">
        <f>EXP(-LN(2)/25)*AA93+(1-EXP(-LN(2)/25))/(LN(2)/25)*Calculateur!V94*Calculateur!X94*VLOOKUP('Données projet'!$B$9,Paramètres!$A$1:$I$89,3,0)*0.475*44/12</f>
        <v>6.3357571418891956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7.6012977493209091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317.99999999999972</v>
      </c>
      <c r="AJ94" s="14">
        <f>AI94*VLOOKUP('Données projet'!$B$10,Paramètres!$A$1:$I$89,3,0)*VLOOKUP('Données projet'!$B$10,Paramètres!$A$1:$I$89,5,0)</f>
        <v>253.0007999999998</v>
      </c>
      <c r="AK94" s="14">
        <f t="shared" si="89"/>
        <v>61.228070105968683</v>
      </c>
      <c r="AL94" s="22">
        <f t="shared" si="58"/>
        <v>547.28194876789507</v>
      </c>
      <c r="AM94" s="62">
        <f t="shared" si="59"/>
        <v>821.96877561074007</v>
      </c>
      <c r="AN94" s="62">
        <f ca="1">AVERAGE(OFFSET($AM$3,0,0,'Données projet'!$E$10+1,1))-AVERAGE(OFFSET($H$3,0,0,'Données projet'!$E$10+1,1))</f>
        <v>376.47942810265266</v>
      </c>
      <c r="AO94" s="62">
        <f t="shared" si="90"/>
        <v>362.87951024071265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0.97490773537617503</v>
      </c>
      <c r="AV94" s="23">
        <f>EXP(-LN(2)/25)*AV93+(1-EXP(-LN(2)/25))/(LN(2)/25)*Calculateur!AQ94*Calculateur!AS94*VLOOKUP('Données projet'!$B$10,Paramètres!$A$1:$I$89,3,0)*0.475*44/12</f>
        <v>1.5742806852040496</v>
      </c>
      <c r="AW94" s="23">
        <f>EXP(-LN(2)/2)*AW93+(1-EXP(-LN(2)/2))/(LN(2)/2)*AQ94*AT94*VLOOKUP('Données projet'!$B$10,Paramètres!$A$1:$I$89,3,0)*0.475*44/12</f>
        <v>1.3348193062261799E-8</v>
      </c>
      <c r="AX94" s="23">
        <f t="shared" si="60"/>
        <v>2.5491884339284181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-4.9658410716801891E-14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317.71917965043735</v>
      </c>
      <c r="T95" s="62">
        <f t="shared" si="88"/>
        <v>444.40801165665744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1.2407241280235288</v>
      </c>
      <c r="AA95" s="23">
        <f>EXP(-LN(2)/25)*AA94+(1-EXP(-LN(2)/25))/(LN(2)/25)*Calculateur!V95*Calculateur!X95*VLOOKUP('Données projet'!$B$9,Paramètres!$A$1:$I$89,3,0)*0.475*44/12</f>
        <v>6.1625055296612476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7.4032296576847765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317.99999999999972</v>
      </c>
      <c r="AJ95" s="14">
        <f>AI95*VLOOKUP('Données projet'!$B$10,Paramètres!$A$1:$I$89,3,0)*VLOOKUP('Données projet'!$B$10,Paramètres!$A$1:$I$89,5,0)</f>
        <v>253.0007999999998</v>
      </c>
      <c r="AK95" s="14">
        <f t="shared" si="89"/>
        <v>61.228070105968683</v>
      </c>
      <c r="AL95" s="22">
        <f t="shared" si="58"/>
        <v>547.28194876789507</v>
      </c>
      <c r="AM95" s="62">
        <f t="shared" si="59"/>
        <v>822.29225081100685</v>
      </c>
      <c r="AN95" s="62">
        <f ca="1">AVERAGE(OFFSET($AM$3,0,0,'Données projet'!$E$10+1,1))-AVERAGE(OFFSET($H$3,0,0,'Données projet'!$E$10+1,1))</f>
        <v>376.47942810265266</v>
      </c>
      <c r="AO95" s="62">
        <f t="shared" si="90"/>
        <v>362.87951024071265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0.95579038932045146</v>
      </c>
      <c r="AV95" s="23">
        <f>EXP(-LN(2)/25)*AV94+(1-EXP(-LN(2)/25))/(LN(2)/25)*Calculateur!AQ95*Calculateur!AS95*VLOOKUP('Données projet'!$B$10,Paramètres!$A$1:$I$89,3,0)*0.475*44/12</f>
        <v>1.5312318970793217</v>
      </c>
      <c r="AW95" s="23">
        <f>EXP(-LN(2)/2)*AW94+(1-EXP(-LN(2)/2))/(LN(2)/2)*AQ95*AT95*VLOOKUP('Données projet'!$B$10,Paramètres!$A$1:$I$89,3,0)*0.475*44/12</f>
        <v>9.4385978309125454E-9</v>
      </c>
      <c r="AX95" s="23">
        <f t="shared" si="60"/>
        <v>2.4870222958383712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-4.9658410716801891E-14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317.71917965043735</v>
      </c>
      <c r="T96" s="62">
        <f t="shared" si="88"/>
        <v>444.40801165665744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1.2163942846399809</v>
      </c>
      <c r="AA96" s="23">
        <f>EXP(-LN(2)/25)*AA95+(1-EXP(-LN(2)/25))/(LN(2)/25)*Calculateur!V96*Calculateur!X96*VLOOKUP('Données projet'!$B$9,Paramètres!$A$1:$I$89,3,0)*0.475*44/12</f>
        <v>5.9939914918805792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7.2103857765205603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317.99999999999972</v>
      </c>
      <c r="AJ96" s="14">
        <f>AI96*VLOOKUP('Données projet'!$B$10,Paramètres!$A$1:$I$89,3,0)*VLOOKUP('Données projet'!$B$10,Paramètres!$A$1:$I$89,5,0)</f>
        <v>253.0007999999998</v>
      </c>
      <c r="AK96" s="14">
        <f t="shared" si="89"/>
        <v>61.228070105968683</v>
      </c>
      <c r="AL96" s="22">
        <f t="shared" si="58"/>
        <v>547.28194876789507</v>
      </c>
      <c r="AM96" s="62">
        <f t="shared" si="59"/>
        <v>822.61011443973098</v>
      </c>
      <c r="AN96" s="62">
        <f ca="1">AVERAGE(OFFSET($AM$3,0,0,'Données projet'!$E$10+1,1))-AVERAGE(OFFSET($H$3,0,0,'Données projet'!$E$10+1,1))</f>
        <v>376.47942810265266</v>
      </c>
      <c r="AO96" s="62">
        <f t="shared" si="90"/>
        <v>362.87951024071265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0.9370479227604509</v>
      </c>
      <c r="AV96" s="23">
        <f>EXP(-LN(2)/25)*AV95+(1-EXP(-LN(2)/25))/(LN(2)/25)*Calculateur!AQ96*Calculateur!AS96*VLOOKUP('Données projet'!$B$10,Paramètres!$A$1:$I$89,3,0)*0.475*44/12</f>
        <v>1.4893602803297019</v>
      </c>
      <c r="AW96" s="23">
        <f>EXP(-LN(2)/2)*AW95+(1-EXP(-LN(2)/2))/(LN(2)/2)*AQ96*AT96*VLOOKUP('Données projet'!$B$10,Paramètres!$A$1:$I$89,3,0)*0.475*44/12</f>
        <v>6.6740965311308994E-9</v>
      </c>
      <c r="AX96" s="23">
        <f t="shared" si="60"/>
        <v>2.4264082097642494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-4.9658410716801891E-14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317.71917965043735</v>
      </c>
      <c r="T97" s="62">
        <f t="shared" si="88"/>
        <v>444.40801165665744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1.1925415346454453</v>
      </c>
      <c r="AA97" s="23">
        <f>EXP(-LN(2)/25)*AA96+(1-EXP(-LN(2)/25))/(LN(2)/25)*Calculateur!V97*Calculateur!X97*VLOOKUP('Données projet'!$B$9,Paramètres!$A$1:$I$89,3,0)*0.475*44/12</f>
        <v>5.8300854793247918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7.0226270139702374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317.99999999999972</v>
      </c>
      <c r="AJ97" s="14">
        <f>AI97*VLOOKUP('Données projet'!$B$10,Paramètres!$A$1:$I$89,3,0)*VLOOKUP('Données projet'!$B$10,Paramètres!$A$1:$I$89,5,0)</f>
        <v>253.0007999999998</v>
      </c>
      <c r="AK97" s="14">
        <f t="shared" si="89"/>
        <v>61.228070105968683</v>
      </c>
      <c r="AL97" s="22">
        <f t="shared" si="58"/>
        <v>547.28194876789507</v>
      </c>
      <c r="AM97" s="62">
        <f t="shared" si="59"/>
        <v>822.92246384513351</v>
      </c>
      <c r="AN97" s="62">
        <f ca="1">AVERAGE(OFFSET($AM$3,0,0,'Données projet'!$E$10+1,1))-AVERAGE(OFFSET($H$3,0,0,'Données projet'!$E$10+1,1))</f>
        <v>376.47942810265266</v>
      </c>
      <c r="AO97" s="62">
        <f t="shared" si="90"/>
        <v>362.87951024071265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0.91867298453791613</v>
      </c>
      <c r="AV97" s="23">
        <f>EXP(-LN(2)/25)*AV96+(1-EXP(-LN(2)/25))/(LN(2)/25)*Calculateur!AQ97*Calculateur!AS97*VLOOKUP('Données projet'!$B$10,Paramètres!$A$1:$I$89,3,0)*0.475*44/12</f>
        <v>1.448633645142033</v>
      </c>
      <c r="AW97" s="23">
        <f>EXP(-LN(2)/2)*AW96+(1-EXP(-LN(2)/2))/(LN(2)/2)*AQ97*AT97*VLOOKUP('Données projet'!$B$10,Paramètres!$A$1:$I$89,3,0)*0.475*44/12</f>
        <v>4.7192989154562727E-9</v>
      </c>
      <c r="AX97" s="23">
        <f t="shared" si="60"/>
        <v>2.3673066343992479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-4.9658410716801891E-14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317.71917965043735</v>
      </c>
      <c r="T98" s="62">
        <f t="shared" si="88"/>
        <v>444.40801165665744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1.1691565225295617</v>
      </c>
      <c r="AA98" s="23">
        <f>EXP(-LN(2)/25)*AA97+(1-EXP(-LN(2)/25))/(LN(2)/25)*Calculateur!V98*Calculateur!X98*VLOOKUP('Données projet'!$B$9,Paramètres!$A$1:$I$89,3,0)*0.475*44/12</f>
        <v>5.6706614853017845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6.8398180078313464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317.99999999999972</v>
      </c>
      <c r="AJ98" s="14">
        <f>AI98*VLOOKUP('Données projet'!$B$10,Paramètres!$A$1:$I$89,3,0)*VLOOKUP('Données projet'!$B$10,Paramètres!$A$1:$I$89,5,0)</f>
        <v>253.0007999999998</v>
      </c>
      <c r="AK98" s="14">
        <f t="shared" si="89"/>
        <v>61.228070105968683</v>
      </c>
      <c r="AL98" s="22">
        <f t="shared" si="58"/>
        <v>547.28194876789507</v>
      </c>
      <c r="AM98" s="62">
        <f t="shared" si="59"/>
        <v>823.22939468666095</v>
      </c>
      <c r="AN98" s="62">
        <f ca="1">AVERAGE(OFFSET($AM$3,0,0,'Données projet'!$E$10+1,1))-AVERAGE(OFFSET($H$3,0,0,'Données projet'!$E$10+1,1))</f>
        <v>376.47942810265266</v>
      </c>
      <c r="AO98" s="62">
        <f t="shared" si="90"/>
        <v>362.87951024071265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0.90065836764631968</v>
      </c>
      <c r="AV98" s="23">
        <f>EXP(-LN(2)/25)*AV97+(1-EXP(-LN(2)/25))/(LN(2)/25)*Calculateur!AQ98*Calculateur!AS98*VLOOKUP('Données projet'!$B$10,Paramètres!$A$1:$I$89,3,0)*0.475*44/12</f>
        <v>1.4090206819352915</v>
      </c>
      <c r="AW98" s="23">
        <f>EXP(-LN(2)/2)*AW97+(1-EXP(-LN(2)/2))/(LN(2)/2)*AQ98*AT98*VLOOKUP('Données projet'!$B$10,Paramètres!$A$1:$I$89,3,0)*0.475*44/12</f>
        <v>3.3370482655654497E-9</v>
      </c>
      <c r="AX98" s="23">
        <f t="shared" si="60"/>
        <v>2.3096790529186597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-4.9658410716801891E-14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317.71917965043735</v>
      </c>
      <c r="T99" s="62">
        <f t="shared" si="88"/>
        <v>444.40801165665744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1.1462300762378215</v>
      </c>
      <c r="AA99" s="23">
        <f>EXP(-LN(2)/25)*AA98+(1-EXP(-LN(2)/25))/(LN(2)/25)*Calculateur!V99*Calculateur!X99*VLOOKUP('Données projet'!$B$9,Paramètres!$A$1:$I$89,3,0)*0.475*44/12</f>
        <v>5.5155969487790806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6.661827025016902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317.99999999999972</v>
      </c>
      <c r="AJ99" s="14">
        <f>AI99*VLOOKUP('Données projet'!$B$10,Paramètres!$A$1:$I$89,3,0)*VLOOKUP('Données projet'!$B$10,Paramètres!$A$1:$I$89,5,0)</f>
        <v>253.0007999999998</v>
      </c>
      <c r="AK99" s="14">
        <f t="shared" si="89"/>
        <v>61.228070105968683</v>
      </c>
      <c r="AL99" s="22">
        <f t="shared" si="58"/>
        <v>547.28194876789507</v>
      </c>
      <c r="AM99" s="62">
        <f t="shared" si="59"/>
        <v>823.5310009642825</v>
      </c>
      <c r="AN99" s="62">
        <f ca="1">AVERAGE(OFFSET($AM$3,0,0,'Données projet'!$E$10+1,1))-AVERAGE(OFFSET($H$3,0,0,'Données projet'!$E$10+1,1))</f>
        <v>376.47942810265266</v>
      </c>
      <c r="AO99" s="62">
        <f t="shared" si="90"/>
        <v>362.87951024071265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0.88299700640413603</v>
      </c>
      <c r="AV99" s="23">
        <f>EXP(-LN(2)/25)*AV98+(1-EXP(-LN(2)/25))/(LN(2)/25)*Calculateur!AQ99*Calculateur!AS99*VLOOKUP('Données projet'!$B$10,Paramètres!$A$1:$I$89,3,0)*0.475*44/12</f>
        <v>1.3704909372905936</v>
      </c>
      <c r="AW99" s="23">
        <f>EXP(-LN(2)/2)*AW98+(1-EXP(-LN(2)/2))/(LN(2)/2)*AQ99*AT99*VLOOKUP('Données projet'!$B$10,Paramètres!$A$1:$I$89,3,0)*0.475*44/12</f>
        <v>2.3596494577281363E-9</v>
      </c>
      <c r="AX99" s="23">
        <f t="shared" si="60"/>
        <v>2.2534879460543791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-4.9658410716801891E-14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317.71917965043735</v>
      </c>
      <c r="T100" s="62">
        <f t="shared" si="88"/>
        <v>444.40801165665744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1.1237532035741109</v>
      </c>
      <c r="AA100" s="23">
        <f>EXP(-LN(2)/25)*AA99+(1-EXP(-LN(2)/25))/(LN(2)/25)*Calculateur!V100*Calculateur!X100*VLOOKUP('Données projet'!$B$9,Paramètres!$A$1:$I$89,3,0)*0.475*44/12</f>
        <v>5.3647726601620791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6.4885258637361902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317.99999999999972</v>
      </c>
      <c r="AJ100" s="14">
        <f>AI100*VLOOKUP('Données projet'!$B$10,Paramètres!$A$1:$I$89,3,0)*VLOOKUP('Données projet'!$B$10,Paramètres!$A$1:$I$89,5,0)</f>
        <v>253.0007999999998</v>
      </c>
      <c r="AK100" s="14">
        <f t="shared" si="89"/>
        <v>61.228070105968683</v>
      </c>
      <c r="AL100" s="22">
        <f t="shared" si="58"/>
        <v>547.28194876789507</v>
      </c>
      <c r="AM100" s="62">
        <f t="shared" si="59"/>
        <v>823.82737504727788</v>
      </c>
      <c r="AN100" s="62">
        <f ca="1">AVERAGE(OFFSET($AM$3,0,0,'Données projet'!$E$10+1,1))-AVERAGE(OFFSET($H$3,0,0,'Données projet'!$E$10+1,1))</f>
        <v>376.47942810265266</v>
      </c>
      <c r="AO100" s="62">
        <f t="shared" si="90"/>
        <v>362.87951024071265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0.86568197368354494</v>
      </c>
      <c r="AV100" s="23">
        <f>EXP(-LN(2)/25)*AV99+(1-EXP(-LN(2)/25))/(LN(2)/25)*Calculateur!AQ100*Calculateur!AS100*VLOOKUP('Données projet'!$B$10,Paramètres!$A$1:$I$89,3,0)*0.475*44/12</f>
        <v>1.3330147905393961</v>
      </c>
      <c r="AW100" s="23">
        <f>EXP(-LN(2)/2)*AW99+(1-EXP(-LN(2)/2))/(LN(2)/2)*AQ100*AT100*VLOOKUP('Données projet'!$B$10,Paramètres!$A$1:$I$89,3,0)*0.475*44/12</f>
        <v>1.6685241327827249E-9</v>
      </c>
      <c r="AX100" s="23">
        <f t="shared" si="60"/>
        <v>2.1986967658914649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-4.9658410716801891E-14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317.71917965043735</v>
      </c>
      <c r="T101" s="62">
        <f t="shared" si="88"/>
        <v>444.40801165665744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1.101717088673797</v>
      </c>
      <c r="AA101" s="23">
        <f>EXP(-LN(2)/25)*AA100+(1-EXP(-LN(2)/25))/(LN(2)/25)*Calculateur!V101*Calculateur!X101*VLOOKUP('Données projet'!$B$9,Paramètres!$A$1:$I$89,3,0)*0.475*44/12</f>
        <v>5.218072669648814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6.319789758322611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317.99999999999972</v>
      </c>
      <c r="AJ101" s="14">
        <f>AI101*VLOOKUP('Données projet'!$B$10,Paramètres!$A$1:$I$89,3,0)*VLOOKUP('Données projet'!$B$10,Paramètres!$A$1:$I$89,5,0)</f>
        <v>253.0007999999998</v>
      </c>
      <c r="AK101" s="14">
        <f t="shared" si="89"/>
        <v>61.228070105968683</v>
      </c>
      <c r="AL101" s="22">
        <f t="shared" si="58"/>
        <v>547.28194876789507</v>
      </c>
      <c r="AM101" s="62">
        <f t="shared" si="59"/>
        <v>824.11860770252645</v>
      </c>
      <c r="AN101" s="62">
        <f ca="1">AVERAGE(OFFSET($AM$3,0,0,'Données projet'!$E$10+1,1))-AVERAGE(OFFSET($H$3,0,0,'Données projet'!$E$10+1,1))</f>
        <v>376.47942810265266</v>
      </c>
      <c r="AO101" s="62">
        <f t="shared" si="90"/>
        <v>362.87951024071265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0.84870647819347755</v>
      </c>
      <c r="AV101" s="23">
        <f>EXP(-LN(2)/25)*AV100+(1-EXP(-LN(2)/25))/(LN(2)/25)*Calculateur!AQ101*Calculateur!AS101*VLOOKUP('Données projet'!$B$10,Paramètres!$A$1:$I$89,3,0)*0.475*44/12</f>
        <v>1.2965634309918952</v>
      </c>
      <c r="AW101" s="23">
        <f>EXP(-LN(2)/2)*AW100+(1-EXP(-LN(2)/2))/(LN(2)/2)*AQ101*AT101*VLOOKUP('Données projet'!$B$10,Paramètres!$A$1:$I$89,3,0)*0.475*44/12</f>
        <v>1.1798247288640682E-9</v>
      </c>
      <c r="AX101" s="23">
        <f t="shared" si="60"/>
        <v>2.1452699103651973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-4.9658410716801891E-14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317.71917965043735</v>
      </c>
      <c r="T102" s="62">
        <f t="shared" si="88"/>
        <v>444.40801165665744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1.0801130885459753</v>
      </c>
      <c r="AA102" s="23">
        <f>EXP(-LN(2)/25)*AA101+(1-EXP(-LN(2)/25))/(LN(2)/25)*Calculateur!V102*Calculateur!X102*VLOOKUP('Données projet'!$B$9,Paramètres!$A$1:$I$89,3,0)*0.475*44/12</f>
        <v>5.0753841980907515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6.1554972866367272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317.99999999999972</v>
      </c>
      <c r="AJ102" s="14">
        <f>AI102*VLOOKUP('Données projet'!$B$10,Paramètres!$A$1:$I$89,3,0)*VLOOKUP('Données projet'!$B$10,Paramètres!$A$1:$I$89,5,0)</f>
        <v>253.0007999999998</v>
      </c>
      <c r="AK102" s="14">
        <f t="shared" si="89"/>
        <v>61.228070105968683</v>
      </c>
      <c r="AL102" s="22">
        <f t="shared" si="58"/>
        <v>547.28194876789507</v>
      </c>
      <c r="AM102" s="62">
        <f t="shared" si="59"/>
        <v>824.40478812230526</v>
      </c>
      <c r="AN102" s="62">
        <f ca="1">AVERAGE(OFFSET($AM$3,0,0,'Données projet'!$E$10+1,1))-AVERAGE(OFFSET($H$3,0,0,'Données projet'!$E$10+1,1))</f>
        <v>376.47942810265266</v>
      </c>
      <c r="AO102" s="62">
        <f t="shared" si="90"/>
        <v>362.87951024071265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0.8320638618159405</v>
      </c>
      <c r="AV102" s="23">
        <f>EXP(-LN(2)/25)*AV101+(1-EXP(-LN(2)/25))/(LN(2)/25)*Calculateur!AQ102*Calculateur!AS102*VLOOKUP('Données projet'!$B$10,Paramètres!$A$1:$I$89,3,0)*0.475*44/12</f>
        <v>1.2611088357881144</v>
      </c>
      <c r="AW102" s="23">
        <f>EXP(-LN(2)/2)*AW101+(1-EXP(-LN(2)/2))/(LN(2)/2)*AQ102*AT102*VLOOKUP('Données projet'!$B$10,Paramètres!$A$1:$I$89,3,0)*0.475*44/12</f>
        <v>8.3426206639136243E-10</v>
      </c>
      <c r="AX102" s="23">
        <f t="shared" si="60"/>
        <v>2.093172698438317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-4.9658410716801891E-14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317.71917965043735</v>
      </c>
      <c r="T103" s="62">
        <f t="shared" si="88"/>
        <v>444.40801165665744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1.0589327296835214</v>
      </c>
      <c r="AA103" s="23">
        <f>EXP(-LN(2)/25)*AA102+(1-EXP(-LN(2)/25))/(LN(2)/25)*Calculateur!V103*Calculateur!X103*VLOOKUP('Données projet'!$B$9,Paramètres!$A$1:$I$89,3,0)*0.475*44/12</f>
        <v>4.936597550291105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5.9955302799746262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317.99999999999972</v>
      </c>
      <c r="AJ103" s="14">
        <f>AI103*VLOOKUP('Données projet'!$B$10,Paramètres!$A$1:$I$89,3,0)*VLOOKUP('Données projet'!$B$10,Paramètres!$A$1:$I$89,5,0)</f>
        <v>253.0007999999998</v>
      </c>
      <c r="AK103" s="14">
        <f t="shared" si="89"/>
        <v>61.228070105968683</v>
      </c>
      <c r="AL103" s="22">
        <f t="shared" si="58"/>
        <v>547.28194876789507</v>
      </c>
      <c r="AM103" s="62">
        <f t="shared" si="59"/>
        <v>824.68600395160433</v>
      </c>
      <c r="AN103" s="62">
        <f ca="1">AVERAGE(OFFSET($AM$3,0,0,'Données projet'!$E$10+1,1))-AVERAGE(OFFSET($H$3,0,0,'Données projet'!$E$10+1,1))</f>
        <v>376.47942810265266</v>
      </c>
      <c r="AO103" s="62">
        <f t="shared" si="90"/>
        <v>362.87951024071265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0.81574759699457322</v>
      </c>
      <c r="AV103" s="23">
        <f>EXP(-LN(2)/25)*AV102+(1-EXP(-LN(2)/25))/(LN(2)/25)*Calculateur!AQ103*Calculateur!AS103*VLOOKUP('Données projet'!$B$10,Paramètres!$A$1:$I$89,3,0)*0.475*44/12</f>
        <v>1.2266237483546569</v>
      </c>
      <c r="AW103" s="23">
        <f>EXP(-LN(2)/2)*AW102+(1-EXP(-LN(2)/2))/(LN(2)/2)*AQ103*AT103*VLOOKUP('Données projet'!$B$10,Paramètres!$A$1:$I$89,3,0)*0.475*44/12</f>
        <v>5.8991236443203408E-10</v>
      </c>
      <c r="AX103" s="23">
        <f t="shared" si="60"/>
        <v>2.0423713459391428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-4.9658410716801891E-14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317.71917965043735</v>
      </c>
      <c r="T104" s="62">
        <f t="shared" si="88"/>
        <v>444.40801165665744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1.0381677047396167</v>
      </c>
      <c r="AA104" s="23">
        <f>EXP(-LN(2)/25)*AA103+(1-EXP(-LN(2)/25))/(LN(2)/25)*Calculateur!V104*Calculateur!X104*VLOOKUP('Données projet'!$B$9,Paramètres!$A$1:$I$89,3,0)*0.475*44/12</f>
        <v>4.8016060306740123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5.8397737354136288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317.99999999999972</v>
      </c>
      <c r="AJ104" s="14">
        <f>AI104*VLOOKUP('Données projet'!$B$10,Paramètres!$A$1:$I$89,3,0)*VLOOKUP('Données projet'!$B$10,Paramètres!$A$1:$I$89,5,0)</f>
        <v>253.0007999999998</v>
      </c>
      <c r="AK104" s="14">
        <f t="shared" si="89"/>
        <v>61.228070105968683</v>
      </c>
      <c r="AL104" s="22">
        <f t="shared" si="58"/>
        <v>547.28194876789507</v>
      </c>
      <c r="AM104" s="62">
        <f t="shared" si="59"/>
        <v>824.96234131496954</v>
      </c>
      <c r="AN104" s="62">
        <f ca="1">AVERAGE(OFFSET($AM$3,0,0,'Données projet'!$E$10+1,1))-AVERAGE(OFFSET($H$3,0,0,'Données projet'!$E$10+1,1))</f>
        <v>376.47942810265266</v>
      </c>
      <c r="AO104" s="62">
        <f t="shared" si="90"/>
        <v>362.87951024071265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0.7997512841744141</v>
      </c>
      <c r="AV104" s="23">
        <f>EXP(-LN(2)/25)*AV103+(1-EXP(-LN(2)/25))/(LN(2)/25)*Calculateur!AQ104*Calculateur!AS104*VLOOKUP('Données projet'!$B$10,Paramètres!$A$1:$I$89,3,0)*0.475*44/12</f>
        <v>1.1930816574505594</v>
      </c>
      <c r="AW104" s="23">
        <f>EXP(-LN(2)/2)*AW103+(1-EXP(-LN(2)/2))/(LN(2)/2)*AQ104*AT104*VLOOKUP('Données projet'!$B$10,Paramètres!$A$1:$I$89,3,0)*0.475*44/12</f>
        <v>4.1713103319568121E-10</v>
      </c>
      <c r="AX104" s="23">
        <f t="shared" si="60"/>
        <v>1.9928329420421045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-4.9658410716801891E-14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317.71917965043735</v>
      </c>
      <c r="T105" s="62">
        <f t="shared" si="88"/>
        <v>444.40801165665744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1.0178098692694475</v>
      </c>
      <c r="AA105" s="23">
        <f>EXP(-LN(2)/25)*AA104+(1-EXP(-LN(2)/25))/(LN(2)/25)*Calculateur!V105*Calculateur!X105*VLOOKUP('Données projet'!$B$9,Paramètres!$A$1:$I$89,3,0)*0.475*44/12</f>
        <v>4.6703058612597443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5.6881157305291916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317.99999999999972</v>
      </c>
      <c r="AJ105" s="14">
        <f>AI105*VLOOKUP('Données projet'!$B$10,Paramètres!$A$1:$I$89,3,0)*VLOOKUP('Données projet'!$B$10,Paramètres!$A$1:$I$89,5,0)</f>
        <v>253.0007999999998</v>
      </c>
      <c r="AK105" s="14">
        <f t="shared" si="89"/>
        <v>61.228070105968683</v>
      </c>
      <c r="AL105" s="22">
        <f t="shared" si="58"/>
        <v>547.28194876789507</v>
      </c>
      <c r="AM105" s="62">
        <f t="shared" si="59"/>
        <v>825.23388484287807</v>
      </c>
      <c r="AN105" s="62">
        <f ca="1">AVERAGE(OFFSET($AM$3,0,0,'Données projet'!$E$10+1,1))-AVERAGE(OFFSET($H$3,0,0,'Données projet'!$E$10+1,1))</f>
        <v>376.47942810265266</v>
      </c>
      <c r="AO105" s="62">
        <f t="shared" si="90"/>
        <v>362.87951024071265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0.78406864929187092</v>
      </c>
      <c r="AV105" s="23">
        <f>EXP(-LN(2)/25)*AV104+(1-EXP(-LN(2)/25))/(LN(2)/25)*Calculateur!AQ105*Calculateur!AS105*VLOOKUP('Données projet'!$B$10,Paramètres!$A$1:$I$89,3,0)*0.475*44/12</f>
        <v>1.1604567767861362</v>
      </c>
      <c r="AW105" s="23">
        <f>EXP(-LN(2)/2)*AW104+(1-EXP(-LN(2)/2))/(LN(2)/2)*AQ105*AT105*VLOOKUP('Données projet'!$B$10,Paramètres!$A$1:$I$89,3,0)*0.475*44/12</f>
        <v>2.9495618221601704E-10</v>
      </c>
      <c r="AX105" s="23">
        <f t="shared" si="60"/>
        <v>1.9445254263729634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-4.9658410716801891E-14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317.71917965043735</v>
      </c>
      <c r="T106" s="62">
        <f t="shared" si="88"/>
        <v>444.40801165665744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0.99785123853579472</v>
      </c>
      <c r="AA106" s="23">
        <f>EXP(-LN(2)/25)*AA105+(1-EXP(-LN(2)/25))/(LN(2)/25)*Calculateur!V106*Calculateur!X106*VLOOKUP('Données projet'!$B$9,Paramètres!$A$1:$I$89,3,0)*0.475*44/12</f>
        <v>4.5425961018828858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5.5404473404186803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317.99999999999972</v>
      </c>
      <c r="AJ106" s="14">
        <f>AI106*VLOOKUP('Données projet'!$B$10,Paramètres!$A$1:$I$89,3,0)*VLOOKUP('Données projet'!$B$10,Paramètres!$A$1:$I$89,5,0)</f>
        <v>253.0007999999998</v>
      </c>
      <c r="AK106" s="14">
        <f t="shared" si="89"/>
        <v>61.228070105968683</v>
      </c>
      <c r="AL106" s="22">
        <f t="shared" si="58"/>
        <v>547.28194876789507</v>
      </c>
      <c r="AM106" s="62">
        <f t="shared" si="59"/>
        <v>825.50071769765782</v>
      </c>
      <c r="AN106" s="62">
        <f ca="1">AVERAGE(OFFSET($AM$3,0,0,'Données projet'!$E$10+1,1))-AVERAGE(OFFSET($H$3,0,0,'Données projet'!$E$10+1,1))</f>
        <v>376.47942810265266</v>
      </c>
      <c r="AO106" s="62">
        <f t="shared" si="90"/>
        <v>362.87951024071265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0.76869354131391165</v>
      </c>
      <c r="AV106" s="23">
        <f>EXP(-LN(2)/25)*AV105+(1-EXP(-LN(2)/25))/(LN(2)/25)*Calculateur!AQ106*Calculateur!AS106*VLOOKUP('Données projet'!$B$10,Paramètres!$A$1:$I$89,3,0)*0.475*44/12</f>
        <v>1.1287240251991497</v>
      </c>
      <c r="AW106" s="23">
        <f>EXP(-LN(2)/2)*AW105+(1-EXP(-LN(2)/2))/(LN(2)/2)*AQ106*AT106*VLOOKUP('Données projet'!$B$10,Paramètres!$A$1:$I$89,3,0)*0.475*44/12</f>
        <v>2.0856551659784061E-10</v>
      </c>
      <c r="AX106" s="23">
        <f t="shared" si="60"/>
        <v>1.8974175667216269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-4.9658410716801891E-14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317.71917965043735</v>
      </c>
      <c r="T107" s="62">
        <f t="shared" si="88"/>
        <v>444.40801165665744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0.97828398437726616</v>
      </c>
      <c r="AA107" s="23">
        <f>EXP(-LN(2)/25)*AA106+(1-EXP(-LN(2)/25))/(LN(2)/25)*Calculateur!V107*Calculateur!X107*VLOOKUP('Données projet'!$B$9,Paramètres!$A$1:$I$89,3,0)*0.475*44/12</f>
        <v>4.4183785725921512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5.3966625569694173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317.99999999999972</v>
      </c>
      <c r="AJ107" s="14">
        <f>AI107*VLOOKUP('Données projet'!$B$10,Paramètres!$A$1:$I$89,3,0)*VLOOKUP('Données projet'!$B$10,Paramètres!$A$1:$I$89,5,0)</f>
        <v>253.0007999999998</v>
      </c>
      <c r="AK107" s="14">
        <f t="shared" si="89"/>
        <v>61.228070105968683</v>
      </c>
      <c r="AL107" s="22">
        <f t="shared" si="58"/>
        <v>547.28194876789507</v>
      </c>
      <c r="AM107" s="62">
        <f t="shared" si="59"/>
        <v>825.76292159895593</v>
      </c>
      <c r="AN107" s="62">
        <f ca="1">AVERAGE(OFFSET($AM$3,0,0,'Données projet'!$E$10+1,1))-AVERAGE(OFFSET($H$3,0,0,'Données projet'!$E$10+1,1))</f>
        <v>376.47942810265266</v>
      </c>
      <c r="AO107" s="62">
        <f t="shared" si="90"/>
        <v>362.87951024071265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0.75361992982551029</v>
      </c>
      <c r="AV107" s="23">
        <f>EXP(-LN(2)/25)*AV106+(1-EXP(-LN(2)/25))/(LN(2)/25)*Calculateur!AQ107*Calculateur!AS107*VLOOKUP('Données projet'!$B$10,Paramètres!$A$1:$I$89,3,0)*0.475*44/12</f>
        <v>1.0978590073730623</v>
      </c>
      <c r="AW107" s="23">
        <f>EXP(-LN(2)/2)*AW106+(1-EXP(-LN(2)/2))/(LN(2)/2)*AQ107*AT107*VLOOKUP('Données projet'!$B$10,Paramètres!$A$1:$I$89,3,0)*0.475*44/12</f>
        <v>1.4747809110800852E-10</v>
      </c>
      <c r="AX107" s="23">
        <f t="shared" si="60"/>
        <v>1.8514789373460507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-4.9658410716801891E-14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317.71917965043735</v>
      </c>
      <c r="T108" s="62">
        <f t="shared" si="88"/>
        <v>444.40801165665744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0.95910043213793972</v>
      </c>
      <c r="AA108" s="23">
        <f>EXP(-LN(2)/25)*AA107+(1-EXP(-LN(2)/25))/(LN(2)/25)*Calculateur!V108*Calculateur!X108*VLOOKUP('Données projet'!$B$9,Paramètres!$A$1:$I$89,3,0)*0.475*44/12</f>
        <v>4.2975577781721883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5.2566582103101283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317.99999999999972</v>
      </c>
      <c r="AJ108" s="14">
        <f>AI108*VLOOKUP('Données projet'!$B$10,Paramètres!$A$1:$I$89,3,0)*VLOOKUP('Données projet'!$B$10,Paramètres!$A$1:$I$89,5,0)</f>
        <v>253.0007999999998</v>
      </c>
      <c r="AK108" s="14">
        <f t="shared" si="89"/>
        <v>61.228070105968683</v>
      </c>
      <c r="AL108" s="22">
        <f t="shared" si="58"/>
        <v>547.28194876789507</v>
      </c>
      <c r="AM108" s="62">
        <f t="shared" si="59"/>
        <v>826.02057684876684</v>
      </c>
      <c r="AN108" s="62">
        <f ca="1">AVERAGE(OFFSET($AM$3,0,0,'Données projet'!$E$10+1,1))-AVERAGE(OFFSET($H$3,0,0,'Données projet'!$E$10+1,1))</f>
        <v>376.47942810265266</v>
      </c>
      <c r="AO108" s="62">
        <f t="shared" si="90"/>
        <v>362.87951024071265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0.73884190266440131</v>
      </c>
      <c r="AV108" s="23">
        <f>EXP(-LN(2)/25)*AV107+(1-EXP(-LN(2)/25))/(LN(2)/25)*Calculateur!AQ108*Calculateur!AS108*VLOOKUP('Données projet'!$B$10,Paramètres!$A$1:$I$89,3,0)*0.475*44/12</f>
        <v>1.0678379950825498</v>
      </c>
      <c r="AW108" s="23">
        <f>EXP(-LN(2)/2)*AW107+(1-EXP(-LN(2)/2))/(LN(2)/2)*AQ108*AT108*VLOOKUP('Données projet'!$B$10,Paramètres!$A$1:$I$89,3,0)*0.475*44/12</f>
        <v>1.042827582989203E-10</v>
      </c>
      <c r="AX108" s="23">
        <f t="shared" si="60"/>
        <v>1.806679897851234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-4.9658410716801891E-14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317.71917965043735</v>
      </c>
      <c r="T109" s="62">
        <f t="shared" si="88"/>
        <v>444.40801165665744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0.94029305765721505</v>
      </c>
      <c r="AA109" s="23">
        <f>EXP(-LN(2)/25)*AA108+(1-EXP(-LN(2)/25))/(LN(2)/25)*Calculateur!V109*Calculateur!X109*VLOOKUP('Données projet'!$B$9,Paramètres!$A$1:$I$89,3,0)*0.475*44/12</f>
        <v>4.1800408347293283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5.1203338923865438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317.99999999999972</v>
      </c>
      <c r="AJ109" s="14">
        <f>AI109*VLOOKUP('Données projet'!$B$10,Paramètres!$A$1:$I$89,3,0)*VLOOKUP('Données projet'!$B$10,Paramètres!$A$1:$I$89,5,0)</f>
        <v>253.0007999999998</v>
      </c>
      <c r="AK109" s="14">
        <f t="shared" si="89"/>
        <v>61.228070105968683</v>
      </c>
      <c r="AL109" s="22">
        <f t="shared" si="58"/>
        <v>547.28194876789507</v>
      </c>
      <c r="AM109" s="62">
        <f t="shared" si="59"/>
        <v>826.27376235602424</v>
      </c>
      <c r="AN109" s="62">
        <f ca="1">AVERAGE(OFFSET($AM$3,0,0,'Données projet'!$E$10+1,1))-AVERAGE(OFFSET($H$3,0,0,'Données projet'!$E$10+1,1))</f>
        <v>376.47942810265266</v>
      </c>
      <c r="AO109" s="62">
        <f t="shared" si="90"/>
        <v>362.87951024071265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0.72435366360221509</v>
      </c>
      <c r="AV109" s="23">
        <f>EXP(-LN(2)/25)*AV108+(1-EXP(-LN(2)/25))/(LN(2)/25)*Calculateur!AQ109*Calculateur!AS109*VLOOKUP('Données projet'!$B$10,Paramètres!$A$1:$I$89,3,0)*0.475*44/12</f>
        <v>1.038637908951858</v>
      </c>
      <c r="AW109" s="23">
        <f>EXP(-LN(2)/2)*AW108+(1-EXP(-LN(2)/2))/(LN(2)/2)*AQ109*AT109*VLOOKUP('Données projet'!$B$10,Paramètres!$A$1:$I$89,3,0)*0.475*44/12</f>
        <v>7.3739045554004261E-11</v>
      </c>
      <c r="AX109" s="23">
        <f t="shared" si="60"/>
        <v>1.762991572627812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-4.9658410716801891E-14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317.71917965043735</v>
      </c>
      <c r="T110" s="62">
        <f t="shared" si="88"/>
        <v>444.40801165665744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0.92185448431869166</v>
      </c>
      <c r="AA110" s="23">
        <f>EXP(-LN(2)/25)*AA109+(1-EXP(-LN(2)/25))/(LN(2)/25)*Calculateur!V110*Calculateur!X110*VLOOKUP('Données projet'!$B$9,Paramètres!$A$1:$I$89,3,0)*0.475*44/12</f>
        <v>4.0657373982848606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4.9875918826035521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317.99999999999972</v>
      </c>
      <c r="AJ110" s="14">
        <f>AI110*VLOOKUP('Données projet'!$B$10,Paramètres!$A$1:$I$89,3,0)*VLOOKUP('Données projet'!$B$10,Paramètres!$A$1:$I$89,5,0)</f>
        <v>253.0007999999998</v>
      </c>
      <c r="AK110" s="14">
        <f t="shared" si="89"/>
        <v>61.228070105968683</v>
      </c>
      <c r="AL110" s="22">
        <f t="shared" si="58"/>
        <v>547.28194876789507</v>
      </c>
      <c r="AM110" s="62">
        <f t="shared" si="59"/>
        <v>826.52255566076872</v>
      </c>
      <c r="AN110" s="62">
        <f ca="1">AVERAGE(OFFSET($AM$3,0,0,'Données projet'!$E$10+1,1))-AVERAGE(OFFSET($H$3,0,0,'Données projet'!$E$10+1,1))</f>
        <v>376.47942810265266</v>
      </c>
      <c r="AO110" s="62">
        <f t="shared" si="90"/>
        <v>362.87951024071265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0.71014953007108517</v>
      </c>
      <c r="AV110" s="23">
        <f>EXP(-LN(2)/25)*AV109+(1-EXP(-LN(2)/25))/(LN(2)/25)*Calculateur!AQ110*Calculateur!AS110*VLOOKUP('Données projet'!$B$10,Paramètres!$A$1:$I$89,3,0)*0.475*44/12</f>
        <v>1.0102363007119757</v>
      </c>
      <c r="AW110" s="23">
        <f>EXP(-LN(2)/2)*AW109+(1-EXP(-LN(2)/2))/(LN(2)/2)*AQ110*AT110*VLOOKUP('Données projet'!$B$10,Paramètres!$A$1:$I$89,3,0)*0.475*44/12</f>
        <v>5.2141379149460152E-11</v>
      </c>
      <c r="AX110" s="23">
        <f t="shared" si="60"/>
        <v>1.7203858308352022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-4.9658410716801891E-14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317.71917965043735</v>
      </c>
      <c r="T111" s="62">
        <f t="shared" si="88"/>
        <v>444.40801165665744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0.90377748015691739</v>
      </c>
      <c r="AA111" s="23">
        <f>EXP(-LN(2)/25)*AA110+(1-EXP(-LN(2)/25))/(LN(2)/25)*Calculateur!V111*Calculateur!X111*VLOOKUP('Données projet'!$B$9,Paramètres!$A$1:$I$89,3,0)*0.475*44/12</f>
        <v>3.9545595953209238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4.8583370754778414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317.99999999999972</v>
      </c>
      <c r="AJ111" s="14">
        <f>AI111*VLOOKUP('Données projet'!$B$10,Paramètres!$A$1:$I$89,3,0)*VLOOKUP('Données projet'!$B$10,Paramètres!$A$1:$I$89,5,0)</f>
        <v>253.0007999999998</v>
      </c>
      <c r="AK111" s="14">
        <f t="shared" si="89"/>
        <v>61.228070105968683</v>
      </c>
      <c r="AL111" s="22">
        <f t="shared" si="58"/>
        <v>547.28194876789507</v>
      </c>
      <c r="AM111" s="62">
        <f t="shared" si="59"/>
        <v>826.76703295789434</v>
      </c>
      <c r="AN111" s="62">
        <f ca="1">AVERAGE(OFFSET($AM$3,0,0,'Données projet'!$E$10+1,1))-AVERAGE(OFFSET($H$3,0,0,'Données projet'!$E$10+1,1))</f>
        <v>376.47942810265266</v>
      </c>
      <c r="AO111" s="62">
        <f t="shared" si="90"/>
        <v>362.87951024071265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0.6962239309348347</v>
      </c>
      <c r="AV111" s="23">
        <f>EXP(-LN(2)/25)*AV110+(1-EXP(-LN(2)/25))/(LN(2)/25)*Calculateur!AQ111*Calculateur!AS111*VLOOKUP('Données projet'!$B$10,Paramètres!$A$1:$I$89,3,0)*0.475*44/12</f>
        <v>0.98261133594298855</v>
      </c>
      <c r="AW111" s="23">
        <f>EXP(-LN(2)/2)*AW110+(1-EXP(-LN(2)/2))/(LN(2)/2)*AQ111*AT111*VLOOKUP('Données projet'!$B$10,Paramètres!$A$1:$I$89,3,0)*0.475*44/12</f>
        <v>3.686952277700213E-11</v>
      </c>
      <c r="AX111" s="23">
        <f t="shared" si="60"/>
        <v>1.6788352669146929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-4.9658410716801891E-14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317.71917965043735</v>
      </c>
      <c r="T112" s="62">
        <f t="shared" si="88"/>
        <v>444.40801165665744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0.88605495502087173</v>
      </c>
      <c r="AA112" s="23">
        <f>EXP(-LN(2)/25)*AA111+(1-EXP(-LN(2)/25))/(LN(2)/25)*Calculateur!V112*Calculateur!X112*VLOOKUP('Données projet'!$B$9,Paramètres!$A$1:$I$89,3,0)*0.475*44/12</f>
        <v>3.8464219552256225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4.7324769102464943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317.99999999999972</v>
      </c>
      <c r="AJ112" s="14">
        <f>AI112*VLOOKUP('Données projet'!$B$10,Paramètres!$A$1:$I$89,3,0)*VLOOKUP('Données projet'!$B$10,Paramètres!$A$1:$I$89,5,0)</f>
        <v>253.0007999999998</v>
      </c>
      <c r="AK112" s="14">
        <f t="shared" si="89"/>
        <v>61.228070105968683</v>
      </c>
      <c r="AL112" s="22">
        <f t="shared" si="58"/>
        <v>547.28194876789507</v>
      </c>
      <c r="AM112" s="62">
        <f t="shared" si="59"/>
        <v>827.00726912048435</v>
      </c>
      <c r="AN112" s="62">
        <f ca="1">AVERAGE(OFFSET($AM$3,0,0,'Données projet'!$E$10+1,1))-AVERAGE(OFFSET($H$3,0,0,'Données projet'!$E$10+1,1))</f>
        <v>376.47942810265266</v>
      </c>
      <c r="AO112" s="62">
        <f t="shared" si="90"/>
        <v>362.87951024071265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0.68257140430386931</v>
      </c>
      <c r="AV112" s="23">
        <f>EXP(-LN(2)/25)*AV111+(1-EXP(-LN(2)/25))/(LN(2)/25)*Calculateur!AQ112*Calculateur!AS112*VLOOKUP('Données projet'!$B$10,Paramètres!$A$1:$I$89,3,0)*0.475*44/12</f>
        <v>0.9557417772883432</v>
      </c>
      <c r="AW112" s="23">
        <f>EXP(-LN(2)/2)*AW111+(1-EXP(-LN(2)/2))/(LN(2)/2)*AQ112*AT112*VLOOKUP('Données projet'!$B$10,Paramètres!$A$1:$I$89,3,0)*0.475*44/12</f>
        <v>2.6070689574730076E-11</v>
      </c>
      <c r="AX112" s="23">
        <f t="shared" si="60"/>
        <v>1.6383131816182832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-4.9658410716801891E-14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317.71917965043735</v>
      </c>
      <c r="T113" s="62">
        <f t="shared" si="88"/>
        <v>444.40801165665744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0.86867995779307094</v>
      </c>
      <c r="AA113" s="23">
        <f>EXP(-LN(2)/25)*AA112+(1-EXP(-LN(2)/25))/(LN(2)/25)*Calculateur!V113*Calculateur!X113*VLOOKUP('Données projet'!$B$9,Paramètres!$A$1:$I$89,3,0)*0.475*44/12</f>
        <v>3.7412413445854384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4.6099213023785097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317.99999999999972</v>
      </c>
      <c r="AJ113" s="14">
        <f>AI113*VLOOKUP('Données projet'!$B$10,Paramètres!$A$1:$I$89,3,0)*VLOOKUP('Données projet'!$B$10,Paramètres!$A$1:$I$89,5,0)</f>
        <v>253.0007999999998</v>
      </c>
      <c r="AK113" s="14">
        <f t="shared" si="89"/>
        <v>61.228070105968683</v>
      </c>
      <c r="AL113" s="22">
        <f t="shared" si="58"/>
        <v>547.28194876789507</v>
      </c>
      <c r="AM113" s="62">
        <f t="shared" si="59"/>
        <v>827.24333772274099</v>
      </c>
      <c r="AN113" s="62">
        <f ca="1">AVERAGE(OFFSET($AM$3,0,0,'Données projet'!$E$10+1,1))-AVERAGE(OFFSET($H$3,0,0,'Données projet'!$E$10+1,1))</f>
        <v>376.47942810265266</v>
      </c>
      <c r="AO113" s="62">
        <f t="shared" si="90"/>
        <v>362.87951024071265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0.66918659539291814</v>
      </c>
      <c r="AV113" s="23">
        <f>EXP(-LN(2)/25)*AV112+(1-EXP(-LN(2)/25))/(LN(2)/25)*Calculateur!AQ113*Calculateur!AS113*VLOOKUP('Données projet'!$B$10,Paramètres!$A$1:$I$89,3,0)*0.475*44/12</f>
        <v>0.92960696812811772</v>
      </c>
      <c r="AW113" s="23">
        <f>EXP(-LN(2)/2)*AW112+(1-EXP(-LN(2)/2))/(LN(2)/2)*AQ113*AT113*VLOOKUP('Données projet'!$B$10,Paramètres!$A$1:$I$89,3,0)*0.475*44/12</f>
        <v>1.8434761388501065E-11</v>
      </c>
      <c r="AX113" s="23">
        <f t="shared" si="60"/>
        <v>1.5987935635394706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-4.9658410716801891E-14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317.71917965043735</v>
      </c>
      <c r="T114" s="62">
        <f t="shared" si="88"/>
        <v>444.40801165665744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0.85164567366320543</v>
      </c>
      <c r="AA114" s="23">
        <f>EXP(-LN(2)/25)*AA113+(1-EXP(-LN(2)/25))/(LN(2)/25)*Calculateur!V114*Calculateur!X114*VLOOKUP('Données projet'!$B$9,Paramètres!$A$1:$I$89,3,0)*0.475*44/12</f>
        <v>3.6389369032744181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4.4905825769376237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317.99999999999972</v>
      </c>
      <c r="AJ114" s="14">
        <f>AI114*VLOOKUP('Données projet'!$B$10,Paramètres!$A$1:$I$89,3,0)*VLOOKUP('Données projet'!$B$10,Paramètres!$A$1:$I$89,5,0)</f>
        <v>253.0007999999998</v>
      </c>
      <c r="AK114" s="14">
        <f t="shared" si="89"/>
        <v>61.228070105968683</v>
      </c>
      <c r="AL114" s="22">
        <f t="shared" si="58"/>
        <v>547.28194876789507</v>
      </c>
      <c r="AM114" s="62">
        <f t="shared" si="59"/>
        <v>827.47531106251859</v>
      </c>
      <c r="AN114" s="62">
        <f ca="1">AVERAGE(OFFSET($AM$3,0,0,'Données projet'!$E$10+1,1))-AVERAGE(OFFSET($H$3,0,0,'Données projet'!$E$10+1,1))</f>
        <v>376.47942810265266</v>
      </c>
      <c r="AO114" s="62">
        <f t="shared" si="90"/>
        <v>362.87951024071265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0.65606425442078342</v>
      </c>
      <c r="AV114" s="23">
        <f>EXP(-LN(2)/25)*AV113+(1-EXP(-LN(2)/25))/(LN(2)/25)*Calculateur!AQ114*Calculateur!AS114*VLOOKUP('Données projet'!$B$10,Paramètres!$A$1:$I$89,3,0)*0.475*44/12</f>
        <v>0.90418681669874856</v>
      </c>
      <c r="AW114" s="23">
        <f>EXP(-LN(2)/2)*AW113+(1-EXP(-LN(2)/2))/(LN(2)/2)*AQ114*AT114*VLOOKUP('Données projet'!$B$10,Paramètres!$A$1:$I$89,3,0)*0.475*44/12</f>
        <v>1.3035344787365038E-11</v>
      </c>
      <c r="AX114" s="23">
        <f t="shared" si="60"/>
        <v>1.5602510711325674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-4.9658410716801891E-14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317.71917965043735</v>
      </c>
      <c r="T115" s="62">
        <f t="shared" si="88"/>
        <v>444.40801165665744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0.8349454214552392</v>
      </c>
      <c r="AA115" s="23">
        <f>EXP(-LN(2)/25)*AA114+(1-EXP(-LN(2)/25))/(LN(2)/25)*Calculateur!V115*Calculateur!X115*VLOOKUP('Données projet'!$B$9,Paramètres!$A$1:$I$89,3,0)*0.475*44/12</f>
        <v>3.5394299822910043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4.3743754037462432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317.99999999999972</v>
      </c>
      <c r="AJ115" s="14">
        <f>AI115*VLOOKUP('Données projet'!$B$10,Paramètres!$A$1:$I$89,3,0)*VLOOKUP('Données projet'!$B$10,Paramètres!$A$1:$I$89,5,0)</f>
        <v>253.0007999999998</v>
      </c>
      <c r="AK115" s="14">
        <f t="shared" si="89"/>
        <v>61.228070105968683</v>
      </c>
      <c r="AL115" s="22">
        <f t="shared" si="58"/>
        <v>547.28194876789507</v>
      </c>
      <c r="AM115" s="62">
        <f t="shared" si="59"/>
        <v>827.703260183466</v>
      </c>
      <c r="AN115" s="62">
        <f ca="1">AVERAGE(OFFSET($AM$3,0,0,'Données projet'!$E$10+1,1))-AVERAGE(OFFSET($H$3,0,0,'Données projet'!$E$10+1,1))</f>
        <v>376.47942810265266</v>
      </c>
      <c r="AO115" s="62">
        <f t="shared" si="90"/>
        <v>362.87951024071265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0.64319923455127459</v>
      </c>
      <c r="AV115" s="23">
        <f>EXP(-LN(2)/25)*AV114+(1-EXP(-LN(2)/25))/(LN(2)/25)*Calculateur!AQ115*Calculateur!AS115*VLOOKUP('Données projet'!$B$10,Paramètres!$A$1:$I$89,3,0)*0.475*44/12</f>
        <v>0.87946178064700309</v>
      </c>
      <c r="AW115" s="23">
        <f>EXP(-LN(2)/2)*AW114+(1-EXP(-LN(2)/2))/(LN(2)/2)*AQ115*AT115*VLOOKUP('Données projet'!$B$10,Paramètres!$A$1:$I$89,3,0)*0.475*44/12</f>
        <v>9.2173806942505326E-12</v>
      </c>
      <c r="AX115" s="23">
        <f t="shared" si="60"/>
        <v>1.5226610152074949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-4.9658410716801891E-14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317.71917965043735</v>
      </c>
      <c r="T116" s="62">
        <f t="shared" si="88"/>
        <v>444.40801165665744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0.81857265100692311</v>
      </c>
      <c r="AA116" s="23">
        <f>EXP(-LN(2)/25)*AA115+(1-EXP(-LN(2)/25))/(LN(2)/25)*Calculateur!V116*Calculateur!X116*VLOOKUP('Données projet'!$B$9,Paramètres!$A$1:$I$89,3,0)*0.475*44/12</f>
        <v>3.4426440832947236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4.2612167343016463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317.99999999999972</v>
      </c>
      <c r="AJ116" s="14">
        <f>AI116*VLOOKUP('Données projet'!$B$10,Paramètres!$A$1:$I$89,3,0)*VLOOKUP('Données projet'!$B$10,Paramètres!$A$1:$I$89,5,0)</f>
        <v>253.0007999999998</v>
      </c>
      <c r="AK116" s="14">
        <f t="shared" si="89"/>
        <v>61.228070105968683</v>
      </c>
      <c r="AL116" s="22">
        <f t="shared" si="58"/>
        <v>547.28194876789507</v>
      </c>
      <c r="AM116" s="62">
        <f t="shared" si="59"/>
        <v>827.92725489678264</v>
      </c>
      <c r="AN116" s="62">
        <f ca="1">AVERAGE(OFFSET($AM$3,0,0,'Données projet'!$E$10+1,1))-AVERAGE(OFFSET($H$3,0,0,'Données projet'!$E$10+1,1))</f>
        <v>376.47942810265266</v>
      </c>
      <c r="AO116" s="62">
        <f t="shared" si="90"/>
        <v>362.87951024071265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0.63058648987451948</v>
      </c>
      <c r="AV116" s="23">
        <f>EXP(-LN(2)/25)*AV115+(1-EXP(-LN(2)/25))/(LN(2)/25)*Calculateur!AQ116*Calculateur!AS116*VLOOKUP('Données projet'!$B$10,Paramètres!$A$1:$I$89,3,0)*0.475*44/12</f>
        <v>0.85541285200632577</v>
      </c>
      <c r="AW116" s="23">
        <f>EXP(-LN(2)/2)*AW115+(1-EXP(-LN(2)/2))/(LN(2)/2)*AQ116*AT116*VLOOKUP('Données projet'!$B$10,Paramètres!$A$1:$I$89,3,0)*0.475*44/12</f>
        <v>6.5176723936825189E-12</v>
      </c>
      <c r="AX116" s="23">
        <f t="shared" si="60"/>
        <v>1.4859993418873629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-4.9658410716801891E-14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317.71917965043735</v>
      </c>
      <c r="T117" s="62">
        <f t="shared" si="88"/>
        <v>444.40801165665744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0.80252094060069468</v>
      </c>
      <c r="AA117" s="23">
        <f>EXP(-LN(2)/25)*AA116+(1-EXP(-LN(2)/25))/(LN(2)/25)*Calculateur!V117*Calculateur!X117*VLOOKUP('Données projet'!$B$9,Paramètres!$A$1:$I$89,3,0)*0.475*44/12</f>
        <v>3.3485047997962454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4.1510257403969399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317.99999999999972</v>
      </c>
      <c r="AJ117" s="14">
        <f>AI117*VLOOKUP('Données projet'!$B$10,Paramètres!$A$1:$I$89,3,0)*VLOOKUP('Données projet'!$B$10,Paramètres!$A$1:$I$89,5,0)</f>
        <v>253.0007999999998</v>
      </c>
      <c r="AK117" s="14">
        <f t="shared" si="89"/>
        <v>61.228070105968683</v>
      </c>
      <c r="AL117" s="22">
        <f t="shared" si="58"/>
        <v>547.28194876789507</v>
      </c>
      <c r="AM117" s="62">
        <f t="shared" si="59"/>
        <v>828.14736380260047</v>
      </c>
      <c r="AN117" s="62">
        <f ca="1">AVERAGE(OFFSET($AM$3,0,0,'Données projet'!$E$10+1,1))-AVERAGE(OFFSET($H$3,0,0,'Données projet'!$E$10+1,1))</f>
        <v>376.47942810265266</v>
      </c>
      <c r="AO117" s="62">
        <f t="shared" si="90"/>
        <v>362.87951024071265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0.61822107342786092</v>
      </c>
      <c r="AV117" s="23">
        <f>EXP(-LN(2)/25)*AV116+(1-EXP(-LN(2)/25))/(LN(2)/25)*Calculateur!AQ117*Calculateur!AS117*VLOOKUP('Données projet'!$B$10,Paramètres!$A$1:$I$89,3,0)*0.475*44/12</f>
        <v>0.83202154258400596</v>
      </c>
      <c r="AW117" s="23">
        <f>EXP(-LN(2)/2)*AW116+(1-EXP(-LN(2)/2))/(LN(2)/2)*AQ117*AT117*VLOOKUP('Données projet'!$B$10,Paramètres!$A$1:$I$89,3,0)*0.475*44/12</f>
        <v>4.6086903471252663E-12</v>
      </c>
      <c r="AX117" s="23">
        <f t="shared" si="60"/>
        <v>1.4502426160164756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-4.9658410716801891E-14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317.71917965043735</v>
      </c>
      <c r="T118" s="62">
        <f t="shared" si="88"/>
        <v>444.40801165665744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0.78678399444495573</v>
      </c>
      <c r="AA118" s="23">
        <f>EXP(-LN(2)/25)*AA117+(1-EXP(-LN(2)/25))/(LN(2)/25)*Calculateur!V118*Calculateur!X118*VLOOKUP('Données projet'!$B$9,Paramètres!$A$1:$I$89,3,0)*0.475*44/12</f>
        <v>3.2569397599556029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4.0437237544005589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317.99999999999972</v>
      </c>
      <c r="AJ118" s="14">
        <f>AI118*VLOOKUP('Données projet'!$B$10,Paramètres!$A$1:$I$89,3,0)*VLOOKUP('Données projet'!$B$10,Paramètres!$A$1:$I$89,5,0)</f>
        <v>253.0007999999998</v>
      </c>
      <c r="AK118" s="14">
        <f t="shared" si="89"/>
        <v>61.228070105968683</v>
      </c>
      <c r="AL118" s="22">
        <f t="shared" si="58"/>
        <v>547.28194876789507</v>
      </c>
      <c r="AM118" s="62">
        <f t="shared" si="59"/>
        <v>828.36365431099239</v>
      </c>
      <c r="AN118" s="62">
        <f ca="1">AVERAGE(OFFSET($AM$3,0,0,'Données projet'!$E$10+1,1))-AVERAGE(OFFSET($H$3,0,0,'Données projet'!$E$10+1,1))</f>
        <v>376.47942810265266</v>
      </c>
      <c r="AO118" s="62">
        <f t="shared" si="90"/>
        <v>362.87951024071265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0.606098135255562</v>
      </c>
      <c r="AV118" s="23">
        <f>EXP(-LN(2)/25)*AV117+(1-EXP(-LN(2)/25))/(LN(2)/25)*Calculateur!AQ118*Calculateur!AS118*VLOOKUP('Données projet'!$B$10,Paramètres!$A$1:$I$89,3,0)*0.475*44/12</f>
        <v>0.80926986974793502</v>
      </c>
      <c r="AW118" s="23">
        <f>EXP(-LN(2)/2)*AW117+(1-EXP(-LN(2)/2))/(LN(2)/2)*AQ118*AT118*VLOOKUP('Données projet'!$B$10,Paramètres!$A$1:$I$89,3,0)*0.475*44/12</f>
        <v>3.2588361968412595E-12</v>
      </c>
      <c r="AX118" s="23">
        <f t="shared" si="60"/>
        <v>1.4153680050067559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-4.9658410716801891E-14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317.71917965043735</v>
      </c>
      <c r="T119" s="62">
        <f t="shared" si="88"/>
        <v>444.40801165665744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0.77135564020474146</v>
      </c>
      <c r="AA119" s="23">
        <f>EXP(-LN(2)/25)*AA118+(1-EXP(-LN(2)/25))/(LN(2)/25)*Calculateur!V119*Calculateur!X119*VLOOKUP('Données projet'!$B$9,Paramètres!$A$1:$I$89,3,0)*0.475*44/12</f>
        <v>3.1678785709445987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3.9392342111493401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317.99999999999972</v>
      </c>
      <c r="AJ119" s="14">
        <f>AI119*VLOOKUP('Données projet'!$B$10,Paramètres!$A$1:$I$89,3,0)*VLOOKUP('Données projet'!$B$10,Paramètres!$A$1:$I$89,5,0)</f>
        <v>253.0007999999998</v>
      </c>
      <c r="AK119" s="14">
        <f t="shared" si="89"/>
        <v>61.228070105968683</v>
      </c>
      <c r="AL119" s="22">
        <f t="shared" si="58"/>
        <v>547.28194876789507</v>
      </c>
      <c r="AM119" s="62">
        <f t="shared" si="59"/>
        <v>828.57619266261656</v>
      </c>
      <c r="AN119" s="62">
        <f ca="1">AVERAGE(OFFSET($AM$3,0,0,'Données projet'!$E$10+1,1))-AVERAGE(OFFSET($H$3,0,0,'Données projet'!$E$10+1,1))</f>
        <v>376.47942810265266</v>
      </c>
      <c r="AO119" s="62">
        <f t="shared" si="90"/>
        <v>362.87951024071265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0.59421292050655972</v>
      </c>
      <c r="AV119" s="23">
        <f>EXP(-LN(2)/25)*AV118+(1-EXP(-LN(2)/25))/(LN(2)/25)*Calculateur!AQ119*Calculateur!AS119*VLOOKUP('Données projet'!$B$10,Paramètres!$A$1:$I$89,3,0)*0.475*44/12</f>
        <v>0.78714034260202492</v>
      </c>
      <c r="AW119" s="23">
        <f>EXP(-LN(2)/2)*AW118+(1-EXP(-LN(2)/2))/(LN(2)/2)*AQ119*AT119*VLOOKUP('Données projet'!$B$10,Paramètres!$A$1:$I$89,3,0)*0.475*44/12</f>
        <v>2.3043451735626331E-12</v>
      </c>
      <c r="AX119" s="23">
        <f t="shared" si="60"/>
        <v>1.3813532631108889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-4.9658410716801891E-14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317.71917965043735</v>
      </c>
      <c r="T120" s="62">
        <f t="shared" si="88"/>
        <v>444.40801165665744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0.75622982658081095</v>
      </c>
      <c r="AA120" s="23">
        <f>EXP(-LN(2)/25)*AA119+(1-EXP(-LN(2)/25))/(LN(2)/25)*Calculateur!V120*Calculateur!X120*VLOOKUP('Données projet'!$B$9,Paramètres!$A$1:$I$89,3,0)*0.475*44/12</f>
        <v>3.0812527648306247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3.8374825914114359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317.99999999999972</v>
      </c>
      <c r="AJ120" s="14">
        <f>AI120*VLOOKUP('Données projet'!$B$10,Paramètres!$A$1:$I$89,3,0)*VLOOKUP('Données projet'!$B$10,Paramètres!$A$1:$I$89,5,0)</f>
        <v>253.0007999999998</v>
      </c>
      <c r="AK120" s="14">
        <f t="shared" si="89"/>
        <v>61.228070105968683</v>
      </c>
      <c r="AL120" s="22">
        <f t="shared" si="58"/>
        <v>547.28194876789507</v>
      </c>
      <c r="AM120" s="62">
        <f t="shared" si="59"/>
        <v>828.78504394900472</v>
      </c>
      <c r="AN120" s="62">
        <f ca="1">AVERAGE(OFFSET($AM$3,0,0,'Données projet'!$E$10+1,1))-AVERAGE(OFFSET($H$3,0,0,'Données projet'!$E$10+1,1))</f>
        <v>376.47942810265266</v>
      </c>
      <c r="AO120" s="62">
        <f t="shared" si="90"/>
        <v>362.87951024071265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0.58256076756952024</v>
      </c>
      <c r="AV120" s="23">
        <f>EXP(-LN(2)/25)*AV119+(1-EXP(-LN(2)/25))/(LN(2)/25)*Calculateur!AQ120*Calculateur!AS120*VLOOKUP('Données projet'!$B$10,Paramètres!$A$1:$I$89,3,0)*0.475*44/12</f>
        <v>0.76561594853966097</v>
      </c>
      <c r="AW120" s="23">
        <f>EXP(-LN(2)/2)*AW119+(1-EXP(-LN(2)/2))/(LN(2)/2)*AQ120*AT120*VLOOKUP('Données projet'!$B$10,Paramètres!$A$1:$I$89,3,0)*0.475*44/12</f>
        <v>1.6294180984206297E-12</v>
      </c>
      <c r="AX120" s="23">
        <f t="shared" si="60"/>
        <v>1.3481767161108107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-4.9658410716801891E-14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317.71917965043735</v>
      </c>
      <c r="T121" s="62">
        <f t="shared" si="88"/>
        <v>444.40801165665744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0.7414006209362104</v>
      </c>
      <c r="AA121" s="23">
        <f>EXP(-LN(2)/25)*AA120+(1-EXP(-LN(2)/25))/(LN(2)/25)*Calculateur!V121*Calculateur!X121*VLOOKUP('Données projet'!$B$9,Paramètres!$A$1:$I$89,3,0)*0.475*44/12</f>
        <v>2.9969957459402905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3.738396366876501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317.99999999999972</v>
      </c>
      <c r="AJ121" s="14">
        <f>AI121*VLOOKUP('Données projet'!$B$10,Paramètres!$A$1:$I$89,3,0)*VLOOKUP('Données projet'!$B$10,Paramètres!$A$1:$I$89,5,0)</f>
        <v>253.0007999999998</v>
      </c>
      <c r="AK121" s="14">
        <f t="shared" si="89"/>
        <v>61.228070105968683</v>
      </c>
      <c r="AL121" s="22">
        <f t="shared" si="58"/>
        <v>547.28194876789507</v>
      </c>
      <c r="AM121" s="62">
        <f t="shared" si="59"/>
        <v>828.99027213249542</v>
      </c>
      <c r="AN121" s="62">
        <f ca="1">AVERAGE(OFFSET($AM$3,0,0,'Données projet'!$E$10+1,1))-AVERAGE(OFFSET($H$3,0,0,'Données projet'!$E$10+1,1))</f>
        <v>376.47942810265266</v>
      </c>
      <c r="AO121" s="62">
        <f t="shared" si="90"/>
        <v>362.87951024071265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0.57113710624446457</v>
      </c>
      <c r="AV121" s="23">
        <f>EXP(-LN(2)/25)*AV120+(1-EXP(-LN(2)/25))/(LN(2)/25)*Calculateur!AQ121*Calculateur!AS121*VLOOKUP('Données projet'!$B$10,Paramètres!$A$1:$I$89,3,0)*0.475*44/12</f>
        <v>0.74468014016485107</v>
      </c>
      <c r="AW121" s="23">
        <f>EXP(-LN(2)/2)*AW120+(1-EXP(-LN(2)/2))/(LN(2)/2)*AQ121*AT121*VLOOKUP('Données projet'!$B$10,Paramètres!$A$1:$I$89,3,0)*0.475*44/12</f>
        <v>1.1521725867813166E-12</v>
      </c>
      <c r="AX121" s="23">
        <f t="shared" si="60"/>
        <v>1.3158172464104678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-4.9658410716801891E-14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317.71917965043735</v>
      </c>
      <c r="T122" s="62">
        <f t="shared" si="88"/>
        <v>444.40801165665744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0.72686220696937809</v>
      </c>
      <c r="AA122" s="23">
        <f>EXP(-LN(2)/25)*AA121+(1-EXP(-LN(2)/25))/(LN(2)/25)*Calculateur!V122*Calculateur!X122*VLOOKUP('Données projet'!$B$9,Paramètres!$A$1:$I$89,3,0)*0.475*44/12</f>
        <v>2.9150427396623968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3.641904946631775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317.99999999999972</v>
      </c>
      <c r="AJ122" s="14">
        <f>AI122*VLOOKUP('Données projet'!$B$10,Paramètres!$A$1:$I$89,3,0)*VLOOKUP('Données projet'!$B$10,Paramètres!$A$1:$I$89,5,0)</f>
        <v>253.0007999999998</v>
      </c>
      <c r="AK122" s="14">
        <f t="shared" si="89"/>
        <v>61.228070105968683</v>
      </c>
      <c r="AL122" s="22">
        <f t="shared" si="58"/>
        <v>547.28194876789507</v>
      </c>
      <c r="AM122" s="62">
        <f t="shared" si="59"/>
        <v>829.19194006582416</v>
      </c>
      <c r="AN122" s="62">
        <f ca="1">AVERAGE(OFFSET($AM$3,0,0,'Données projet'!$E$10+1,1))-AVERAGE(OFFSET($H$3,0,0,'Données projet'!$E$10+1,1))</f>
        <v>376.47942810265266</v>
      </c>
      <c r="AO122" s="62">
        <f t="shared" si="90"/>
        <v>362.87951024071265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0.5599374559502478</v>
      </c>
      <c r="AV122" s="23">
        <f>EXP(-LN(2)/25)*AV121+(1-EXP(-LN(2)/25))/(LN(2)/25)*Calculateur!AQ122*Calculateur!AS122*VLOOKUP('Données projet'!$B$10,Paramètres!$A$1:$I$89,3,0)*0.475*44/12</f>
        <v>0.72431682257101659</v>
      </c>
      <c r="AW122" s="23">
        <f>EXP(-LN(2)/2)*AW121+(1-EXP(-LN(2)/2))/(LN(2)/2)*AQ122*AT122*VLOOKUP('Données projet'!$B$10,Paramètres!$A$1:$I$89,3,0)*0.475*44/12</f>
        <v>8.1470904921031487E-13</v>
      </c>
      <c r="AX122" s="23">
        <f t="shared" si="60"/>
        <v>1.2842542785220792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-4.9658410716801891E-14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317.71917965043735</v>
      </c>
      <c r="T123" s="62">
        <f t="shared" si="88"/>
        <v>444.40801165665744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0.71260888243287845</v>
      </c>
      <c r="AA123" s="23">
        <f>EXP(-LN(2)/25)*AA122+(1-EXP(-LN(2)/25))/(LN(2)/25)*Calculateur!V123*Calculateur!X123*VLOOKUP('Données projet'!$B$9,Paramètres!$A$1:$I$89,3,0)*0.475*44/12</f>
        <v>2.8353307426508931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3.5479396250837718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317.99999999999972</v>
      </c>
      <c r="AJ123" s="14">
        <f>AI123*VLOOKUP('Données projet'!$B$10,Paramètres!$A$1:$I$89,3,0)*VLOOKUP('Données projet'!$B$10,Paramètres!$A$1:$I$89,5,0)</f>
        <v>253.0007999999998</v>
      </c>
      <c r="AK123" s="14">
        <f t="shared" si="89"/>
        <v>61.228070105968683</v>
      </c>
      <c r="AL123" s="22">
        <f t="shared" si="58"/>
        <v>547.28194876789507</v>
      </c>
      <c r="AM123" s="62">
        <f t="shared" si="59"/>
        <v>829.39010951137175</v>
      </c>
      <c r="AN123" s="62">
        <f ca="1">AVERAGE(OFFSET($AM$3,0,0,'Données projet'!$E$10+1,1))-AVERAGE(OFFSET($H$3,0,0,'Données projet'!$E$10+1,1))</f>
        <v>376.47942810265266</v>
      </c>
      <c r="AO123" s="62">
        <f t="shared" si="90"/>
        <v>362.87951024071265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0.5489574239671885</v>
      </c>
      <c r="AV123" s="23">
        <f>EXP(-LN(2)/25)*AV122+(1-EXP(-LN(2)/25))/(LN(2)/25)*Calculateur!AQ123*Calculateur!AS123*VLOOKUP('Données projet'!$B$10,Paramètres!$A$1:$I$89,3,0)*0.475*44/12</f>
        <v>0.70451034096764587</v>
      </c>
      <c r="AW123" s="23">
        <f>EXP(-LN(2)/2)*AW122+(1-EXP(-LN(2)/2))/(LN(2)/2)*AQ123*AT123*VLOOKUP('Données projet'!$B$10,Paramètres!$A$1:$I$89,3,0)*0.475*44/12</f>
        <v>5.7608629339065829E-13</v>
      </c>
      <c r="AX123" s="23">
        <f t="shared" si="60"/>
        <v>1.2534677649354102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-4.9658410716801891E-14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317.71917965043735</v>
      </c>
      <c r="T124" s="62">
        <f t="shared" si="88"/>
        <v>444.40801165665744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0.69863505689687</v>
      </c>
      <c r="AA124" s="23">
        <f>EXP(-LN(2)/25)*AA123+(1-EXP(-LN(2)/25))/(LN(2)/25)*Calculateur!V124*Calculateur!X124*VLOOKUP('Données projet'!$B$9,Paramètres!$A$1:$I$89,3,0)*0.475*44/12</f>
        <v>2.7577984743895407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3.456433531286411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317.99999999999972</v>
      </c>
      <c r="AJ124" s="14">
        <f>AI124*VLOOKUP('Données projet'!$B$10,Paramètres!$A$1:$I$89,3,0)*VLOOKUP('Données projet'!$B$10,Paramètres!$A$1:$I$89,5,0)</f>
        <v>253.0007999999998</v>
      </c>
      <c r="AK124" s="14">
        <f t="shared" si="89"/>
        <v>61.228070105968683</v>
      </c>
      <c r="AL124" s="22">
        <f t="shared" si="58"/>
        <v>547.28194876789507</v>
      </c>
      <c r="AM124" s="62">
        <f t="shared" si="59"/>
        <v>829.58484116007946</v>
      </c>
      <c r="AN124" s="62">
        <f ca="1">AVERAGE(OFFSET($AM$3,0,0,'Données projet'!$E$10+1,1))-AVERAGE(OFFSET($H$3,0,0,'Données projet'!$E$10+1,1))</f>
        <v>376.47942810265266</v>
      </c>
      <c r="AO124" s="62">
        <f t="shared" si="90"/>
        <v>362.87951024071265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0.53819270371415873</v>
      </c>
      <c r="AV124" s="23">
        <f>EXP(-LN(2)/25)*AV123+(1-EXP(-LN(2)/25))/(LN(2)/25)*Calculateur!AQ124*Calculateur!AS124*VLOOKUP('Données projet'!$B$10,Paramètres!$A$1:$I$89,3,0)*0.475*44/12</f>
        <v>0.6852454686452969</v>
      </c>
      <c r="AW124" s="23">
        <f>EXP(-LN(2)/2)*AW123+(1-EXP(-LN(2)/2))/(LN(2)/2)*AQ124*AT124*VLOOKUP('Données projet'!$B$10,Paramètres!$A$1:$I$89,3,0)*0.475*44/12</f>
        <v>4.0735452460515743E-13</v>
      </c>
      <c r="AX124" s="23">
        <f t="shared" si="60"/>
        <v>1.2234381723598631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-4.9658410716801891E-14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317.71917965043735</v>
      </c>
      <c r="T125" s="62">
        <f t="shared" si="88"/>
        <v>444.40801165665744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0.6849352495564307</v>
      </c>
      <c r="AA125" s="23">
        <f>EXP(-LN(2)/25)*AA124+(1-EXP(-LN(2)/25))/(LN(2)/25)*Calculateur!V125*Calculateur!X125*VLOOKUP('Données projet'!$B$9,Paramètres!$A$1:$I$89,3,0)*0.475*44/12</f>
        <v>2.68238633008104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3.3673215796374709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317.99999999999972</v>
      </c>
      <c r="AJ125" s="14">
        <f>AI125*VLOOKUP('Données projet'!$B$10,Paramètres!$A$1:$I$89,3,0)*VLOOKUP('Données projet'!$B$10,Paramètres!$A$1:$I$89,5,0)</f>
        <v>253.0007999999998</v>
      </c>
      <c r="AK125" s="14">
        <f t="shared" si="89"/>
        <v>61.228070105968683</v>
      </c>
      <c r="AL125" s="22">
        <f t="shared" si="58"/>
        <v>547.28194876789507</v>
      </c>
      <c r="AM125" s="62">
        <f t="shared" si="59"/>
        <v>829.77619465003681</v>
      </c>
      <c r="AN125" s="62">
        <f ca="1">AVERAGE(OFFSET($AM$3,0,0,'Données projet'!$E$10+1,1))-AVERAGE(OFFSET($H$3,0,0,'Données projet'!$E$10+1,1))</f>
        <v>376.47942810265266</v>
      </c>
      <c r="AO125" s="62">
        <f t="shared" si="90"/>
        <v>362.87951024071265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0.5276390730594599</v>
      </c>
      <c r="AV125" s="23">
        <f>EXP(-LN(2)/25)*AV124+(1-EXP(-LN(2)/25))/(LN(2)/25)*Calculateur!AQ125*Calculateur!AS125*VLOOKUP('Données projet'!$B$10,Paramètres!$A$1:$I$89,3,0)*0.475*44/12</f>
        <v>0.66650739526969816</v>
      </c>
      <c r="AW125" s="23">
        <f>EXP(-LN(2)/2)*AW124+(1-EXP(-LN(2)/2))/(LN(2)/2)*AQ125*AT125*VLOOKUP('Données projet'!$B$10,Paramètres!$A$1:$I$89,3,0)*0.475*44/12</f>
        <v>2.8804314669532914E-13</v>
      </c>
      <c r="AX125" s="23">
        <f t="shared" si="60"/>
        <v>1.194146468329446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-4.9658410716801891E-14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317.71917965043735</v>
      </c>
      <c r="T126" s="62">
        <f t="shared" si="88"/>
        <v>444.40801165665744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0.67150408708188003</v>
      </c>
      <c r="AA126" s="23">
        <f>EXP(-LN(2)/25)*AA125+(1-EXP(-LN(2)/25))/(LN(2)/25)*Calculateur!V126*Calculateur!X126*VLOOKUP('Données projet'!$B$9,Paramètres!$A$1:$I$89,3,0)*0.475*44/12</f>
        <v>2.6090363348244074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3.2805404219062875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317.99999999999972</v>
      </c>
      <c r="AJ126" s="14">
        <f>AI126*VLOOKUP('Données projet'!$B$10,Paramètres!$A$1:$I$89,3,0)*VLOOKUP('Données projet'!$B$10,Paramètres!$A$1:$I$89,5,0)</f>
        <v>253.0007999999998</v>
      </c>
      <c r="AK126" s="14">
        <f t="shared" si="89"/>
        <v>61.228070105968683</v>
      </c>
      <c r="AL126" s="22">
        <f t="shared" si="58"/>
        <v>547.28194876789507</v>
      </c>
      <c r="AM126" s="62">
        <f t="shared" si="59"/>
        <v>829.9642285847458</v>
      </c>
      <c r="AN126" s="62">
        <f ca="1">AVERAGE(OFFSET($AM$3,0,0,'Données projet'!$E$10+1,1))-AVERAGE(OFFSET($H$3,0,0,'Données projet'!$E$10+1,1))</f>
        <v>376.47942810265266</v>
      </c>
      <c r="AO126" s="62">
        <f t="shared" si="90"/>
        <v>362.87951024071265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0.51729239266482052</v>
      </c>
      <c r="AV126" s="23">
        <f>EXP(-LN(2)/25)*AV125+(1-EXP(-LN(2)/25))/(LN(2)/25)*Calculateur!AQ126*Calculateur!AS126*VLOOKUP('Données projet'!$B$10,Paramètres!$A$1:$I$89,3,0)*0.475*44/12</f>
        <v>0.64828171549594771</v>
      </c>
      <c r="AW126" s="23">
        <f>EXP(-LN(2)/2)*AW125+(1-EXP(-LN(2)/2))/(LN(2)/2)*AQ126*AT126*VLOOKUP('Données projet'!$B$10,Paramètres!$A$1:$I$89,3,0)*0.475*44/12</f>
        <v>2.0367726230257872E-13</v>
      </c>
      <c r="AX126" s="23">
        <f t="shared" si="60"/>
        <v>1.1655741081609718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-4.9658410716801891E-14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317.71917965043735</v>
      </c>
      <c r="T127" s="62">
        <f t="shared" si="88"/>
        <v>444.40801165665744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0.65833630151125511</v>
      </c>
      <c r="AA127" s="23">
        <f>EXP(-LN(2)/25)*AA126+(1-EXP(-LN(2)/25))/(LN(2)/25)*Calculateur!V127*Calculateur!X127*VLOOKUP('Données projet'!$B$9,Paramètres!$A$1:$I$89,3,0)*0.475*44/12</f>
        <v>2.5376920990453762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3.1960284005566315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317.99999999999972</v>
      </c>
      <c r="AJ127" s="14">
        <f>AI127*VLOOKUP('Données projet'!$B$10,Paramètres!$A$1:$I$89,3,0)*VLOOKUP('Données projet'!$B$10,Paramètres!$A$1:$I$89,5,0)</f>
        <v>253.0007999999998</v>
      </c>
      <c r="AK127" s="14">
        <f t="shared" si="89"/>
        <v>61.228070105968683</v>
      </c>
      <c r="AL127" s="22">
        <f t="shared" si="58"/>
        <v>547.28194876789507</v>
      </c>
      <c r="AM127" s="62">
        <f t="shared" si="59"/>
        <v>830.14900055106841</v>
      </c>
      <c r="AN127" s="62">
        <f ca="1">AVERAGE(OFFSET($AM$3,0,0,'Données projet'!$E$10+1,1))-AVERAGE(OFFSET($H$3,0,0,'Données projet'!$E$10+1,1))</f>
        <v>376.47942810265266</v>
      </c>
      <c r="AO127" s="62">
        <f t="shared" si="90"/>
        <v>362.87951024071265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0.50714860436186815</v>
      </c>
      <c r="AV127" s="23">
        <f>EXP(-LN(2)/25)*AV126+(1-EXP(-LN(2)/25))/(LN(2)/25)*Calculateur!AQ127*Calculateur!AS127*VLOOKUP('Données projet'!$B$10,Paramètres!$A$1:$I$89,3,0)*0.475*44/12</f>
        <v>0.63055441789405731</v>
      </c>
      <c r="AW127" s="23">
        <f>EXP(-LN(2)/2)*AW126+(1-EXP(-LN(2)/2))/(LN(2)/2)*AQ127*AT127*VLOOKUP('Données projet'!$B$10,Paramètres!$A$1:$I$89,3,0)*0.475*44/12</f>
        <v>1.4402157334766457E-13</v>
      </c>
      <c r="AX127" s="23">
        <f t="shared" si="60"/>
        <v>1.1377030222560696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-4.9658410716801891E-14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317.71917965043735</v>
      </c>
      <c r="T128" s="62">
        <f t="shared" si="88"/>
        <v>444.40801165665744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0.64542672818411395</v>
      </c>
      <c r="AA128" s="23">
        <f>EXP(-LN(2)/25)*AA127+(1-EXP(-LN(2)/25))/(LN(2)/25)*Calculateur!V128*Calculateur!X128*VLOOKUP('Données projet'!$B$9,Paramètres!$A$1:$I$89,3,0)*0.475*44/12</f>
        <v>2.468298775145553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3.1137255033296669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317.99999999999972</v>
      </c>
      <c r="AJ128" s="14">
        <f>AI128*VLOOKUP('Données projet'!$B$10,Paramètres!$A$1:$I$89,3,0)*VLOOKUP('Données projet'!$B$10,Paramètres!$A$1:$I$89,5,0)</f>
        <v>253.0007999999998</v>
      </c>
      <c r="AK128" s="14">
        <f t="shared" si="89"/>
        <v>61.228070105968683</v>
      </c>
      <c r="AL128" s="22">
        <f t="shared" si="58"/>
        <v>547.28194876789507</v>
      </c>
      <c r="AM128" s="62">
        <f t="shared" si="59"/>
        <v>830.33056713686358</v>
      </c>
      <c r="AN128" s="62">
        <f ca="1">AVERAGE(OFFSET($AM$3,0,0,'Données projet'!$E$10+1,1))-AVERAGE(OFFSET($H$3,0,0,'Données projet'!$E$10+1,1))</f>
        <v>376.47942810265266</v>
      </c>
      <c r="AO128" s="62">
        <f t="shared" si="90"/>
        <v>362.87951024071265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0.49720372956043679</v>
      </c>
      <c r="AV128" s="23">
        <f>EXP(-LN(2)/25)*AV127+(1-EXP(-LN(2)/25))/(LN(2)/25)*Calculateur!AQ128*Calculateur!AS128*VLOOKUP('Données projet'!$B$10,Paramètres!$A$1:$I$89,3,0)*0.475*44/12</f>
        <v>0.61331187417732858</v>
      </c>
      <c r="AW128" s="23">
        <f>EXP(-LN(2)/2)*AW127+(1-EXP(-LN(2)/2))/(LN(2)/2)*AQ128*AT128*VLOOKUP('Données projet'!$B$10,Paramètres!$A$1:$I$89,3,0)*0.475*44/12</f>
        <v>1.0183863115128936E-13</v>
      </c>
      <c r="AX128" s="23">
        <f t="shared" si="60"/>
        <v>1.1105156037378674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-4.9658410716801891E-14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317.71917965043735</v>
      </c>
      <c r="T129" s="62">
        <f t="shared" si="88"/>
        <v>444.40801165665744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0.63277030371585585</v>
      </c>
      <c r="AA129" s="23">
        <f>EXP(-LN(2)/25)*AA128+(1-EXP(-LN(2)/25))/(LN(2)/25)*Calculateur!V129*Calculateur!X129*VLOOKUP('Données projet'!$B$9,Paramètres!$A$1:$I$89,3,0)*0.475*44/12</f>
        <v>2.4008030153370066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3.0335733190528624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317.99999999999972</v>
      </c>
      <c r="AJ129" s="14">
        <f>AI129*VLOOKUP('Données projet'!$B$10,Paramètres!$A$1:$I$89,3,0)*VLOOKUP('Données projet'!$B$10,Paramètres!$A$1:$I$89,5,0)</f>
        <v>253.0007999999998</v>
      </c>
      <c r="AK129" s="14">
        <f t="shared" si="89"/>
        <v>61.228070105968683</v>
      </c>
      <c r="AL129" s="22">
        <f t="shared" si="58"/>
        <v>547.28194876789507</v>
      </c>
      <c r="AM129" s="62">
        <f t="shared" si="59"/>
        <v>830.50898394831734</v>
      </c>
      <c r="AN129" s="62">
        <f ca="1">AVERAGE(OFFSET($AM$3,0,0,'Données projet'!$E$10+1,1))-AVERAGE(OFFSET($H$3,0,0,'Données projet'!$E$10+1,1))</f>
        <v>376.47942810265266</v>
      </c>
      <c r="AO129" s="62">
        <f t="shared" si="90"/>
        <v>362.87951024071265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0.48745386768808679</v>
      </c>
      <c r="AV129" s="23">
        <f>EXP(-LN(2)/25)*AV128+(1-EXP(-LN(2)/25))/(LN(2)/25)*Calculateur!AQ129*Calculateur!AS129*VLOOKUP('Données projet'!$B$10,Paramètres!$A$1:$I$89,3,0)*0.475*44/12</f>
        <v>0.5965408287252798</v>
      </c>
      <c r="AW129" s="23">
        <f>EXP(-LN(2)/2)*AW128+(1-EXP(-LN(2)/2))/(LN(2)/2)*AQ129*AT129*VLOOKUP('Données projet'!$B$10,Paramètres!$A$1:$I$89,3,0)*0.475*44/12</f>
        <v>7.2010786673832286E-14</v>
      </c>
      <c r="AX129" s="23">
        <f t="shared" si="60"/>
        <v>1.0839946964134386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-4.9658410716801891E-14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317.71917965043735</v>
      </c>
      <c r="T130" s="62">
        <f t="shared" si="88"/>
        <v>444.40801165665744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0.62036206401176364</v>
      </c>
      <c r="AA130" s="23">
        <f>EXP(-LN(2)/25)*AA129+(1-EXP(-LN(2)/25))/(LN(2)/25)*Calculateur!V130*Calculateur!X130*VLOOKUP('Données projet'!$B$9,Paramètres!$A$1:$I$89,3,0)*0.475*44/12</f>
        <v>2.3351529306298726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2.9555149946416361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317.99999999999972</v>
      </c>
      <c r="AJ130" s="14">
        <f>AI130*VLOOKUP('Données projet'!$B$10,Paramètres!$A$1:$I$89,3,0)*VLOOKUP('Données projet'!$B$10,Paramètres!$A$1:$I$89,5,0)</f>
        <v>253.0007999999998</v>
      </c>
      <c r="AK130" s="14">
        <f t="shared" si="89"/>
        <v>61.228070105968683</v>
      </c>
      <c r="AL130" s="22">
        <f t="shared" si="58"/>
        <v>547.28194876789507</v>
      </c>
      <c r="AM130" s="62">
        <f t="shared" si="59"/>
        <v>830.68430562697245</v>
      </c>
      <c r="AN130" s="62">
        <f ca="1">AVERAGE(OFFSET($AM$3,0,0,'Données projet'!$E$10+1,1))-AVERAGE(OFFSET($H$3,0,0,'Données projet'!$E$10+1,1))</f>
        <v>376.47942810265266</v>
      </c>
      <c r="AO130" s="62">
        <f t="shared" si="90"/>
        <v>362.87951024071265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0.47789519466022506</v>
      </c>
      <c r="AV130" s="23">
        <f>EXP(-LN(2)/25)*AV129+(1-EXP(-LN(2)/25))/(LN(2)/25)*Calculateur!AQ130*Calculateur!AS130*VLOOKUP('Données projet'!$B$10,Paramètres!$A$1:$I$89,3,0)*0.475*44/12</f>
        <v>0.58022838839306823</v>
      </c>
      <c r="AW130" s="23">
        <f>EXP(-LN(2)/2)*AW129+(1-EXP(-LN(2)/2))/(LN(2)/2)*AQ130*AT130*VLOOKUP('Données projet'!$B$10,Paramètres!$A$1:$I$89,3,0)*0.475*44/12</f>
        <v>5.0919315575644679E-14</v>
      </c>
      <c r="AX130" s="23">
        <f t="shared" si="60"/>
        <v>1.0581235830533442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-4.9658410716801891E-14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317.71917965043735</v>
      </c>
      <c r="T131" s="62">
        <f t="shared" si="88"/>
        <v>444.40801165665744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0.60819714231998978</v>
      </c>
      <c r="AA131" s="23">
        <f>EXP(-LN(2)/25)*AA130+(1-EXP(-LN(2)/25))/(LN(2)/25)*Calculateur!V131*Calculateur!X131*VLOOKUP('Données projet'!$B$9,Paramètres!$A$1:$I$89,3,0)*0.475*44/12</f>
        <v>2.2712980509414433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2.879495193261433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317.99999999999972</v>
      </c>
      <c r="AJ131" s="14">
        <f>AI131*VLOOKUP('Données projet'!$B$10,Paramètres!$A$1:$I$89,3,0)*VLOOKUP('Données projet'!$B$10,Paramètres!$A$1:$I$89,5,0)</f>
        <v>253.0007999999998</v>
      </c>
      <c r="AK131" s="14">
        <f t="shared" si="89"/>
        <v>61.228070105968683</v>
      </c>
      <c r="AL131" s="22">
        <f t="shared" si="58"/>
        <v>547.28194876789507</v>
      </c>
      <c r="AM131" s="62">
        <f t="shared" si="59"/>
        <v>830.85658586646355</v>
      </c>
      <c r="AN131" s="62">
        <f ca="1">AVERAGE(OFFSET($AM$3,0,0,'Données projet'!$E$10+1,1))-AVERAGE(OFFSET($H$3,0,0,'Données projet'!$E$10+1,1))</f>
        <v>376.47942810265266</v>
      </c>
      <c r="AO131" s="62">
        <f t="shared" si="90"/>
        <v>362.87951024071265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0.46852396138022484</v>
      </c>
      <c r="AV131" s="23">
        <f>EXP(-LN(2)/25)*AV130+(1-EXP(-LN(2)/25))/(LN(2)/25)*Calculateur!AQ131*Calculateur!AS131*VLOOKUP('Données projet'!$B$10,Paramètres!$A$1:$I$89,3,0)*0.475*44/12</f>
        <v>0.56436201259957497</v>
      </c>
      <c r="AW131" s="23">
        <f>EXP(-LN(2)/2)*AW130+(1-EXP(-LN(2)/2))/(LN(2)/2)*AQ131*AT131*VLOOKUP('Données projet'!$B$10,Paramètres!$A$1:$I$89,3,0)*0.475*44/12</f>
        <v>3.6005393336916143E-14</v>
      </c>
      <c r="AX131" s="23">
        <f t="shared" si="60"/>
        <v>1.0328859739798357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-4.9658410716801891E-14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317.71917965043735</v>
      </c>
      <c r="T132" s="62">
        <f t="shared" si="88"/>
        <v>444.40801165665744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0.596270767322722</v>
      </c>
      <c r="AA132" s="23">
        <f>EXP(-LN(2)/25)*AA131+(1-EXP(-LN(2)/25))/(LN(2)/25)*Calculateur!V132*Calculateur!X132*VLOOKUP('Données projet'!$B$9,Paramètres!$A$1:$I$89,3,0)*0.475*44/12</f>
        <v>2.209189286296076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2.8054600536187979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317.99999999999972</v>
      </c>
      <c r="AJ132" s="14">
        <f>AI132*VLOOKUP('Données projet'!$B$10,Paramètres!$A$1:$I$89,3,0)*VLOOKUP('Données projet'!$B$10,Paramètres!$A$1:$I$89,5,0)</f>
        <v>253.0007999999998</v>
      </c>
      <c r="AK132" s="14">
        <f t="shared" si="89"/>
        <v>61.228070105968683</v>
      </c>
      <c r="AL132" s="22">
        <f t="shared" ref="AL132:AL153" si="112">(AJ132+AK132)*0.475*44/12</f>
        <v>547.28194876789507</v>
      </c>
      <c r="AM132" s="62">
        <f t="shared" ref="AM132:AM195" si="113">AL132+(AD132+AE132)*44/12</f>
        <v>831.02587742896048</v>
      </c>
      <c r="AN132" s="62">
        <f ca="1">AVERAGE(OFFSET($AM$3,0,0,'Données projet'!$E$10+1,1))-AVERAGE(OFFSET($H$3,0,0,'Données projet'!$E$10+1,1))</f>
        <v>376.47942810265266</v>
      </c>
      <c r="AO132" s="62">
        <f t="shared" si="90"/>
        <v>362.87951024071265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0.45933649226895751</v>
      </c>
      <c r="AV132" s="23">
        <f>EXP(-LN(2)/25)*AV131+(1-EXP(-LN(2)/25))/(LN(2)/25)*Calculateur!AQ132*Calculateur!AS132*VLOOKUP('Données projet'!$B$10,Paramètres!$A$1:$I$89,3,0)*0.475*44/12</f>
        <v>0.54892950368653126</v>
      </c>
      <c r="AW132" s="23">
        <f>EXP(-LN(2)/2)*AW131+(1-EXP(-LN(2)/2))/(LN(2)/2)*AQ132*AT132*VLOOKUP('Données projet'!$B$10,Paramètres!$A$1:$I$89,3,0)*0.475*44/12</f>
        <v>2.545965778782234E-14</v>
      </c>
      <c r="AX132" s="23">
        <f t="shared" ref="AX132:AX153" si="114">SUM(AU132:AW132)</f>
        <v>1.0082659959555142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-4.9658410716801891E-14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317.71917965043735</v>
      </c>
      <c r="T133" s="62">
        <f t="shared" ref="T133:T196" si="142">$T$3</f>
        <v>444.40801165665744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0.58457826126478019</v>
      </c>
      <c r="AA133" s="23">
        <f>EXP(-LN(2)/25)*AA132+(1-EXP(-LN(2)/25))/(LN(2)/25)*Calculateur!V133*Calculateur!X133*VLOOKUP('Données projet'!$B$9,Paramètres!$A$1:$I$89,3,0)*0.475*44/12</f>
        <v>2.1487788890860946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2.7333571503508747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317.99999999999972</v>
      </c>
      <c r="AJ133" s="14">
        <f>AI133*VLOOKUP('Données projet'!$B$10,Paramètres!$A$1:$I$89,3,0)*VLOOKUP('Données projet'!$B$10,Paramètres!$A$1:$I$89,5,0)</f>
        <v>253.0007999999998</v>
      </c>
      <c r="AK133" s="14">
        <f t="shared" ref="AK133:AK153" si="143">EXP(-1.0587+0.8836*LN(AJ133)+0.284)</f>
        <v>61.228070105968683</v>
      </c>
      <c r="AL133" s="22">
        <f t="shared" si="112"/>
        <v>547.28194876789507</v>
      </c>
      <c r="AM133" s="62">
        <f t="shared" si="113"/>
        <v>831.19223216132718</v>
      </c>
      <c r="AN133" s="62">
        <f ca="1">AVERAGE(OFFSET($AM$3,0,0,'Données projet'!$E$10+1,1))-AVERAGE(OFFSET($H$3,0,0,'Données projet'!$E$10+1,1))</f>
        <v>376.47942810265266</v>
      </c>
      <c r="AO133" s="62">
        <f t="shared" ref="AO133:AO196" si="144">$AO$3</f>
        <v>362.87951024071265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0.45032918382315928</v>
      </c>
      <c r="AV133" s="23">
        <f>EXP(-LN(2)/25)*AV132+(1-EXP(-LN(2)/25))/(LN(2)/25)*Calculateur!AQ133*Calculateur!AS133*VLOOKUP('Données projet'!$B$10,Paramètres!$A$1:$I$89,3,0)*0.475*44/12</f>
        <v>0.53391899754127503</v>
      </c>
      <c r="AW133" s="23">
        <f>EXP(-LN(2)/2)*AW132+(1-EXP(-LN(2)/2))/(LN(2)/2)*AQ133*AT133*VLOOKUP('Données projet'!$B$10,Paramètres!$A$1:$I$89,3,0)*0.475*44/12</f>
        <v>1.8002696668458071E-14</v>
      </c>
      <c r="AX133" s="23">
        <f t="shared" si="114"/>
        <v>0.98424818136445236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-4.9658410716801891E-14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317.71917965043735</v>
      </c>
      <c r="T134" s="62">
        <f t="shared" si="142"/>
        <v>444.40801165665744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0.57311503811891007</v>
      </c>
      <c r="AA134" s="23">
        <f>EXP(-LN(2)/25)*AA133+(1-EXP(-LN(2)/25))/(LN(2)/25)*Calculateur!V134*Calculateur!X134*VLOOKUP('Données projet'!$B$9,Paramètres!$A$1:$I$89,3,0)*0.475*44/12</f>
        <v>2.0900204173646646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2.6631354554835749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317.99999999999972</v>
      </c>
      <c r="AJ134" s="14">
        <f>AI134*VLOOKUP('Données projet'!$B$10,Paramètres!$A$1:$I$89,3,0)*VLOOKUP('Données projet'!$B$10,Paramètres!$A$1:$I$89,5,0)</f>
        <v>253.0007999999998</v>
      </c>
      <c r="AK134" s="14">
        <f t="shared" si="143"/>
        <v>61.228070105968683</v>
      </c>
      <c r="AL134" s="22">
        <f t="shared" si="112"/>
        <v>547.28194876789507</v>
      </c>
      <c r="AM134" s="62">
        <f t="shared" si="113"/>
        <v>831.35570101100075</v>
      </c>
      <c r="AN134" s="62">
        <f ca="1">AVERAGE(OFFSET($AM$3,0,0,'Données projet'!$E$10+1,1))-AVERAGE(OFFSET($H$3,0,0,'Données projet'!$E$10+1,1))</f>
        <v>376.47942810265266</v>
      </c>
      <c r="AO134" s="62">
        <f t="shared" si="144"/>
        <v>362.87951024071265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0.44149850320206752</v>
      </c>
      <c r="AV134" s="23">
        <f>EXP(-LN(2)/25)*AV133+(1-EXP(-LN(2)/25))/(LN(2)/25)*Calculateur!AQ134*Calculateur!AS134*VLOOKUP('Données projet'!$B$10,Paramètres!$A$1:$I$89,3,0)*0.475*44/12</f>
        <v>0.51931895447592902</v>
      </c>
      <c r="AW134" s="23">
        <f>EXP(-LN(2)/2)*AW133+(1-EXP(-LN(2)/2))/(LN(2)/2)*AQ134*AT134*VLOOKUP('Données projet'!$B$10,Paramètres!$A$1:$I$89,3,0)*0.475*44/12</f>
        <v>1.272982889391117E-14</v>
      </c>
      <c r="AX134" s="23">
        <f t="shared" si="114"/>
        <v>0.9608174576780093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-4.9658410716801891E-14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317.71917965043735</v>
      </c>
      <c r="T135" s="62">
        <f t="shared" si="142"/>
        <v>444.40801165665744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0.56187660178705479</v>
      </c>
      <c r="AA135" s="23">
        <f>EXP(-LN(2)/25)*AA134+(1-EXP(-LN(2)/25))/(LN(2)/25)*Calculateur!V135*Calculateur!X135*VLOOKUP('Données projet'!$B$9,Paramètres!$A$1:$I$89,3,0)*0.475*44/12</f>
        <v>2.0328686991424307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2.5947453009294854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317.99999999999972</v>
      </c>
      <c r="AJ135" s="14">
        <f>AI135*VLOOKUP('Données projet'!$B$10,Paramètres!$A$1:$I$89,3,0)*VLOOKUP('Données projet'!$B$10,Paramètres!$A$1:$I$89,5,0)</f>
        <v>253.0007999999998</v>
      </c>
      <c r="AK135" s="14">
        <f t="shared" si="143"/>
        <v>61.228070105968683</v>
      </c>
      <c r="AL135" s="22">
        <f t="shared" si="112"/>
        <v>547.28194876789507</v>
      </c>
      <c r="AM135" s="62">
        <f t="shared" si="113"/>
        <v>831.51633404159429</v>
      </c>
      <c r="AN135" s="62">
        <f ca="1">AVERAGE(OFFSET($AM$3,0,0,'Données projet'!$E$10+1,1))-AVERAGE(OFFSET($H$3,0,0,'Données projet'!$E$10+1,1))</f>
        <v>376.47942810265266</v>
      </c>
      <c r="AO135" s="62">
        <f t="shared" si="144"/>
        <v>362.87951024071265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0.43284098684177197</v>
      </c>
      <c r="AV135" s="23">
        <f>EXP(-LN(2)/25)*AV134+(1-EXP(-LN(2)/25))/(LN(2)/25)*Calculateur!AQ135*Calculateur!AS135*VLOOKUP('Données projet'!$B$10,Paramètres!$A$1:$I$89,3,0)*0.475*44/12</f>
        <v>0.50511815035598784</v>
      </c>
      <c r="AW135" s="23">
        <f>EXP(-LN(2)/2)*AW134+(1-EXP(-LN(2)/2))/(LN(2)/2)*AQ135*AT135*VLOOKUP('Données projet'!$B$10,Paramètres!$A$1:$I$89,3,0)*0.475*44/12</f>
        <v>9.0013483342290357E-15</v>
      </c>
      <c r="AX135" s="23">
        <f t="shared" si="114"/>
        <v>0.9379591371977688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-4.9658410716801891E-14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317.71917965043735</v>
      </c>
      <c r="T136" s="62">
        <f t="shared" si="142"/>
        <v>444.40801165665744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0.55085854433689785</v>
      </c>
      <c r="AA136" s="23">
        <f>EXP(-LN(2)/25)*AA135+(1-EXP(-LN(2)/25))/(LN(2)/25)*Calculateur!V136*Calculateur!X136*VLOOKUP('Données projet'!$B$9,Paramètres!$A$1:$I$89,3,0)*0.475*44/12</f>
        <v>1.9772797976604624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2.5281383419973604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317.99999999999972</v>
      </c>
      <c r="AJ136" s="14">
        <f>AI136*VLOOKUP('Données projet'!$B$10,Paramètres!$A$1:$I$89,3,0)*VLOOKUP('Données projet'!$B$10,Paramètres!$A$1:$I$89,5,0)</f>
        <v>253.0007999999998</v>
      </c>
      <c r="AK136" s="14">
        <f t="shared" si="143"/>
        <v>61.228070105968683</v>
      </c>
      <c r="AL136" s="22">
        <f t="shared" si="112"/>
        <v>547.28194876789507</v>
      </c>
      <c r="AM136" s="62">
        <f t="shared" si="113"/>
        <v>831.67418044822853</v>
      </c>
      <c r="AN136" s="62">
        <f ca="1">AVERAGE(OFFSET($AM$3,0,0,'Données projet'!$E$10+1,1))-AVERAGE(OFFSET($H$3,0,0,'Données projet'!$E$10+1,1))</f>
        <v>376.47942810265266</v>
      </c>
      <c r="AO136" s="62">
        <f t="shared" si="144"/>
        <v>362.87951024071265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0.42435323909673828</v>
      </c>
      <c r="AV136" s="23">
        <f>EXP(-LN(2)/25)*AV135+(1-EXP(-LN(2)/25))/(LN(2)/25)*Calculateur!AQ136*Calculateur!AS136*VLOOKUP('Données projet'!$B$10,Paramètres!$A$1:$I$89,3,0)*0.475*44/12</f>
        <v>0.49130566797149428</v>
      </c>
      <c r="AW136" s="23">
        <f>EXP(-LN(2)/2)*AW135+(1-EXP(-LN(2)/2))/(LN(2)/2)*AQ136*AT136*VLOOKUP('Données projet'!$B$10,Paramètres!$A$1:$I$89,3,0)*0.475*44/12</f>
        <v>6.3649144469555849E-15</v>
      </c>
      <c r="AX136" s="23">
        <f t="shared" si="114"/>
        <v>0.91565890706823894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-4.9658410716801891E-14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317.71917965043735</v>
      </c>
      <c r="T137" s="62">
        <f t="shared" si="142"/>
        <v>444.40801165665744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0.54005654427298699</v>
      </c>
      <c r="AA137" s="23">
        <f>EXP(-LN(2)/25)*AA136+(1-EXP(-LN(2)/25))/(LN(2)/25)*Calculateur!V137*Calculateur!X137*VLOOKUP('Données projet'!$B$9,Paramètres!$A$1:$I$89,3,0)*0.475*44/12</f>
        <v>1.9232109776128117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2.4632675218857987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317.99999999999972</v>
      </c>
      <c r="AJ137" s="14">
        <f>AI137*VLOOKUP('Données projet'!$B$10,Paramètres!$A$1:$I$89,3,0)*VLOOKUP('Données projet'!$B$10,Paramètres!$A$1:$I$89,5,0)</f>
        <v>253.0007999999998</v>
      </c>
      <c r="AK137" s="14">
        <f t="shared" si="143"/>
        <v>61.228070105968683</v>
      </c>
      <c r="AL137" s="22">
        <f t="shared" si="112"/>
        <v>547.28194876789507</v>
      </c>
      <c r="AM137" s="62">
        <f t="shared" si="113"/>
        <v>831.82928857259935</v>
      </c>
      <c r="AN137" s="62">
        <f ca="1">AVERAGE(OFFSET($AM$3,0,0,'Données projet'!$E$10+1,1))-AVERAGE(OFFSET($H$3,0,0,'Données projet'!$E$10+1,1))</f>
        <v>376.47942810265266</v>
      </c>
      <c r="AO137" s="62">
        <f t="shared" si="144"/>
        <v>362.87951024071265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0.41603193090796975</v>
      </c>
      <c r="AV137" s="23">
        <f>EXP(-LN(2)/25)*AV136+(1-EXP(-LN(2)/25))/(LN(2)/25)*Calculateur!AQ137*Calculateur!AS137*VLOOKUP('Données projet'!$B$10,Paramètres!$A$1:$I$89,3,0)*0.475*44/12</f>
        <v>0.4778708886441716</v>
      </c>
      <c r="AW137" s="23">
        <f>EXP(-LN(2)/2)*AW136+(1-EXP(-LN(2)/2))/(LN(2)/2)*AQ137*AT137*VLOOKUP('Données projet'!$B$10,Paramètres!$A$1:$I$89,3,0)*0.475*44/12</f>
        <v>4.5006741671145179E-15</v>
      </c>
      <c r="AX137" s="23">
        <f t="shared" si="114"/>
        <v>0.8939028195521459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-4.9658410716801891E-14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317.71917965043735</v>
      </c>
      <c r="T138" s="62">
        <f t="shared" si="142"/>
        <v>444.40801165665744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0.52946636484176002</v>
      </c>
      <c r="AA138" s="23">
        <f>EXP(-LN(2)/25)*AA137+(1-EXP(-LN(2)/25))/(LN(2)/25)*Calculateur!V138*Calculateur!X138*VLOOKUP('Données projet'!$B$9,Paramètres!$A$1:$I$89,3,0)*0.475*44/12</f>
        <v>1.8706206722927197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2.4000870371344796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317.99999999999972</v>
      </c>
      <c r="AJ138" s="14">
        <f>AI138*VLOOKUP('Données projet'!$B$10,Paramètres!$A$1:$I$89,3,0)*VLOOKUP('Données projet'!$B$10,Paramètres!$A$1:$I$89,5,0)</f>
        <v>253.0007999999998</v>
      </c>
      <c r="AK138" s="14">
        <f t="shared" si="143"/>
        <v>61.228070105968683</v>
      </c>
      <c r="AL138" s="22">
        <f t="shared" si="112"/>
        <v>547.28194876789507</v>
      </c>
      <c r="AM138" s="62">
        <f t="shared" si="113"/>
        <v>831.98170591778216</v>
      </c>
      <c r="AN138" s="62">
        <f ca="1">AVERAGE(OFFSET($AM$3,0,0,'Données projet'!$E$10+1,1))-AVERAGE(OFFSET($H$3,0,0,'Données projet'!$E$10+1,1))</f>
        <v>376.47942810265266</v>
      </c>
      <c r="AO138" s="62">
        <f t="shared" si="144"/>
        <v>362.87951024071265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0.40787379849728617</v>
      </c>
      <c r="AV138" s="23">
        <f>EXP(-LN(2)/25)*AV137+(1-EXP(-LN(2)/25))/(LN(2)/25)*Calculateur!AQ138*Calculateur!AS138*VLOOKUP('Données projet'!$B$10,Paramètres!$A$1:$I$89,3,0)*0.475*44/12</f>
        <v>0.46480348406405886</v>
      </c>
      <c r="AW138" s="23">
        <f>EXP(-LN(2)/2)*AW137+(1-EXP(-LN(2)/2))/(LN(2)/2)*AQ138*AT138*VLOOKUP('Données projet'!$B$10,Paramètres!$A$1:$I$89,3,0)*0.475*44/12</f>
        <v>3.1824572234777925E-15</v>
      </c>
      <c r="AX138" s="23">
        <f t="shared" si="114"/>
        <v>0.87267728256134824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-4.9658410716801891E-14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317.71917965043735</v>
      </c>
      <c r="T139" s="62">
        <f t="shared" si="142"/>
        <v>444.40801165665744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0.5190838523698077</v>
      </c>
      <c r="AA139" s="23">
        <f>EXP(-LN(2)/25)*AA138+(1-EXP(-LN(2)/25))/(LN(2)/25)*Calculateur!V139*Calculateur!X139*VLOOKUP('Données projet'!$B$9,Paramètres!$A$1:$I$89,3,0)*0.475*44/12</f>
        <v>1.8194684516372095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2.3385523040070173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317.99999999999972</v>
      </c>
      <c r="AJ139" s="14">
        <f>AI139*VLOOKUP('Données projet'!$B$10,Paramètres!$A$1:$I$89,3,0)*VLOOKUP('Données projet'!$B$10,Paramètres!$A$1:$I$89,5,0)</f>
        <v>253.0007999999998</v>
      </c>
      <c r="AK139" s="14">
        <f t="shared" si="143"/>
        <v>61.228070105968683</v>
      </c>
      <c r="AL139" s="22">
        <f t="shared" si="112"/>
        <v>547.28194876789507</v>
      </c>
      <c r="AM139" s="62">
        <f t="shared" si="113"/>
        <v>832.13147916278035</v>
      </c>
      <c r="AN139" s="62">
        <f ca="1">AVERAGE(OFFSET($AM$3,0,0,'Données projet'!$E$10+1,1))-AVERAGE(OFFSET($H$3,0,0,'Données projet'!$E$10+1,1))</f>
        <v>376.47942810265266</v>
      </c>
      <c r="AO139" s="62">
        <f t="shared" si="144"/>
        <v>362.87951024071265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0.39987564208720666</v>
      </c>
      <c r="AV139" s="23">
        <f>EXP(-LN(2)/25)*AV138+(1-EXP(-LN(2)/25))/(LN(2)/25)*Calculateur!AQ139*Calculateur!AS139*VLOOKUP('Données projet'!$B$10,Paramètres!$A$1:$I$89,3,0)*0.475*44/12</f>
        <v>0.45209340834937428</v>
      </c>
      <c r="AW139" s="23">
        <f>EXP(-LN(2)/2)*AW138+(1-EXP(-LN(2)/2))/(LN(2)/2)*AQ139*AT139*VLOOKUP('Données projet'!$B$10,Paramètres!$A$1:$I$89,3,0)*0.475*44/12</f>
        <v>2.2503370835572589E-15</v>
      </c>
      <c r="AX139" s="23">
        <f t="shared" si="114"/>
        <v>0.85196905043658311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-4.9658410716801891E-14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317.71917965043735</v>
      </c>
      <c r="T140" s="62">
        <f t="shared" si="142"/>
        <v>444.40801165665744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0.50890493463472308</v>
      </c>
      <c r="AA140" s="23">
        <f>EXP(-LN(2)/25)*AA139+(1-EXP(-LN(2)/25))/(LN(2)/25)*Calculateur!V140*Calculateur!X140*VLOOKUP('Données projet'!$B$9,Paramètres!$A$1:$I$89,3,0)*0.475*44/12</f>
        <v>1.7697149911455026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2.2786199257802258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317.99999999999972</v>
      </c>
      <c r="AJ140" s="14">
        <f>AI140*VLOOKUP('Données projet'!$B$10,Paramètres!$A$1:$I$89,3,0)*VLOOKUP('Données projet'!$B$10,Paramètres!$A$1:$I$89,5,0)</f>
        <v>253.0007999999998</v>
      </c>
      <c r="AK140" s="14">
        <f t="shared" si="143"/>
        <v>61.228070105968683</v>
      </c>
      <c r="AL140" s="22">
        <f t="shared" si="112"/>
        <v>547.28194876789507</v>
      </c>
      <c r="AM140" s="62">
        <f t="shared" si="113"/>
        <v>832.27865417682051</v>
      </c>
      <c r="AN140" s="62">
        <f ca="1">AVERAGE(OFFSET($AM$3,0,0,'Données projet'!$E$10+1,1))-AVERAGE(OFFSET($H$3,0,0,'Données projet'!$E$10+1,1))</f>
        <v>376.47942810265266</v>
      </c>
      <c r="AO140" s="62">
        <f t="shared" si="144"/>
        <v>362.87951024071265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0.39203432464593507</v>
      </c>
      <c r="AV140" s="23">
        <f>EXP(-LN(2)/25)*AV139+(1-EXP(-LN(2)/25))/(LN(2)/25)*Calculateur!AQ140*Calculateur!AS140*VLOOKUP('Données projet'!$B$10,Paramètres!$A$1:$I$89,3,0)*0.475*44/12</f>
        <v>0.43973089032350154</v>
      </c>
      <c r="AW140" s="23">
        <f>EXP(-LN(2)/2)*AW139+(1-EXP(-LN(2)/2))/(LN(2)/2)*AQ140*AT140*VLOOKUP('Données projet'!$B$10,Paramètres!$A$1:$I$89,3,0)*0.475*44/12</f>
        <v>1.5912286117388962E-15</v>
      </c>
      <c r="AX140" s="23">
        <f t="shared" si="114"/>
        <v>0.83176521496943812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-4.9658410716801891E-14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317.71917965043735</v>
      </c>
      <c r="T141" s="62">
        <f t="shared" si="142"/>
        <v>444.40801165665744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0.49892561926789669</v>
      </c>
      <c r="AA141" s="23">
        <f>EXP(-LN(2)/25)*AA140+(1-EXP(-LN(2)/25))/(LN(2)/25)*Calculateur!V141*Calculateur!X141*VLOOKUP('Données projet'!$B$9,Paramètres!$A$1:$I$89,3,0)*0.475*44/12</f>
        <v>1.7213220416473622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2.220247660915259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317.99999999999972</v>
      </c>
      <c r="AJ141" s="14">
        <f>AI141*VLOOKUP('Données projet'!$B$10,Paramètres!$A$1:$I$89,3,0)*VLOOKUP('Données projet'!$B$10,Paramètres!$A$1:$I$89,5,0)</f>
        <v>253.0007999999998</v>
      </c>
      <c r="AK141" s="14">
        <f t="shared" si="143"/>
        <v>61.228070105968683</v>
      </c>
      <c r="AL141" s="22">
        <f t="shared" si="112"/>
        <v>547.28194876789507</v>
      </c>
      <c r="AM141" s="62">
        <f t="shared" si="113"/>
        <v>832.42327603340095</v>
      </c>
      <c r="AN141" s="62">
        <f ca="1">AVERAGE(OFFSET($AM$3,0,0,'Données projet'!$E$10+1,1))-AVERAGE(OFFSET($H$3,0,0,'Données projet'!$E$10+1,1))</f>
        <v>376.47942810265266</v>
      </c>
      <c r="AO141" s="62">
        <f t="shared" si="144"/>
        <v>362.87951024071265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0.38434677065695544</v>
      </c>
      <c r="AV141" s="23">
        <f>EXP(-LN(2)/25)*AV140+(1-EXP(-LN(2)/25))/(LN(2)/25)*Calculateur!AQ141*Calculateur!AS141*VLOOKUP('Données projet'!$B$10,Paramètres!$A$1:$I$89,3,0)*0.475*44/12</f>
        <v>0.42770642600316289</v>
      </c>
      <c r="AW141" s="23">
        <f>EXP(-LN(2)/2)*AW140+(1-EXP(-LN(2)/2))/(LN(2)/2)*AQ141*AT141*VLOOKUP('Données projet'!$B$10,Paramètres!$A$1:$I$89,3,0)*0.475*44/12</f>
        <v>1.1251685417786295E-15</v>
      </c>
      <c r="AX141" s="23">
        <f t="shared" si="114"/>
        <v>0.81205319666011944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-4.9658410716801891E-14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317.71917965043735</v>
      </c>
      <c r="T142" s="62">
        <f t="shared" si="142"/>
        <v>444.40801165665744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0.48914199218863241</v>
      </c>
      <c r="AA142" s="23">
        <f>EXP(-LN(2)/25)*AA141+(1-EXP(-LN(2)/25))/(LN(2)/25)*Calculateur!V142*Calculateur!X142*VLOOKUP('Données projet'!$B$9,Paramètres!$A$1:$I$89,3,0)*0.475*44/12</f>
        <v>1.6742523998981231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2.1633943920867553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317.99999999999972</v>
      </c>
      <c r="AJ142" s="14">
        <f>AI142*VLOOKUP('Données projet'!$B$10,Paramètres!$A$1:$I$89,3,0)*VLOOKUP('Données projet'!$B$10,Paramètres!$A$1:$I$89,5,0)</f>
        <v>253.0007999999998</v>
      </c>
      <c r="AK142" s="14">
        <f t="shared" si="143"/>
        <v>61.228070105968683</v>
      </c>
      <c r="AL142" s="22">
        <f t="shared" si="112"/>
        <v>547.28194876789507</v>
      </c>
      <c r="AM142" s="62">
        <f t="shared" si="113"/>
        <v>832.56538902409602</v>
      </c>
      <c r="AN142" s="62">
        <f ca="1">AVERAGE(OFFSET($AM$3,0,0,'Données projet'!$E$10+1,1))-AVERAGE(OFFSET($H$3,0,0,'Données projet'!$E$10+1,1))</f>
        <v>376.47942810265266</v>
      </c>
      <c r="AO142" s="62">
        <f t="shared" si="144"/>
        <v>362.87951024071265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0.37680996491275476</v>
      </c>
      <c r="AV142" s="23">
        <f>EXP(-LN(2)/25)*AV141+(1-EXP(-LN(2)/25))/(LN(2)/25)*Calculateur!AQ142*Calculateur!AS142*VLOOKUP('Données projet'!$B$10,Paramètres!$A$1:$I$89,3,0)*0.475*44/12</f>
        <v>0.41601077129200298</v>
      </c>
      <c r="AW142" s="23">
        <f>EXP(-LN(2)/2)*AW141+(1-EXP(-LN(2)/2))/(LN(2)/2)*AQ142*AT142*VLOOKUP('Données projet'!$B$10,Paramètres!$A$1:$I$89,3,0)*0.475*44/12</f>
        <v>7.9561430586944811E-16</v>
      </c>
      <c r="AX142" s="23">
        <f t="shared" si="114"/>
        <v>0.79282073620475846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-4.9658410716801891E-14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317.71917965043735</v>
      </c>
      <c r="T143" s="62">
        <f t="shared" si="142"/>
        <v>444.40801165665744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0.47955021606896925</v>
      </c>
      <c r="AA143" s="23">
        <f>EXP(-LN(2)/25)*AA142+(1-EXP(-LN(2)/25))/(LN(2)/25)*Calculateur!V143*Calculateur!X143*VLOOKUP('Données projet'!$B$9,Paramètres!$A$1:$I$89,3,0)*0.475*44/12</f>
        <v>1.6284698799778019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2.1080200960467712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317.99999999999972</v>
      </c>
      <c r="AJ143" s="14">
        <f>AI143*VLOOKUP('Données projet'!$B$10,Paramètres!$A$1:$I$89,3,0)*VLOOKUP('Données projet'!$B$10,Paramètres!$A$1:$I$89,5,0)</f>
        <v>253.0007999999998</v>
      </c>
      <c r="AK143" s="14">
        <f t="shared" si="143"/>
        <v>61.228070105968683</v>
      </c>
      <c r="AL143" s="22">
        <f t="shared" si="112"/>
        <v>547.28194876789507</v>
      </c>
      <c r="AM143" s="62">
        <f t="shared" si="113"/>
        <v>832.70503667211938</v>
      </c>
      <c r="AN143" s="62">
        <f ca="1">AVERAGE(OFFSET($AM$3,0,0,'Données projet'!$E$10+1,1))-AVERAGE(OFFSET($H$3,0,0,'Données projet'!$E$10+1,1))</f>
        <v>376.47942810265266</v>
      </c>
      <c r="AO143" s="62">
        <f t="shared" si="144"/>
        <v>362.87951024071265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0.36942095133220026</v>
      </c>
      <c r="AV143" s="23">
        <f>EXP(-LN(2)/25)*AV142+(1-EXP(-LN(2)/25))/(LN(2)/25)*Calculateur!AQ143*Calculateur!AS143*VLOOKUP('Données projet'!$B$10,Paramètres!$A$1:$I$89,3,0)*0.475*44/12</f>
        <v>0.40463493487396751</v>
      </c>
      <c r="AW143" s="23">
        <f>EXP(-LN(2)/2)*AW142+(1-EXP(-LN(2)/2))/(LN(2)/2)*AQ143*AT143*VLOOKUP('Données projet'!$B$10,Paramètres!$A$1:$I$89,3,0)*0.475*44/12</f>
        <v>5.6258427088931473E-16</v>
      </c>
      <c r="AX143" s="23">
        <f t="shared" si="114"/>
        <v>0.77405588620616828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-4.9658410716801891E-14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317.71917965043735</v>
      </c>
      <c r="T144" s="62">
        <f t="shared" si="142"/>
        <v>444.40801165665744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0.47014652882860691</v>
      </c>
      <c r="AA144" s="23">
        <f>EXP(-LN(2)/25)*AA143+(1-EXP(-LN(2)/25))/(LN(2)/25)*Calculateur!V144*Calculateur!X144*VLOOKUP('Données projet'!$B$9,Paramètres!$A$1:$I$89,3,0)*0.475*44/12</f>
        <v>1.5839392854722998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2.0540858143009069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317.99999999999972</v>
      </c>
      <c r="AJ144" s="14">
        <f>AI144*VLOOKUP('Données projet'!$B$10,Paramètres!$A$1:$I$89,3,0)*VLOOKUP('Données projet'!$B$10,Paramètres!$A$1:$I$89,5,0)</f>
        <v>253.0007999999998</v>
      </c>
      <c r="AK144" s="14">
        <f t="shared" si="143"/>
        <v>61.228070105968683</v>
      </c>
      <c r="AL144" s="22">
        <f t="shared" si="112"/>
        <v>547.28194876789507</v>
      </c>
      <c r="AM144" s="62">
        <f t="shared" si="113"/>
        <v>832.84226174565515</v>
      </c>
      <c r="AN144" s="62">
        <f ca="1">AVERAGE(OFFSET($AM$3,0,0,'Données projet'!$E$10+1,1))-AVERAGE(OFFSET($H$3,0,0,'Données projet'!$E$10+1,1))</f>
        <v>376.47942810265266</v>
      </c>
      <c r="AO144" s="62">
        <f t="shared" si="144"/>
        <v>362.87951024071265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0.36217683180110716</v>
      </c>
      <c r="AV144" s="23">
        <f>EXP(-LN(2)/25)*AV143+(1-EXP(-LN(2)/25))/(LN(2)/25)*Calculateur!AQ144*Calculateur!AS144*VLOOKUP('Données projet'!$B$10,Paramètres!$A$1:$I$89,3,0)*0.475*44/12</f>
        <v>0.39357017130101246</v>
      </c>
      <c r="AW144" s="23">
        <f>EXP(-LN(2)/2)*AW143+(1-EXP(-LN(2)/2))/(LN(2)/2)*AQ144*AT144*VLOOKUP('Données projet'!$B$10,Paramètres!$A$1:$I$89,3,0)*0.475*44/12</f>
        <v>3.9780715293472406E-16</v>
      </c>
      <c r="AX144" s="23">
        <f t="shared" si="114"/>
        <v>0.75574700310212006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-4.9658410716801891E-14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317.71917965043735</v>
      </c>
      <c r="T145" s="62">
        <f t="shared" si="142"/>
        <v>444.40801165665744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0.46092724215934522</v>
      </c>
      <c r="AA145" s="23">
        <f>EXP(-LN(2)/25)*AA144+(1-EXP(-LN(2)/25))/(LN(2)/25)*Calculateur!V145*Calculateur!X145*VLOOKUP('Données projet'!$B$9,Paramètres!$A$1:$I$89,3,0)*0.475*44/12</f>
        <v>1.5406263824153128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2.0015536245746581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317.99999999999972</v>
      </c>
      <c r="AJ145" s="14">
        <f>AI145*VLOOKUP('Données projet'!$B$10,Paramètres!$A$1:$I$89,3,0)*VLOOKUP('Données projet'!$B$10,Paramètres!$A$1:$I$89,5,0)</f>
        <v>253.0007999999998</v>
      </c>
      <c r="AK145" s="14">
        <f t="shared" si="143"/>
        <v>61.228070105968683</v>
      </c>
      <c r="AL145" s="22">
        <f t="shared" si="112"/>
        <v>547.28194876789507</v>
      </c>
      <c r="AM145" s="62">
        <f t="shared" si="113"/>
        <v>832.97710627095421</v>
      </c>
      <c r="AN145" s="62">
        <f ca="1">AVERAGE(OFFSET($AM$3,0,0,'Données projet'!$E$10+1,1))-AVERAGE(OFFSET($H$3,0,0,'Données projet'!$E$10+1,1))</f>
        <v>376.47942810265266</v>
      </c>
      <c r="AO145" s="62">
        <f t="shared" si="144"/>
        <v>362.87951024071265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0.35507476503554219</v>
      </c>
      <c r="AV145" s="23">
        <f>EXP(-LN(2)/25)*AV144+(1-EXP(-LN(2)/25))/(LN(2)/25)*Calculateur!AQ145*Calculateur!AS145*VLOOKUP('Données projet'!$B$10,Paramètres!$A$1:$I$89,3,0)*0.475*44/12</f>
        <v>0.38280797426983049</v>
      </c>
      <c r="AW145" s="23">
        <f>EXP(-LN(2)/2)*AW144+(1-EXP(-LN(2)/2))/(LN(2)/2)*AQ145*AT145*VLOOKUP('Données projet'!$B$10,Paramètres!$A$1:$I$89,3,0)*0.475*44/12</f>
        <v>2.8129213544465737E-16</v>
      </c>
      <c r="AX145" s="23">
        <f t="shared" si="114"/>
        <v>0.73788273930537296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-4.9658410716801891E-14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317.71917965043735</v>
      </c>
      <c r="T146" s="62">
        <f t="shared" si="142"/>
        <v>444.40801165665744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0.45188874007845814</v>
      </c>
      <c r="AA146" s="23">
        <f>EXP(-LN(2)/25)*AA145+(1-EXP(-LN(2)/25))/(LN(2)/25)*Calculateur!V146*Calculateur!X146*VLOOKUP('Données projet'!$B$9,Paramètres!$A$1:$I$89,3,0)*0.475*44/12</f>
        <v>1.4984978729701457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1.9503866130486038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317.99999999999972</v>
      </c>
      <c r="AJ146" s="14">
        <f>AI146*VLOOKUP('Données projet'!$B$10,Paramètres!$A$1:$I$89,3,0)*VLOOKUP('Données projet'!$B$10,Paramètres!$A$1:$I$89,5,0)</f>
        <v>253.0007999999998</v>
      </c>
      <c r="AK146" s="14">
        <f t="shared" si="143"/>
        <v>61.228070105968683</v>
      </c>
      <c r="AL146" s="22">
        <f t="shared" si="112"/>
        <v>547.28194876789507</v>
      </c>
      <c r="AM146" s="62">
        <f t="shared" si="113"/>
        <v>833.10961154520646</v>
      </c>
      <c r="AN146" s="62">
        <f ca="1">AVERAGE(OFFSET($AM$3,0,0,'Données projet'!$E$10+1,1))-AVERAGE(OFFSET($H$3,0,0,'Données projet'!$E$10+1,1))</f>
        <v>376.47942810265266</v>
      </c>
      <c r="AO146" s="62">
        <f t="shared" si="144"/>
        <v>362.87951024071265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0.34811196546741696</v>
      </c>
      <c r="AV146" s="23">
        <f>EXP(-LN(2)/25)*AV145+(1-EXP(-LN(2)/25))/(LN(2)/25)*Calculateur!AQ146*Calculateur!AS146*VLOOKUP('Données projet'!$B$10,Paramètres!$A$1:$I$89,3,0)*0.475*44/12</f>
        <v>0.37234007008242553</v>
      </c>
      <c r="AW146" s="23">
        <f>EXP(-LN(2)/2)*AW145+(1-EXP(-LN(2)/2))/(LN(2)/2)*AQ146*AT146*VLOOKUP('Données projet'!$B$10,Paramètres!$A$1:$I$89,3,0)*0.475*44/12</f>
        <v>1.9890357646736203E-16</v>
      </c>
      <c r="AX146" s="23">
        <f t="shared" si="114"/>
        <v>0.72045203554984272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-4.9658410716801891E-14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317.71917965043735</v>
      </c>
      <c r="T147" s="62">
        <f t="shared" si="142"/>
        <v>444.40801165665744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0.44302747751043531</v>
      </c>
      <c r="AA147" s="23">
        <f>EXP(-LN(2)/25)*AA146+(1-EXP(-LN(2)/25))/(LN(2)/25)*Calculateur!V147*Calculateur!X147*VLOOKUP('Données projet'!$B$9,Paramètres!$A$1:$I$89,3,0)*0.475*44/12</f>
        <v>1.4575213698311988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1.9005488473416341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317.99999999999972</v>
      </c>
      <c r="AJ147" s="14">
        <f>AI147*VLOOKUP('Données projet'!$B$10,Paramètres!$A$1:$I$89,3,0)*VLOOKUP('Données projet'!$B$10,Paramètres!$A$1:$I$89,5,0)</f>
        <v>253.0007999999998</v>
      </c>
      <c r="AK147" s="14">
        <f t="shared" si="143"/>
        <v>61.228070105968683</v>
      </c>
      <c r="AL147" s="22">
        <f t="shared" si="112"/>
        <v>547.28194876789507</v>
      </c>
      <c r="AM147" s="62">
        <f t="shared" si="113"/>
        <v>833.23981814918795</v>
      </c>
      <c r="AN147" s="62">
        <f ca="1">AVERAGE(OFFSET($AM$3,0,0,'Données projet'!$E$10+1,1))-AVERAGE(OFFSET($H$3,0,0,'Données projet'!$E$10+1,1))</f>
        <v>376.47942810265266</v>
      </c>
      <c r="AO147" s="62">
        <f t="shared" si="144"/>
        <v>362.87951024071265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0.34128570215193427</v>
      </c>
      <c r="AV147" s="23">
        <f>EXP(-LN(2)/25)*AV146+(1-EXP(-LN(2)/25))/(LN(2)/25)*Calculateur!AQ147*Calculateur!AS147*VLOOKUP('Données projet'!$B$10,Paramètres!$A$1:$I$89,3,0)*0.475*44/12</f>
        <v>0.3621584112855083</v>
      </c>
      <c r="AW147" s="23">
        <f>EXP(-LN(2)/2)*AW146+(1-EXP(-LN(2)/2))/(LN(2)/2)*AQ147*AT147*VLOOKUP('Données projet'!$B$10,Paramètres!$A$1:$I$89,3,0)*0.475*44/12</f>
        <v>1.4064606772232868E-16</v>
      </c>
      <c r="AX147" s="23">
        <f t="shared" si="114"/>
        <v>0.70344411343744262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-4.9658410716801891E-14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317.71917965043735</v>
      </c>
      <c r="T148" s="62">
        <f t="shared" si="142"/>
        <v>444.40801165665744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0.43433997889653492</v>
      </c>
      <c r="AA148" s="23">
        <f>EXP(-LN(2)/25)*AA147+(1-EXP(-LN(2)/25))/(LN(2)/25)*Calculateur!V148*Calculateur!X148*VLOOKUP('Données projet'!$B$9,Paramètres!$A$1:$I$89,3,0)*0.475*44/12</f>
        <v>1.417665371325447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1.852005350221982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317.99999999999972</v>
      </c>
      <c r="AJ148" s="14">
        <f>AI148*VLOOKUP('Données projet'!$B$10,Paramètres!$A$1:$I$89,3,0)*VLOOKUP('Données projet'!$B$10,Paramètres!$A$1:$I$89,5,0)</f>
        <v>253.0007999999998</v>
      </c>
      <c r="AK148" s="14">
        <f t="shared" si="143"/>
        <v>61.228070105968683</v>
      </c>
      <c r="AL148" s="22">
        <f t="shared" si="112"/>
        <v>547.28194876789507</v>
      </c>
      <c r="AM148" s="62">
        <f t="shared" si="113"/>
        <v>833.36776595968865</v>
      </c>
      <c r="AN148" s="62">
        <f ca="1">AVERAGE(OFFSET($AM$3,0,0,'Données projet'!$E$10+1,1))-AVERAGE(OFFSET($H$3,0,0,'Données projet'!$E$10+1,1))</f>
        <v>376.47942810265266</v>
      </c>
      <c r="AO148" s="62">
        <f t="shared" si="144"/>
        <v>362.87951024071265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0.33459329769645868</v>
      </c>
      <c r="AV148" s="23">
        <f>EXP(-LN(2)/25)*AV147+(1-EXP(-LN(2)/25))/(LN(2)/25)*Calculateur!AQ148*Calculateur!AS148*VLOOKUP('Données projet'!$B$10,Paramètres!$A$1:$I$89,3,0)*0.475*44/12</f>
        <v>0.35225517048382293</v>
      </c>
      <c r="AW148" s="23">
        <f>EXP(-LN(2)/2)*AW147+(1-EXP(-LN(2)/2))/(LN(2)/2)*AQ148*AT148*VLOOKUP('Données projet'!$B$10,Paramètres!$A$1:$I$89,3,0)*0.475*44/12</f>
        <v>9.9451788233681014E-17</v>
      </c>
      <c r="AX148" s="23">
        <f t="shared" si="114"/>
        <v>0.68684846818028167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-4.9658410716801891E-14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317.71917965043735</v>
      </c>
      <c r="T149" s="62">
        <f t="shared" si="142"/>
        <v>444.40801165665744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0.42582283683160221</v>
      </c>
      <c r="AA149" s="23">
        <f>EXP(-LN(2)/25)*AA148+(1-EXP(-LN(2)/25))/(LN(2)/25)*Calculateur!V149*Calculateur!X149*VLOOKUP('Données projet'!$B$9,Paramètres!$A$1:$I$89,3,0)*0.475*44/12</f>
        <v>1.3788992371947708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1.804722074026373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317.99999999999972</v>
      </c>
      <c r="AJ149" s="14">
        <f>AI149*VLOOKUP('Données projet'!$B$10,Paramètres!$A$1:$I$89,3,0)*VLOOKUP('Données projet'!$B$10,Paramètres!$A$1:$I$89,5,0)</f>
        <v>253.0007999999998</v>
      </c>
      <c r="AK149" s="14">
        <f t="shared" si="143"/>
        <v>61.228070105968683</v>
      </c>
      <c r="AL149" s="22">
        <f t="shared" si="112"/>
        <v>547.28194876789507</v>
      </c>
      <c r="AM149" s="62">
        <f t="shared" si="113"/>
        <v>833.49349416172572</v>
      </c>
      <c r="AN149" s="62">
        <f ca="1">AVERAGE(OFFSET($AM$3,0,0,'Données projet'!$E$10+1,1))-AVERAGE(OFFSET($H$3,0,0,'Données projet'!$E$10+1,1))</f>
        <v>376.47942810265266</v>
      </c>
      <c r="AO149" s="62">
        <f t="shared" si="144"/>
        <v>362.87951024071265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0.32803212721039132</v>
      </c>
      <c r="AV149" s="23">
        <f>EXP(-LN(2)/25)*AV148+(1-EXP(-LN(2)/25))/(LN(2)/25)*Calculateur!AQ149*Calculateur!AS149*VLOOKUP('Données projet'!$B$10,Paramètres!$A$1:$I$89,3,0)*0.475*44/12</f>
        <v>0.34262273432264845</v>
      </c>
      <c r="AW149" s="23">
        <f>EXP(-LN(2)/2)*AW148+(1-EXP(-LN(2)/2))/(LN(2)/2)*AQ149*AT149*VLOOKUP('Données projet'!$B$10,Paramètres!$A$1:$I$89,3,0)*0.475*44/12</f>
        <v>7.0323033861164341E-17</v>
      </c>
      <c r="AX149" s="23">
        <f t="shared" si="114"/>
        <v>0.67065486153303988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-4.9658410716801891E-14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317.71917965043735</v>
      </c>
      <c r="T150" s="62">
        <f t="shared" si="142"/>
        <v>444.40801165665744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0.4174727107276191</v>
      </c>
      <c r="AA150" s="23">
        <f>EXP(-LN(2)/25)*AA149+(1-EXP(-LN(2)/25))/(LN(2)/25)*Calculateur!V150*Calculateur!X150*VLOOKUP('Données projet'!$B$9,Paramètres!$A$1:$I$89,3,0)*0.475*44/12</f>
        <v>1.3411931650405204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1.7586658757681395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317.99999999999972</v>
      </c>
      <c r="AJ150" s="14">
        <f>AI150*VLOOKUP('Données projet'!$B$10,Paramètres!$A$1:$I$89,3,0)*VLOOKUP('Données projet'!$B$10,Paramètres!$A$1:$I$89,5,0)</f>
        <v>253.0007999999998</v>
      </c>
      <c r="AK150" s="14">
        <f t="shared" si="143"/>
        <v>61.228070105968683</v>
      </c>
      <c r="AL150" s="22">
        <f t="shared" si="112"/>
        <v>547.28194876789507</v>
      </c>
      <c r="AM150" s="62">
        <f t="shared" si="113"/>
        <v>833.61704126054349</v>
      </c>
      <c r="AN150" s="62">
        <f ca="1">AVERAGE(OFFSET($AM$3,0,0,'Données projet'!$E$10+1,1))-AVERAGE(OFFSET($H$3,0,0,'Données projet'!$E$10+1,1))</f>
        <v>376.47942810265266</v>
      </c>
      <c r="AO150" s="62">
        <f t="shared" si="144"/>
        <v>362.87951024071265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0.32159961727563691</v>
      </c>
      <c r="AV150" s="23">
        <f>EXP(-LN(2)/25)*AV149+(1-EXP(-LN(2)/25))/(LN(2)/25)*Calculateur!AQ150*Calculateur!AS150*VLOOKUP('Données projet'!$B$10,Paramètres!$A$1:$I$89,3,0)*0.475*44/12</f>
        <v>0.33325369763484908</v>
      </c>
      <c r="AW150" s="23">
        <f>EXP(-LN(2)/2)*AW149+(1-EXP(-LN(2)/2))/(LN(2)/2)*AQ150*AT150*VLOOKUP('Données projet'!$B$10,Paramètres!$A$1:$I$89,3,0)*0.475*44/12</f>
        <v>4.9725894116840507E-17</v>
      </c>
      <c r="AX150" s="23">
        <f t="shared" si="114"/>
        <v>0.65485331491048604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-4.9658410716801891E-14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317.71917965043735</v>
      </c>
      <c r="T151" s="62">
        <f t="shared" si="142"/>
        <v>444.40801165665744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0.40928632550346111</v>
      </c>
      <c r="AA151" s="23">
        <f>EXP(-LN(2)/25)*AA150+(1-EXP(-LN(2)/25))/(LN(2)/25)*Calculateur!V151*Calculateur!X151*VLOOKUP('Données projet'!$B$9,Paramètres!$A$1:$I$89,3,0)*0.475*44/12</f>
        <v>1.3045181674122042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1.7138044929156653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317.99999999999972</v>
      </c>
      <c r="AJ151" s="14">
        <f>AI151*VLOOKUP('Données projet'!$B$10,Paramètres!$A$1:$I$89,3,0)*VLOOKUP('Données projet'!$B$10,Paramètres!$A$1:$I$89,5,0)</f>
        <v>253.0007999999998</v>
      </c>
      <c r="AK151" s="14">
        <f t="shared" si="143"/>
        <v>61.228070105968683</v>
      </c>
      <c r="AL151" s="22">
        <f t="shared" si="112"/>
        <v>547.28194876789507</v>
      </c>
      <c r="AM151" s="62">
        <f t="shared" si="113"/>
        <v>833.73844509340677</v>
      </c>
      <c r="AN151" s="62">
        <f ca="1">AVERAGE(OFFSET($AM$3,0,0,'Données projet'!$E$10+1,1))-AVERAGE(OFFSET($H$3,0,0,'Données projet'!$E$10+1,1))</f>
        <v>376.47942810265266</v>
      </c>
      <c r="AO151" s="62">
        <f t="shared" si="144"/>
        <v>362.87951024071265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0.31529324493725935</v>
      </c>
      <c r="AV151" s="23">
        <f>EXP(-LN(2)/25)*AV150+(1-EXP(-LN(2)/25))/(LN(2)/25)*Calculateur!AQ151*Calculateur!AS151*VLOOKUP('Données projet'!$B$10,Paramètres!$A$1:$I$89,3,0)*0.475*44/12</f>
        <v>0.32414085774797385</v>
      </c>
      <c r="AW151" s="23">
        <f>EXP(-LN(2)/2)*AW150+(1-EXP(-LN(2)/2))/(LN(2)/2)*AQ151*AT151*VLOOKUP('Données projet'!$B$10,Paramètres!$A$1:$I$89,3,0)*0.475*44/12</f>
        <v>3.5161516930582171E-17</v>
      </c>
      <c r="AX151" s="23">
        <f t="shared" si="114"/>
        <v>0.63943410268523326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-4.9658410716801891E-14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317.71917965043735</v>
      </c>
      <c r="T152" s="62">
        <f t="shared" si="142"/>
        <v>444.40801165665744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0.40126047030034689</v>
      </c>
      <c r="AA152" s="23">
        <f>EXP(-LN(2)/25)*AA151+(1-EXP(-LN(2)/25))/(LN(2)/25)*Calculateur!V152*Calculateur!X152*VLOOKUP('Données projet'!$B$9,Paramètres!$A$1:$I$89,3,0)*0.475*44/12</f>
        <v>1.2688460495226885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1.6701065198230354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317.99999999999972</v>
      </c>
      <c r="AJ152" s="14">
        <f>AI152*VLOOKUP('Données projet'!$B$10,Paramètres!$A$1:$I$89,3,0)*VLOOKUP('Données projet'!$B$10,Paramètres!$A$1:$I$89,5,0)</f>
        <v>253.0007999999998</v>
      </c>
      <c r="AK152" s="14">
        <f t="shared" si="143"/>
        <v>61.228070105968683</v>
      </c>
      <c r="AL152" s="22">
        <f t="shared" si="112"/>
        <v>547.28194876789507</v>
      </c>
      <c r="AM152" s="62">
        <f t="shared" si="113"/>
        <v>833.85774284118816</v>
      </c>
      <c r="AN152" s="62">
        <f ca="1">AVERAGE(OFFSET($AM$3,0,0,'Données projet'!$E$10+1,1))-AVERAGE(OFFSET($H$3,0,0,'Données projet'!$E$10+1,1))</f>
        <v>376.47942810265266</v>
      </c>
      <c r="AO152" s="62">
        <f t="shared" si="144"/>
        <v>362.87951024071265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0.30911053671393007</v>
      </c>
      <c r="AV152" s="23">
        <f>EXP(-LN(2)/25)*AV151+(1-EXP(-LN(2)/25))/(LN(2)/25)*Calculateur!AQ152*Calculateur!AS152*VLOOKUP('Données projet'!$B$10,Paramètres!$A$1:$I$89,3,0)*0.475*44/12</f>
        <v>0.31527720894702865</v>
      </c>
      <c r="AW152" s="23">
        <f>EXP(-LN(2)/2)*AW151+(1-EXP(-LN(2)/2))/(LN(2)/2)*AQ152*AT152*VLOOKUP('Données projet'!$B$10,Paramètres!$A$1:$I$89,3,0)*0.475*44/12</f>
        <v>2.4862947058420254E-17</v>
      </c>
      <c r="AX152" s="23">
        <f t="shared" si="114"/>
        <v>0.62438774566095878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-4.9658410716801891E-14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317.71917965043735</v>
      </c>
      <c r="T153" s="62">
        <f t="shared" si="142"/>
        <v>444.40801165665744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0.39339199722247742</v>
      </c>
      <c r="AA153" s="23">
        <f>EXP(-LN(2)/25)*AA152+(1-EXP(-LN(2)/25))/(LN(2)/25)*Calculateur!V153*Calculateur!X153*VLOOKUP('Données projet'!$B$9,Paramètres!$A$1:$I$89,3,0)*0.475*44/12</f>
        <v>1.2341493875727769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1.6275413847952542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317.99999999999972</v>
      </c>
      <c r="AJ153" s="14">
        <f>AI153*VLOOKUP('Données projet'!$B$10,Paramètres!$A$1:$I$89,3,0)*VLOOKUP('Données projet'!$B$10,Paramètres!$A$1:$I$89,5,0)</f>
        <v>253.0007999999998</v>
      </c>
      <c r="AK153" s="14">
        <f t="shared" si="143"/>
        <v>61.228070105968683</v>
      </c>
      <c r="AL153" s="22">
        <f t="shared" si="112"/>
        <v>547.28194876789507</v>
      </c>
      <c r="AM153" s="62">
        <f t="shared" si="113"/>
        <v>833.97497103975547</v>
      </c>
      <c r="AN153" s="62">
        <f ca="1">AVERAGE(OFFSET($AM$3,0,0,'Données projet'!$E$10+1,1))-AVERAGE(OFFSET($H$3,0,0,'Données projet'!$E$10+1,1))</f>
        <v>376.47942810265266</v>
      </c>
      <c r="AO153" s="62">
        <f t="shared" si="144"/>
        <v>362.87951024071265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0.30304906762778067</v>
      </c>
      <c r="AV153" s="23">
        <f>EXP(-LN(2)/25)*AV152+(1-EXP(-LN(2)/25))/(LN(2)/25)*Calculateur!AQ153*Calculateur!AS153*VLOOKUP('Données projet'!$B$10,Paramètres!$A$1:$I$89,3,0)*0.475*44/12</f>
        <v>0.30665593708866429</v>
      </c>
      <c r="AW153" s="23">
        <f>EXP(-LN(2)/2)*AW152+(1-EXP(-LN(2)/2))/(LN(2)/2)*AQ153*AT153*VLOOKUP('Données projet'!$B$10,Paramètres!$A$1:$I$89,3,0)*0.475*44/12</f>
        <v>1.7580758465291085E-17</v>
      </c>
      <c r="AX153" s="23">
        <f t="shared" si="114"/>
        <v>0.60970500471644495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-4.9658410716801891E-14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317.71917965043735</v>
      </c>
      <c r="T154" s="62">
        <f t="shared" si="142"/>
        <v>444.40801165665744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0.38567782010237028</v>
      </c>
      <c r="AA154" s="23">
        <f>EXP(-LN(2)/25)*AA153+(1-EXP(-LN(2)/25))/(LN(2)/25)*Calculateur!V154*Calculateur!X154*VLOOKUP('Données projet'!$B$9,Paramètres!$A$1:$I$89,3,0)*0.475*44/12</f>
        <v>1.2004015076685037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1.586079327770874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317.99999999999972</v>
      </c>
      <c r="AJ154" s="14">
        <f>AI154*VLOOKUP('Données projet'!$B$10,Paramètres!$A$1:$I$89,3,0)*VLOOKUP('Données projet'!$B$10,Paramètres!$A$1:$I$89,5,0)</f>
        <v>253.0007999999998</v>
      </c>
      <c r="AK154" s="14">
        <f t="shared" ref="AK154:AK203" si="164">EXP(-1.0587+0.8836*LN(AJ154)+0.284)</f>
        <v>61.228070105968683</v>
      </c>
      <c r="AL154" s="22">
        <f t="shared" ref="AL154:AL203" si="165">(AJ154+AK154)*0.475*44/12</f>
        <v>547.28194876789507</v>
      </c>
      <c r="AM154" s="62">
        <f t="shared" si="113"/>
        <v>834.09016559116048</v>
      </c>
      <c r="AN154" s="62">
        <f ca="1">AVERAGE(OFFSET($AM$3,0,0,'Données projet'!$E$10+1,1))-AVERAGE(OFFSET($H$3,0,0,'Données projet'!$E$10+1,1))</f>
        <v>376.47942810265266</v>
      </c>
      <c r="AO154" s="62">
        <f t="shared" si="144"/>
        <v>362.87951024071265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0.29710646025327953</v>
      </c>
      <c r="AV154" s="23">
        <f>EXP(-LN(2)/25)*AV153+(1-EXP(-LN(2)/25))/(LN(2)/25)*Calculateur!AQ154*Calculateur!AS154*VLOOKUP('Données projet'!$B$10,Paramètres!$A$1:$I$89,3,0)*0.475*44/12</f>
        <v>0.2982704143626399</v>
      </c>
      <c r="AW154" s="23">
        <f>EXP(-LN(2)/2)*AW153+(1-EXP(-LN(2)/2))/(LN(2)/2)*AQ154*AT154*VLOOKUP('Données projet'!$B$10,Paramètres!$A$1:$I$89,3,0)*0.475*44/12</f>
        <v>1.2431473529210127E-17</v>
      </c>
      <c r="AX154" s="23">
        <f t="shared" ref="AX154:AX203" si="166">SUM(AU154:AW154)</f>
        <v>0.59537687461591937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-4.9658410716801891E-14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317.71917965043735</v>
      </c>
      <c r="T155" s="62">
        <f t="shared" si="142"/>
        <v>444.40801165665744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0.37811491329040503</v>
      </c>
      <c r="AA155" s="23">
        <f>EXP(-LN(2)/25)*AA154+(1-EXP(-LN(2)/25))/(LN(2)/25)*Calculateur!V155*Calculateur!X155*VLOOKUP('Données projet'!$B$9,Paramètres!$A$1:$I$89,3,0)*0.475*44/12</f>
        <v>1.1675764653149368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1.5456913786053419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317.99999999999972</v>
      </c>
      <c r="AJ155" s="14">
        <f>AI155*VLOOKUP('Données projet'!$B$10,Paramètres!$A$1:$I$89,3,0)*VLOOKUP('Données projet'!$B$10,Paramètres!$A$1:$I$89,5,0)</f>
        <v>253.0007999999998</v>
      </c>
      <c r="AK155" s="14">
        <f t="shared" si="164"/>
        <v>61.228070105968683</v>
      </c>
      <c r="AL155" s="22">
        <f t="shared" si="165"/>
        <v>547.28194876789507</v>
      </c>
      <c r="AM155" s="62">
        <f t="shared" si="113"/>
        <v>834.20336177463491</v>
      </c>
      <c r="AN155" s="62">
        <f ca="1">AVERAGE(OFFSET($AM$3,0,0,'Données projet'!$E$10+1,1))-AVERAGE(OFFSET($H$3,0,0,'Données projet'!$E$10+1,1))</f>
        <v>376.47942810265266</v>
      </c>
      <c r="AO155" s="62">
        <f t="shared" si="144"/>
        <v>362.87951024071265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0.29128038378475979</v>
      </c>
      <c r="AV155" s="23">
        <f>EXP(-LN(2)/25)*AV154+(1-EXP(-LN(2)/25))/(LN(2)/25)*Calculateur!AQ155*Calculateur!AS155*VLOOKUP('Données projet'!$B$10,Paramètres!$A$1:$I$89,3,0)*0.475*44/12</f>
        <v>0.29011419419653411</v>
      </c>
      <c r="AW155" s="23">
        <f>EXP(-LN(2)/2)*AW154+(1-EXP(-LN(2)/2))/(LN(2)/2)*AQ155*AT155*VLOOKUP('Données projet'!$B$10,Paramètres!$A$1:$I$89,3,0)*0.475*44/12</f>
        <v>8.7903792326455427E-18</v>
      </c>
      <c r="AX155" s="23">
        <f t="shared" si="166"/>
        <v>0.5813945779812939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-4.9658410716801891E-14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317.71917965043735</v>
      </c>
      <c r="T156" s="62">
        <f t="shared" si="142"/>
        <v>444.40801165665744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0.37070031046810475</v>
      </c>
      <c r="AA156" s="23">
        <f>EXP(-LN(2)/25)*AA155+(1-EXP(-LN(2)/25))/(LN(2)/25)*Calculateur!V156*Calculateur!X156*VLOOKUP('Données projet'!$B$9,Paramètres!$A$1:$I$89,3,0)*0.475*44/12</f>
        <v>1.1356490254707221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1.5063493359388269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317.99999999999972</v>
      </c>
      <c r="AJ156" s="14">
        <f>AI156*VLOOKUP('Données projet'!$B$10,Paramètres!$A$1:$I$89,3,0)*VLOOKUP('Données projet'!$B$10,Paramètres!$A$1:$I$89,5,0)</f>
        <v>253.0007999999998</v>
      </c>
      <c r="AK156" s="14">
        <f t="shared" si="164"/>
        <v>61.228070105968683</v>
      </c>
      <c r="AL156" s="22">
        <f t="shared" si="165"/>
        <v>547.28194876789507</v>
      </c>
      <c r="AM156" s="62">
        <f t="shared" si="113"/>
        <v>834.31459425739513</v>
      </c>
      <c r="AN156" s="62">
        <f ca="1">AVERAGE(OFFSET($AM$3,0,0,'Données projet'!$E$10+1,1))-AVERAGE(OFFSET($H$3,0,0,'Données projet'!$E$10+1,1))</f>
        <v>376.47942810265266</v>
      </c>
      <c r="AO156" s="62">
        <f t="shared" si="144"/>
        <v>362.87951024071265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0.28556855312223195</v>
      </c>
      <c r="AV156" s="23">
        <f>EXP(-LN(2)/25)*AV155+(1-EXP(-LN(2)/25))/(LN(2)/25)*Calculateur!AQ156*Calculateur!AS156*VLOOKUP('Données projet'!$B$10,Paramètres!$A$1:$I$89,3,0)*0.475*44/12</f>
        <v>0.28218100629978748</v>
      </c>
      <c r="AW156" s="23">
        <f>EXP(-LN(2)/2)*AW155+(1-EXP(-LN(2)/2))/(LN(2)/2)*AQ156*AT156*VLOOKUP('Données projet'!$B$10,Paramètres!$A$1:$I$89,3,0)*0.475*44/12</f>
        <v>6.2157367646050634E-18</v>
      </c>
      <c r="AX156" s="23">
        <f t="shared" si="166"/>
        <v>0.56774955942201943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-4.9658410716801891E-14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317.71917965043735</v>
      </c>
      <c r="T157" s="62">
        <f t="shared" si="142"/>
        <v>444.40801165665744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0.3634311034846886</v>
      </c>
      <c r="AA157" s="23">
        <f>EXP(-LN(2)/25)*AA156+(1-EXP(-LN(2)/25))/(LN(2)/25)*Calculateur!V157*Calculateur!X157*VLOOKUP('Données projet'!$B$9,Paramètres!$A$1:$I$89,3,0)*0.475*44/12</f>
        <v>1.1045946431480385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1.4680257466327271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317.99999999999972</v>
      </c>
      <c r="AJ157" s="14">
        <f>AI157*VLOOKUP('Données projet'!$B$10,Paramètres!$A$1:$I$89,3,0)*VLOOKUP('Données projet'!$B$10,Paramètres!$A$1:$I$89,5,0)</f>
        <v>253.0007999999998</v>
      </c>
      <c r="AK157" s="14">
        <f t="shared" si="164"/>
        <v>61.228070105968683</v>
      </c>
      <c r="AL157" s="22">
        <f t="shared" si="165"/>
        <v>547.28194876789507</v>
      </c>
      <c r="AM157" s="62">
        <f t="shared" si="113"/>
        <v>834.42389710525777</v>
      </c>
      <c r="AN157" s="62">
        <f ca="1">AVERAGE(OFFSET($AM$3,0,0,'Données projet'!$E$10+1,1))-AVERAGE(OFFSET($H$3,0,0,'Données projet'!$E$10+1,1))</f>
        <v>376.47942810265266</v>
      </c>
      <c r="AO157" s="62">
        <f t="shared" si="144"/>
        <v>362.87951024071265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0.27996872797512357</v>
      </c>
      <c r="AV157" s="23">
        <f>EXP(-LN(2)/25)*AV156+(1-EXP(-LN(2)/25))/(LN(2)/25)*Calculateur!AQ157*Calculateur!AS157*VLOOKUP('Données projet'!$B$10,Paramètres!$A$1:$I$89,3,0)*0.475*44/12</f>
        <v>0.27446475184326563</v>
      </c>
      <c r="AW157" s="23">
        <f>EXP(-LN(2)/2)*AW156+(1-EXP(-LN(2)/2))/(LN(2)/2)*AQ157*AT157*VLOOKUP('Données projet'!$B$10,Paramètres!$A$1:$I$89,3,0)*0.475*44/12</f>
        <v>4.3951896163227713E-18</v>
      </c>
      <c r="AX157" s="23">
        <f t="shared" si="166"/>
        <v>0.5544334798183892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-4.9658410716801891E-14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317.71917965043735</v>
      </c>
      <c r="T158" s="62">
        <f t="shared" si="142"/>
        <v>444.40801165665744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0.35630444121643878</v>
      </c>
      <c r="AA158" s="23">
        <f>EXP(-LN(2)/25)*AA157+(1-EXP(-LN(2)/25))/(LN(2)/25)*Calculateur!V158*Calculateur!X158*VLOOKUP('Données projet'!$B$9,Paramètres!$A$1:$I$89,3,0)*0.475*44/12</f>
        <v>1.0743894445430477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1.4306938857594864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317.99999999999972</v>
      </c>
      <c r="AJ158" s="14">
        <f>AI158*VLOOKUP('Données projet'!$B$10,Paramètres!$A$1:$I$89,3,0)*VLOOKUP('Données projet'!$B$10,Paramètres!$A$1:$I$89,5,0)</f>
        <v>253.0007999999998</v>
      </c>
      <c r="AK158" s="14">
        <f t="shared" si="164"/>
        <v>61.228070105968683</v>
      </c>
      <c r="AL158" s="22">
        <f t="shared" si="165"/>
        <v>547.28194876789507</v>
      </c>
      <c r="AM158" s="62">
        <f t="shared" si="113"/>
        <v>834.53130379307481</v>
      </c>
      <c r="AN158" s="62">
        <f ca="1">AVERAGE(OFFSET($AM$3,0,0,'Données projet'!$E$10+1,1))-AVERAGE(OFFSET($H$3,0,0,'Données projet'!$E$10+1,1))</f>
        <v>376.47942810265266</v>
      </c>
      <c r="AO158" s="62">
        <f t="shared" si="144"/>
        <v>362.87951024071265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0.27447871198359391</v>
      </c>
      <c r="AV158" s="23">
        <f>EXP(-LN(2)/25)*AV157+(1-EXP(-LN(2)/25))/(LN(2)/25)*Calculateur!AQ158*Calculateur!AS158*VLOOKUP('Données projet'!$B$10,Paramètres!$A$1:$I$89,3,0)*0.475*44/12</f>
        <v>0.26695949877063752</v>
      </c>
      <c r="AW158" s="23">
        <f>EXP(-LN(2)/2)*AW157+(1-EXP(-LN(2)/2))/(LN(2)/2)*AQ158*AT158*VLOOKUP('Données projet'!$B$10,Paramètres!$A$1:$I$89,3,0)*0.475*44/12</f>
        <v>3.1078683823025317E-18</v>
      </c>
      <c r="AX158" s="23">
        <f t="shared" si="166"/>
        <v>0.54143821075423149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-4.9658410716801891E-14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317.71917965043735</v>
      </c>
      <c r="T159" s="62">
        <f t="shared" si="142"/>
        <v>444.40801165665744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0.34931752844843456</v>
      </c>
      <c r="AA159" s="23">
        <f>EXP(-LN(2)/25)*AA158+(1-EXP(-LN(2)/25))/(LN(2)/25)*Calculateur!V159*Calculateur!X159*VLOOKUP('Données projet'!$B$9,Paramètres!$A$1:$I$89,3,0)*0.475*44/12</f>
        <v>1.0450102086823327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1.3943277371307672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317.99999999999972</v>
      </c>
      <c r="AJ159" s="14">
        <f>AI159*VLOOKUP('Données projet'!$B$10,Paramètres!$A$1:$I$89,3,0)*VLOOKUP('Données projet'!$B$10,Paramètres!$A$1:$I$89,5,0)</f>
        <v>253.0007999999998</v>
      </c>
      <c r="AK159" s="14">
        <f t="shared" si="164"/>
        <v>61.228070105968683</v>
      </c>
      <c r="AL159" s="22">
        <f t="shared" si="165"/>
        <v>547.28194876789507</v>
      </c>
      <c r="AM159" s="62">
        <f t="shared" si="113"/>
        <v>834.63684721498339</v>
      </c>
      <c r="AN159" s="62">
        <f ca="1">AVERAGE(OFFSET($AM$3,0,0,'Données projet'!$E$10+1,1))-AVERAGE(OFFSET($H$3,0,0,'Données projet'!$E$10+1,1))</f>
        <v>376.47942810265266</v>
      </c>
      <c r="AO159" s="62">
        <f t="shared" si="144"/>
        <v>362.87951024071265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0.26909635185707903</v>
      </c>
      <c r="AV159" s="23">
        <f>EXP(-LN(2)/25)*AV158+(1-EXP(-LN(2)/25))/(LN(2)/25)*Calculateur!AQ159*Calculateur!AS159*VLOOKUP('Données projet'!$B$10,Paramètres!$A$1:$I$89,3,0)*0.475*44/12</f>
        <v>0.25965947723796451</v>
      </c>
      <c r="AW159" s="23">
        <f>EXP(-LN(2)/2)*AW158+(1-EXP(-LN(2)/2))/(LN(2)/2)*AQ159*AT159*VLOOKUP('Données projet'!$B$10,Paramètres!$A$1:$I$89,3,0)*0.475*44/12</f>
        <v>2.1975948081613857E-18</v>
      </c>
      <c r="AX159" s="23">
        <f t="shared" si="166"/>
        <v>0.52875582909504359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-4.9658410716801891E-14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317.71917965043735</v>
      </c>
      <c r="T160" s="62">
        <f t="shared" si="142"/>
        <v>444.40801165665744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0.34246762477821491</v>
      </c>
      <c r="AA160" s="23">
        <f>EXP(-LN(2)/25)*AA159+(1-EXP(-LN(2)/25))/(LN(2)/25)*Calculateur!V160*Calculateur!X160*VLOOKUP('Données projet'!$B$9,Paramètres!$A$1:$I$89,3,0)*0.475*44/12</f>
        <v>1.0164343495712158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1.3589019743494308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317.99999999999972</v>
      </c>
      <c r="AJ160" s="14">
        <f>AI160*VLOOKUP('Données projet'!$B$10,Paramètres!$A$1:$I$89,3,0)*VLOOKUP('Données projet'!$B$10,Paramètres!$A$1:$I$89,5,0)</f>
        <v>253.0007999999998</v>
      </c>
      <c r="AK160" s="14">
        <f t="shared" si="164"/>
        <v>61.228070105968683</v>
      </c>
      <c r="AL160" s="22">
        <f t="shared" si="165"/>
        <v>547.28194876789507</v>
      </c>
      <c r="AM160" s="62">
        <f t="shared" si="113"/>
        <v>834.74055969448159</v>
      </c>
      <c r="AN160" s="62">
        <f ca="1">AVERAGE(OFFSET($AM$3,0,0,'Données projet'!$E$10+1,1))-AVERAGE(OFFSET($H$3,0,0,'Données projet'!$E$10+1,1))</f>
        <v>376.47942810265266</v>
      </c>
      <c r="AO160" s="62">
        <f t="shared" si="144"/>
        <v>362.87951024071265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0.26381953652972961</v>
      </c>
      <c r="AV160" s="23">
        <f>EXP(-LN(2)/25)*AV159+(1-EXP(-LN(2)/25))/(LN(2)/25)*Calculateur!AQ160*Calculateur!AS160*VLOOKUP('Données projet'!$B$10,Paramètres!$A$1:$I$89,3,0)*0.475*44/12</f>
        <v>0.25255907517799392</v>
      </c>
      <c r="AW160" s="23">
        <f>EXP(-LN(2)/2)*AW159+(1-EXP(-LN(2)/2))/(LN(2)/2)*AQ160*AT160*VLOOKUP('Données projet'!$B$10,Paramètres!$A$1:$I$89,3,0)*0.475*44/12</f>
        <v>1.5539341911512658E-18</v>
      </c>
      <c r="AX160" s="23">
        <f t="shared" si="166"/>
        <v>0.51637861170772359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-4.9658410716801891E-14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317.71917965043735</v>
      </c>
      <c r="T161" s="62">
        <f t="shared" si="142"/>
        <v>444.40801165665744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0.33575204354093957</v>
      </c>
      <c r="AA161" s="23">
        <f>EXP(-LN(2)/25)*AA160+(1-EXP(-LN(2)/25))/(LN(2)/25)*Calculateur!V161*Calculateur!X161*VLOOKUP('Données projet'!$B$9,Paramètres!$A$1:$I$89,3,0)*0.475*44/12</f>
        <v>0.98863989883023151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1.3243919423711712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317.99999999999972</v>
      </c>
      <c r="AJ161" s="14">
        <f>AI161*VLOOKUP('Données projet'!$B$10,Paramètres!$A$1:$I$89,3,0)*VLOOKUP('Données projet'!$B$10,Paramètres!$A$1:$I$89,5,0)</f>
        <v>253.0007999999998</v>
      </c>
      <c r="AK161" s="14">
        <f t="shared" si="164"/>
        <v>61.228070105968683</v>
      </c>
      <c r="AL161" s="22">
        <f t="shared" si="165"/>
        <v>547.28194876789507</v>
      </c>
      <c r="AM161" s="62">
        <f t="shared" si="113"/>
        <v>834.84247299432707</v>
      </c>
      <c r="AN161" s="62">
        <f ca="1">AVERAGE(OFFSET($AM$3,0,0,'Données projet'!$E$10+1,1))-AVERAGE(OFFSET($H$3,0,0,'Données projet'!$E$10+1,1))</f>
        <v>376.47942810265266</v>
      </c>
      <c r="AO161" s="62">
        <f t="shared" si="144"/>
        <v>362.87951024071265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0.25864619633240998</v>
      </c>
      <c r="AV161" s="23">
        <f>EXP(-LN(2)/25)*AV160+(1-EXP(-LN(2)/25))/(LN(2)/25)*Calculateur!AQ161*Calculateur!AS161*VLOOKUP('Données projet'!$B$10,Paramètres!$A$1:$I$89,3,0)*0.475*44/12</f>
        <v>0.24565283398574714</v>
      </c>
      <c r="AW161" s="23">
        <f>EXP(-LN(2)/2)*AW160+(1-EXP(-LN(2)/2))/(LN(2)/2)*AQ161*AT161*VLOOKUP('Données projet'!$B$10,Paramètres!$A$1:$I$89,3,0)*0.475*44/12</f>
        <v>1.0987974040806928E-18</v>
      </c>
      <c r="AX161" s="23">
        <f t="shared" si="166"/>
        <v>0.50429903031815715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-4.9658410716801891E-14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317.71917965043735</v>
      </c>
      <c r="T162" s="62">
        <f t="shared" si="142"/>
        <v>444.40801165665744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0.32916815075562711</v>
      </c>
      <c r="AA162" s="23">
        <f>EXP(-LN(2)/25)*AA161+(1-EXP(-LN(2)/25))/(LN(2)/25)*Calculateur!V162*Calculateur!X162*VLOOKUP('Données projet'!$B$9,Paramètres!$A$1:$I$89,3,0)*0.475*44/12</f>
        <v>0.96160548880640617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1.2907736395620333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317.99999999999972</v>
      </c>
      <c r="AJ162" s="14">
        <f>AI162*VLOOKUP('Données projet'!$B$10,Paramètres!$A$1:$I$89,3,0)*VLOOKUP('Données projet'!$B$10,Paramètres!$A$1:$I$89,5,0)</f>
        <v>253.0007999999998</v>
      </c>
      <c r="AK162" s="14">
        <f t="shared" si="164"/>
        <v>61.228070105968683</v>
      </c>
      <c r="AL162" s="22">
        <f t="shared" si="165"/>
        <v>547.28194876789507</v>
      </c>
      <c r="AM162" s="62">
        <f t="shared" si="113"/>
        <v>834.94261832626398</v>
      </c>
      <c r="AN162" s="62">
        <f ca="1">AVERAGE(OFFSET($AM$3,0,0,'Données projet'!$E$10+1,1))-AVERAGE(OFFSET($H$3,0,0,'Données projet'!$E$10+1,1))</f>
        <v>376.47942810265266</v>
      </c>
      <c r="AO162" s="62">
        <f t="shared" si="144"/>
        <v>362.87951024071265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0.2535743021809338</v>
      </c>
      <c r="AV162" s="23">
        <f>EXP(-LN(2)/25)*AV161+(1-EXP(-LN(2)/25))/(LN(2)/25)*Calculateur!AQ162*Calculateur!AS162*VLOOKUP('Données projet'!$B$10,Paramètres!$A$1:$I$89,3,0)*0.475*44/12</f>
        <v>0.2389354443220858</v>
      </c>
      <c r="AW162" s="23">
        <f>EXP(-LN(2)/2)*AW161+(1-EXP(-LN(2)/2))/(LN(2)/2)*AQ162*AT162*VLOOKUP('Données projet'!$B$10,Paramètres!$A$1:$I$89,3,0)*0.475*44/12</f>
        <v>7.7696709557563292E-19</v>
      </c>
      <c r="AX162" s="23">
        <f t="shared" si="166"/>
        <v>0.4925097465030196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-4.9658410716801891E-14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317.71917965043735</v>
      </c>
      <c r="T163" s="62">
        <f t="shared" si="142"/>
        <v>444.40801165665744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0.32271336409205659</v>
      </c>
      <c r="AA163" s="23">
        <f>EXP(-LN(2)/25)*AA162+(1-EXP(-LN(2)/25))/(LN(2)/25)*Calculateur!V163*Calculateur!X163*VLOOKUP('Données projet'!$B$9,Paramètres!$A$1:$I$89,3,0)*0.475*44/12</f>
        <v>0.93531033614636017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1.2580237002384167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317.99999999999972</v>
      </c>
      <c r="AJ163" s="14">
        <f>AI163*VLOOKUP('Données projet'!$B$10,Paramètres!$A$1:$I$89,3,0)*VLOOKUP('Données projet'!$B$10,Paramètres!$A$1:$I$89,5,0)</f>
        <v>253.0007999999998</v>
      </c>
      <c r="AK163" s="14">
        <f t="shared" si="164"/>
        <v>61.228070105968683</v>
      </c>
      <c r="AL163" s="22">
        <f t="shared" si="165"/>
        <v>547.28194876789507</v>
      </c>
      <c r="AM163" s="62">
        <f t="shared" si="113"/>
        <v>835.04102636058337</v>
      </c>
      <c r="AN163" s="62">
        <f ca="1">AVERAGE(OFFSET($AM$3,0,0,'Données projet'!$E$10+1,1))-AVERAGE(OFFSET($H$3,0,0,'Données projet'!$E$10+1,1))</f>
        <v>376.47942810265266</v>
      </c>
      <c r="AO163" s="62">
        <f t="shared" si="144"/>
        <v>362.87951024071265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0.24860186478021812</v>
      </c>
      <c r="AV163" s="23">
        <f>EXP(-LN(2)/25)*AV162+(1-EXP(-LN(2)/25))/(LN(2)/25)*Calculateur!AQ163*Calculateur!AS163*VLOOKUP('Données projet'!$B$10,Paramètres!$A$1:$I$89,3,0)*0.475*44/12</f>
        <v>0.23240174203202943</v>
      </c>
      <c r="AW163" s="23">
        <f>EXP(-LN(2)/2)*AW162+(1-EXP(-LN(2)/2))/(LN(2)/2)*AQ163*AT163*VLOOKUP('Données projet'!$B$10,Paramètres!$A$1:$I$89,3,0)*0.475*44/12</f>
        <v>5.4939870204034642E-19</v>
      </c>
      <c r="AX163" s="23">
        <f t="shared" si="166"/>
        <v>0.48100360681224752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-4.9658410716801891E-14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317.71917965043735</v>
      </c>
      <c r="T164" s="62">
        <f t="shared" si="142"/>
        <v>444.40801165665744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0.31638515185792754</v>
      </c>
      <c r="AA164" s="23">
        <f>EXP(-LN(2)/25)*AA163+(1-EXP(-LN(2)/25))/(LN(2)/25)*Calculateur!V164*Calculateur!X164*VLOOKUP('Données projet'!$B$9,Paramètres!$A$1:$I$89,3,0)*0.475*44/12</f>
        <v>0.90973422581860508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1.2261193776765327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317.99999999999972</v>
      </c>
      <c r="AJ164" s="14">
        <f>AI164*VLOOKUP('Données projet'!$B$10,Paramètres!$A$1:$I$89,3,0)*VLOOKUP('Données projet'!$B$10,Paramètres!$A$1:$I$89,5,0)</f>
        <v>253.0007999999998</v>
      </c>
      <c r="AK164" s="14">
        <f t="shared" si="164"/>
        <v>61.228070105968683</v>
      </c>
      <c r="AL164" s="22">
        <f t="shared" si="165"/>
        <v>547.28194876789507</v>
      </c>
      <c r="AM164" s="62">
        <f t="shared" si="113"/>
        <v>835.13772723551483</v>
      </c>
      <c r="AN164" s="62">
        <f ca="1">AVERAGE(OFFSET($AM$3,0,0,'Données projet'!$E$10+1,1))-AVERAGE(OFFSET($H$3,0,0,'Données projet'!$E$10+1,1))</f>
        <v>376.47942810265266</v>
      </c>
      <c r="AO164" s="62">
        <f t="shared" si="144"/>
        <v>362.87951024071265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0.24372693384404312</v>
      </c>
      <c r="AV164" s="23">
        <f>EXP(-LN(2)/25)*AV163+(1-EXP(-LN(2)/25))/(LN(2)/25)*Calculateur!AQ164*Calculateur!AS164*VLOOKUP('Données projet'!$B$10,Paramètres!$A$1:$I$89,3,0)*0.475*44/12</f>
        <v>0.22604670417468714</v>
      </c>
      <c r="AW164" s="23">
        <f>EXP(-LN(2)/2)*AW163+(1-EXP(-LN(2)/2))/(LN(2)/2)*AQ164*AT164*VLOOKUP('Données projet'!$B$10,Paramètres!$A$1:$I$89,3,0)*0.475*44/12</f>
        <v>3.8848354778781646E-19</v>
      </c>
      <c r="AX164" s="23">
        <f t="shared" si="166"/>
        <v>0.46977363801873029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-4.9658410716801891E-14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317.71917965043735</v>
      </c>
      <c r="T165" s="62">
        <f t="shared" si="142"/>
        <v>444.40801165665744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0.31018103200588143</v>
      </c>
      <c r="AA165" s="23">
        <f>EXP(-LN(2)/25)*AA164+(1-EXP(-LN(2)/25))/(LN(2)/25)*Calculateur!V165*Calculateur!X165*VLOOKUP('Données projet'!$B$9,Paramètres!$A$1:$I$89,3,0)*0.475*44/12</f>
        <v>0.88485749557275162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1.195038527578633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317.99999999999972</v>
      </c>
      <c r="AJ165" s="14">
        <f>AI165*VLOOKUP('Données projet'!$B$10,Paramètres!$A$1:$I$89,3,0)*VLOOKUP('Données projet'!$B$10,Paramètres!$A$1:$I$89,5,0)</f>
        <v>253.0007999999998</v>
      </c>
      <c r="AK165" s="14">
        <f t="shared" si="164"/>
        <v>61.228070105968683</v>
      </c>
      <c r="AL165" s="22">
        <f t="shared" si="165"/>
        <v>547.28194876789507</v>
      </c>
      <c r="AM165" s="62">
        <f t="shared" si="113"/>
        <v>835.23275056645684</v>
      </c>
      <c r="AN165" s="62">
        <f ca="1">AVERAGE(OFFSET($AM$3,0,0,'Données projet'!$E$10+1,1))-AVERAGE(OFFSET($H$3,0,0,'Données projet'!$E$10+1,1))</f>
        <v>376.47942810265266</v>
      </c>
      <c r="AO165" s="62">
        <f t="shared" si="144"/>
        <v>362.87951024071265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0.23894759733011225</v>
      </c>
      <c r="AV165" s="23">
        <f>EXP(-LN(2)/25)*AV164+(1-EXP(-LN(2)/25))/(LN(2)/25)*Calculateur!AQ165*Calculateur!AS165*VLOOKUP('Données projet'!$B$10,Paramètres!$A$1:$I$89,3,0)*0.475*44/12</f>
        <v>0.21986544516175077</v>
      </c>
      <c r="AW165" s="23">
        <f>EXP(-LN(2)/2)*AW164+(1-EXP(-LN(2)/2))/(LN(2)/2)*AQ165*AT165*VLOOKUP('Données projet'!$B$10,Paramètres!$A$1:$I$89,3,0)*0.475*44/12</f>
        <v>2.7469935102017321E-19</v>
      </c>
      <c r="AX165" s="23">
        <f t="shared" si="166"/>
        <v>0.45881304249186305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-4.9658410716801891E-14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317.71917965043735</v>
      </c>
      <c r="T166" s="62">
        <f t="shared" si="142"/>
        <v>444.40801165665744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0.3040985711599945</v>
      </c>
      <c r="AA166" s="23">
        <f>EXP(-LN(2)/25)*AA165+(1-EXP(-LN(2)/25))/(LN(2)/25)*Calculateur!V166*Calculateur!X166*VLOOKUP('Données projet'!$B$9,Paramètres!$A$1:$I$89,3,0)*0.475*44/12</f>
        <v>0.86066102082368146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1.164759591983676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317.99999999999972</v>
      </c>
      <c r="AJ166" s="14">
        <f>AI166*VLOOKUP('Données projet'!$B$10,Paramètres!$A$1:$I$89,3,0)*VLOOKUP('Données projet'!$B$10,Paramètres!$A$1:$I$89,5,0)</f>
        <v>253.0007999999998</v>
      </c>
      <c r="AK166" s="14">
        <f t="shared" si="164"/>
        <v>61.228070105968683</v>
      </c>
      <c r="AL166" s="22">
        <f t="shared" si="165"/>
        <v>547.28194876789507</v>
      </c>
      <c r="AM166" s="62">
        <f t="shared" si="113"/>
        <v>835.3261254550473</v>
      </c>
      <c r="AN166" s="62">
        <f ca="1">AVERAGE(OFFSET($AM$3,0,0,'Données projet'!$E$10+1,1))-AVERAGE(OFFSET($H$3,0,0,'Données projet'!$E$10+1,1))</f>
        <v>376.47942810265266</v>
      </c>
      <c r="AO166" s="62">
        <f t="shared" si="144"/>
        <v>362.87951024071265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0.23426198069011214</v>
      </c>
      <c r="AV166" s="23">
        <f>EXP(-LN(2)/25)*AV165+(1-EXP(-LN(2)/25))/(LN(2)/25)*Calculateur!AQ166*Calculateur!AS166*VLOOKUP('Données projet'!$B$10,Paramètres!$A$1:$I$89,3,0)*0.475*44/12</f>
        <v>0.21385321300158144</v>
      </c>
      <c r="AW166" s="23">
        <f>EXP(-LN(2)/2)*AW165+(1-EXP(-LN(2)/2))/(LN(2)/2)*AQ166*AT166*VLOOKUP('Données projet'!$B$10,Paramètres!$A$1:$I$89,3,0)*0.475*44/12</f>
        <v>1.9424177389390823E-19</v>
      </c>
      <c r="AX166" s="23">
        <f t="shared" si="166"/>
        <v>0.44811519369169361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-4.9658410716801891E-14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317.71917965043735</v>
      </c>
      <c r="T167" s="62">
        <f t="shared" si="142"/>
        <v>444.40801165665744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0.29813538366136061</v>
      </c>
      <c r="AA167" s="23">
        <f>EXP(-LN(2)/25)*AA166+(1-EXP(-LN(2)/25))/(LN(2)/25)*Calculateur!V167*Calculateur!X167*VLOOKUP('Données projet'!$B$9,Paramètres!$A$1:$I$89,3,0)*0.475*44/12</f>
        <v>0.8371261999490619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1.1352615836104225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317.99999999999972</v>
      </c>
      <c r="AJ167" s="14">
        <f>AI167*VLOOKUP('Données projet'!$B$10,Paramètres!$A$1:$I$89,3,0)*VLOOKUP('Données projet'!$B$10,Paramètres!$A$1:$I$89,5,0)</f>
        <v>253.0007999999998</v>
      </c>
      <c r="AK167" s="14">
        <f t="shared" si="164"/>
        <v>61.228070105968683</v>
      </c>
      <c r="AL167" s="22">
        <f t="shared" si="165"/>
        <v>547.28194876789507</v>
      </c>
      <c r="AM167" s="62">
        <f t="shared" si="113"/>
        <v>835.41788049807576</v>
      </c>
      <c r="AN167" s="62">
        <f ca="1">AVERAGE(OFFSET($AM$3,0,0,'Données projet'!$E$10+1,1))-AVERAGE(OFFSET($H$3,0,0,'Données projet'!$E$10+1,1))</f>
        <v>376.47942810265266</v>
      </c>
      <c r="AO167" s="62">
        <f t="shared" si="144"/>
        <v>362.87951024071265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0.22966824613447848</v>
      </c>
      <c r="AV167" s="23">
        <f>EXP(-LN(2)/25)*AV166+(1-EXP(-LN(2)/25))/(LN(2)/25)*Calculateur!AQ167*Calculateur!AS167*VLOOKUP('Données projet'!$B$10,Paramètres!$A$1:$I$89,3,0)*0.475*44/12</f>
        <v>0.20800538564600149</v>
      </c>
      <c r="AW167" s="23">
        <f>EXP(-LN(2)/2)*AW166+(1-EXP(-LN(2)/2))/(LN(2)/2)*AQ167*AT167*VLOOKUP('Données projet'!$B$10,Paramètres!$A$1:$I$89,3,0)*0.475*44/12</f>
        <v>1.373496755100866E-19</v>
      </c>
      <c r="AX167" s="23">
        <f t="shared" si="166"/>
        <v>0.43767363178047997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-4.9658410716801891E-14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317.71917965043735</v>
      </c>
      <c r="T168" s="62">
        <f t="shared" si="142"/>
        <v>444.40801165665744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0.2922891306323897</v>
      </c>
      <c r="AA168" s="23">
        <f>EXP(-LN(2)/25)*AA167+(1-EXP(-LN(2)/25))/(LN(2)/25)*Calculateur!V168*Calculateur!X168*VLOOKUP('Données projet'!$B$9,Paramètres!$A$1:$I$89,3,0)*0.475*44/12</f>
        <v>0.81423493998890117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1.1065240706212909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317.99999999999972</v>
      </c>
      <c r="AJ168" s="14">
        <f>AI168*VLOOKUP('Données projet'!$B$10,Paramètres!$A$1:$I$89,3,0)*VLOOKUP('Données projet'!$B$10,Paramètres!$A$1:$I$89,5,0)</f>
        <v>253.0007999999998</v>
      </c>
      <c r="AK168" s="14">
        <f t="shared" si="164"/>
        <v>61.228070105968683</v>
      </c>
      <c r="AL168" s="22">
        <f t="shared" si="165"/>
        <v>547.28194876789507</v>
      </c>
      <c r="AM168" s="62">
        <f t="shared" si="113"/>
        <v>835.50804379624128</v>
      </c>
      <c r="AN168" s="62">
        <f ca="1">AVERAGE(OFFSET($AM$3,0,0,'Données projet'!$E$10+1,1))-AVERAGE(OFFSET($H$3,0,0,'Données projet'!$E$10+1,1))</f>
        <v>376.47942810265266</v>
      </c>
      <c r="AO168" s="62">
        <f t="shared" si="144"/>
        <v>362.87951024071265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0.22516459191157936</v>
      </c>
      <c r="AV168" s="23">
        <f>EXP(-LN(2)/25)*AV167+(1-EXP(-LN(2)/25))/(LN(2)/25)*Calculateur!AQ168*Calculateur!AS168*VLOOKUP('Données projet'!$B$10,Paramètres!$A$1:$I$89,3,0)*0.475*44/12</f>
        <v>0.20231746743698376</v>
      </c>
      <c r="AW168" s="23">
        <f>EXP(-LN(2)/2)*AW167+(1-EXP(-LN(2)/2))/(LN(2)/2)*AQ168*AT168*VLOOKUP('Données projet'!$B$10,Paramètres!$A$1:$I$89,3,0)*0.475*44/12</f>
        <v>9.7120886946954115E-20</v>
      </c>
      <c r="AX168" s="23">
        <f t="shared" si="166"/>
        <v>0.42748205934856309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-4.9658410716801891E-14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317.71917965043735</v>
      </c>
      <c r="T169" s="62">
        <f t="shared" si="142"/>
        <v>444.40801165665744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0.28655751905945465</v>
      </c>
      <c r="AA169" s="23">
        <f>EXP(-LN(2)/25)*AA168+(1-EXP(-LN(2)/25))/(LN(2)/25)*Calculateur!V169*Calculateur!X169*VLOOKUP('Données projet'!$B$9,Paramètres!$A$1:$I$89,3,0)*0.475*44/12</f>
        <v>0.79196964273615011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1.0785271617956047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317.99999999999972</v>
      </c>
      <c r="AJ169" s="14">
        <f>AI169*VLOOKUP('Données projet'!$B$10,Paramètres!$A$1:$I$89,3,0)*VLOOKUP('Données projet'!$B$10,Paramètres!$A$1:$I$89,5,0)</f>
        <v>253.0007999999998</v>
      </c>
      <c r="AK169" s="14">
        <f t="shared" si="164"/>
        <v>61.228070105968683</v>
      </c>
      <c r="AL169" s="22">
        <f t="shared" si="165"/>
        <v>547.28194876789507</v>
      </c>
      <c r="AM169" s="62">
        <f t="shared" si="113"/>
        <v>835.59664296275855</v>
      </c>
      <c r="AN169" s="62">
        <f ca="1">AVERAGE(OFFSET($AM$3,0,0,'Données projet'!$E$10+1,1))-AVERAGE(OFFSET($H$3,0,0,'Données projet'!$E$10+1,1))</f>
        <v>376.47942810265266</v>
      </c>
      <c r="AO169" s="62">
        <f t="shared" si="144"/>
        <v>362.87951024071265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0.22074925160103348</v>
      </c>
      <c r="AV169" s="23">
        <f>EXP(-LN(2)/25)*AV168+(1-EXP(-LN(2)/25))/(LN(2)/25)*Calculateur!AQ169*Calculateur!AS169*VLOOKUP('Données projet'!$B$10,Paramètres!$A$1:$I$89,3,0)*0.475*44/12</f>
        <v>0.19678508565050623</v>
      </c>
      <c r="AW169" s="23">
        <f>EXP(-LN(2)/2)*AW168+(1-EXP(-LN(2)/2))/(LN(2)/2)*AQ169*AT169*VLOOKUP('Données projet'!$B$10,Paramètres!$A$1:$I$89,3,0)*0.475*44/12</f>
        <v>6.8674837755043302E-20</v>
      </c>
      <c r="AX169" s="23">
        <f t="shared" si="166"/>
        <v>0.41753433725153971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-4.9658410716801891E-14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317.71917965043735</v>
      </c>
      <c r="T170" s="62">
        <f t="shared" si="142"/>
        <v>444.40801165665744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0.280938300893527</v>
      </c>
      <c r="AA170" s="23">
        <f>EXP(-LN(2)/25)*AA169+(1-EXP(-LN(2)/25))/(LN(2)/25)*Calculateur!V170*Calculateur!X170*VLOOKUP('Données projet'!$B$9,Paramètres!$A$1:$I$89,3,0)*0.475*44/12</f>
        <v>0.77031319120765662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1.0512514921011835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317.99999999999972</v>
      </c>
      <c r="AJ170" s="14">
        <f>AI170*VLOOKUP('Données projet'!$B$10,Paramètres!$A$1:$I$89,3,0)*VLOOKUP('Données projet'!$B$10,Paramètres!$A$1:$I$89,5,0)</f>
        <v>253.0007999999998</v>
      </c>
      <c r="AK170" s="14">
        <f t="shared" si="164"/>
        <v>61.228070105968683</v>
      </c>
      <c r="AL170" s="22">
        <f t="shared" si="165"/>
        <v>547.28194876789507</v>
      </c>
      <c r="AM170" s="62">
        <f t="shared" si="113"/>
        <v>835.68370513181469</v>
      </c>
      <c r="AN170" s="62">
        <f ca="1">AVERAGE(OFFSET($AM$3,0,0,'Données projet'!$E$10+1,1))-AVERAGE(OFFSET($H$3,0,0,'Données projet'!$E$10+1,1))</f>
        <v>376.47942810265266</v>
      </c>
      <c r="AO170" s="62">
        <f t="shared" si="144"/>
        <v>362.87951024071265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0.21642049342088573</v>
      </c>
      <c r="AV170" s="23">
        <f>EXP(-LN(2)/25)*AV169+(1-EXP(-LN(2)/25))/(LN(2)/25)*Calculateur!AQ170*Calculateur!AS170*VLOOKUP('Données projet'!$B$10,Paramètres!$A$1:$I$89,3,0)*0.475*44/12</f>
        <v>0.19140398713491524</v>
      </c>
      <c r="AW170" s="23">
        <f>EXP(-LN(2)/2)*AW169+(1-EXP(-LN(2)/2))/(LN(2)/2)*AQ170*AT170*VLOOKUP('Données projet'!$B$10,Paramètres!$A$1:$I$89,3,0)*0.475*44/12</f>
        <v>4.8560443473477058E-20</v>
      </c>
      <c r="AX170" s="23">
        <f t="shared" si="166"/>
        <v>0.40782448055580101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-4.9658410716801891E-14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317.71917965043735</v>
      </c>
      <c r="T171" s="62">
        <f t="shared" si="142"/>
        <v>444.40801165665744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0.27542927216844854</v>
      </c>
      <c r="AA171" s="23">
        <f>EXP(-LN(2)/25)*AA170+(1-EXP(-LN(2)/25))/(LN(2)/25)*Calculateur!V171*Calculateur!X171*VLOOKUP('Données projet'!$B$9,Paramètres!$A$1:$I$89,3,0)*0.475*44/12</f>
        <v>0.74924893648507307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1.0246782086535215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317.99999999999972</v>
      </c>
      <c r="AJ171" s="14">
        <f>AI171*VLOOKUP('Données projet'!$B$10,Paramètres!$A$1:$I$89,3,0)*VLOOKUP('Données projet'!$B$10,Paramètres!$A$1:$I$89,5,0)</f>
        <v>253.0007999999998</v>
      </c>
      <c r="AK171" s="14">
        <f t="shared" si="164"/>
        <v>61.228070105968683</v>
      </c>
      <c r="AL171" s="22">
        <f t="shared" si="165"/>
        <v>547.28194876789507</v>
      </c>
      <c r="AM171" s="62">
        <f t="shared" si="113"/>
        <v>835.76925696687954</v>
      </c>
      <c r="AN171" s="62">
        <f ca="1">AVERAGE(OFFSET($AM$3,0,0,'Données projet'!$E$10+1,1))-AVERAGE(OFFSET($H$3,0,0,'Données projet'!$E$10+1,1))</f>
        <v>376.47942810265266</v>
      </c>
      <c r="AO171" s="62">
        <f t="shared" si="144"/>
        <v>362.87951024071265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0.21217661954836889</v>
      </c>
      <c r="AV171" s="23">
        <f>EXP(-LN(2)/25)*AV170+(1-EXP(-LN(2)/25))/(LN(2)/25)*Calculateur!AQ171*Calculateur!AS171*VLOOKUP('Données projet'!$B$10,Paramètres!$A$1:$I$89,3,0)*0.475*44/12</f>
        <v>0.18617003504121277</v>
      </c>
      <c r="AW171" s="23">
        <f>EXP(-LN(2)/2)*AW170+(1-EXP(-LN(2)/2))/(LN(2)/2)*AQ171*AT171*VLOOKUP('Données projet'!$B$10,Paramètres!$A$1:$I$89,3,0)*0.475*44/12</f>
        <v>3.4337418877521651E-20</v>
      </c>
      <c r="AX171" s="23">
        <f t="shared" si="166"/>
        <v>0.39834665458958163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-4.9658410716801891E-14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317.71917965043735</v>
      </c>
      <c r="T172" s="62">
        <f t="shared" si="142"/>
        <v>444.40801165665744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0.27002827213649311</v>
      </c>
      <c r="AA172" s="23">
        <f>EXP(-LN(2)/25)*AA171+(1-EXP(-LN(2)/25))/(LN(2)/25)*Calculateur!V172*Calculateur!X172*VLOOKUP('Données projet'!$B$9,Paramètres!$A$1:$I$89,3,0)*0.475*44/12</f>
        <v>0.72876068491559964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0.9987889570520927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317.99999999999972</v>
      </c>
      <c r="AJ172" s="14">
        <f>AI172*VLOOKUP('Données projet'!$B$10,Paramètres!$A$1:$I$89,3,0)*VLOOKUP('Données projet'!$B$10,Paramètres!$A$1:$I$89,5,0)</f>
        <v>253.0007999999998</v>
      </c>
      <c r="AK172" s="14">
        <f t="shared" si="164"/>
        <v>61.228070105968683</v>
      </c>
      <c r="AL172" s="22">
        <f t="shared" si="165"/>
        <v>547.28194876789507</v>
      </c>
      <c r="AM172" s="62">
        <f t="shared" si="113"/>
        <v>835.85332466887144</v>
      </c>
      <c r="AN172" s="62">
        <f ca="1">AVERAGE(OFFSET($AM$3,0,0,'Données projet'!$E$10+1,1))-AVERAGE(OFFSET($H$3,0,0,'Données projet'!$E$10+1,1))</f>
        <v>376.47942810265266</v>
      </c>
      <c r="AO172" s="62">
        <f t="shared" si="144"/>
        <v>362.87951024071265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0.20801596545398462</v>
      </c>
      <c r="AV172" s="23">
        <f>EXP(-LN(2)/25)*AV171+(1-EXP(-LN(2)/25))/(LN(2)/25)*Calculateur!AQ172*Calculateur!AS172*VLOOKUP('Données projet'!$B$10,Paramètres!$A$1:$I$89,3,0)*0.475*44/12</f>
        <v>0.18107920564275415</v>
      </c>
      <c r="AW172" s="23">
        <f>EXP(-LN(2)/2)*AW171+(1-EXP(-LN(2)/2))/(LN(2)/2)*AQ172*AT172*VLOOKUP('Données projet'!$B$10,Paramètres!$A$1:$I$89,3,0)*0.475*44/12</f>
        <v>2.4280221736738529E-20</v>
      </c>
      <c r="AX172" s="23">
        <f t="shared" si="166"/>
        <v>0.38909517109673875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-4.9658410716801891E-14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317.71917965043735</v>
      </c>
      <c r="T173" s="62">
        <f t="shared" si="142"/>
        <v>444.40801165665744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0.26473318242087962</v>
      </c>
      <c r="AA173" s="23">
        <f>EXP(-LN(2)/25)*AA172+(1-EXP(-LN(2)/25))/(LN(2)/25)*Calculateur!V173*Calculateur!X173*VLOOKUP('Données projet'!$B$9,Paramètres!$A$1:$I$89,3,0)*0.475*44/12</f>
        <v>0.70883268566272373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0.97356586808360335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317.99999999999972</v>
      </c>
      <c r="AJ173" s="14">
        <f>AI173*VLOOKUP('Données projet'!$B$10,Paramètres!$A$1:$I$89,3,0)*VLOOKUP('Données projet'!$B$10,Paramètres!$A$1:$I$89,5,0)</f>
        <v>253.0007999999998</v>
      </c>
      <c r="AK173" s="14">
        <f t="shared" si="164"/>
        <v>61.228070105968683</v>
      </c>
      <c r="AL173" s="22">
        <f t="shared" si="165"/>
        <v>547.28194876789507</v>
      </c>
      <c r="AM173" s="62">
        <f t="shared" si="113"/>
        <v>835.93593398418102</v>
      </c>
      <c r="AN173" s="62">
        <f ca="1">AVERAGE(OFFSET($AM$3,0,0,'Données projet'!$E$10+1,1))-AVERAGE(OFFSET($H$3,0,0,'Données projet'!$E$10+1,1))</f>
        <v>376.47942810265266</v>
      </c>
      <c r="AO173" s="62">
        <f t="shared" si="144"/>
        <v>362.87951024071265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0.20393689924864283</v>
      </c>
      <c r="AV173" s="23">
        <f>EXP(-LN(2)/25)*AV172+(1-EXP(-LN(2)/25))/(LN(2)/25)*Calculateur!AQ173*Calculateur!AS173*VLOOKUP('Données projet'!$B$10,Paramètres!$A$1:$I$89,3,0)*0.475*44/12</f>
        <v>0.17612758524191147</v>
      </c>
      <c r="AW173" s="23">
        <f>EXP(-LN(2)/2)*AW172+(1-EXP(-LN(2)/2))/(LN(2)/2)*AQ173*AT173*VLOOKUP('Données projet'!$B$10,Paramètres!$A$1:$I$89,3,0)*0.475*44/12</f>
        <v>1.7168709438760826E-20</v>
      </c>
      <c r="AX173" s="23">
        <f t="shared" si="166"/>
        <v>0.3800644844905543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-4.9658410716801891E-14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317.71917965043735</v>
      </c>
      <c r="T174" s="62">
        <f t="shared" si="142"/>
        <v>444.40801165665744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0.25954192618490346</v>
      </c>
      <c r="AA174" s="23">
        <f>EXP(-LN(2)/25)*AA173+(1-EXP(-LN(2)/25))/(LN(2)/25)*Calculateur!V174*Calculateur!X174*VLOOKUP('Données projet'!$B$9,Paramètres!$A$1:$I$89,3,0)*0.475*44/12</f>
        <v>0.68944961859738563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0.94899154478228909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317.99999999999972</v>
      </c>
      <c r="AJ174" s="14">
        <f>AI174*VLOOKUP('Données projet'!$B$10,Paramètres!$A$1:$I$89,3,0)*VLOOKUP('Données projet'!$B$10,Paramètres!$A$1:$I$89,5,0)</f>
        <v>253.0007999999998</v>
      </c>
      <c r="AK174" s="14">
        <f t="shared" si="164"/>
        <v>61.228070105968683</v>
      </c>
      <c r="AL174" s="22">
        <f t="shared" si="165"/>
        <v>547.28194876789507</v>
      </c>
      <c r="AM174" s="62">
        <f t="shared" si="113"/>
        <v>836.01711021255664</v>
      </c>
      <c r="AN174" s="62">
        <f ca="1">AVERAGE(OFFSET($AM$3,0,0,'Données projet'!$E$10+1,1))-AVERAGE(OFFSET($H$3,0,0,'Données projet'!$E$10+1,1))</f>
        <v>376.47942810265266</v>
      </c>
      <c r="AO174" s="62">
        <f t="shared" si="144"/>
        <v>362.87951024071265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0.19993782104360308</v>
      </c>
      <c r="AV174" s="23">
        <f>EXP(-LN(2)/25)*AV173+(1-EXP(-LN(2)/25))/(LN(2)/25)*Calculateur!AQ174*Calculateur!AS174*VLOOKUP('Données projet'!$B$10,Paramètres!$A$1:$I$89,3,0)*0.475*44/12</f>
        <v>0.17131136716132422</v>
      </c>
      <c r="AW174" s="23">
        <f>EXP(-LN(2)/2)*AW173+(1-EXP(-LN(2)/2))/(LN(2)/2)*AQ174*AT174*VLOOKUP('Données projet'!$B$10,Paramètres!$A$1:$I$89,3,0)*0.475*44/12</f>
        <v>1.2140110868369264E-20</v>
      </c>
      <c r="AX174" s="23">
        <f t="shared" si="166"/>
        <v>0.37124918820492731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-4.9658410716801891E-14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317.71917965043735</v>
      </c>
      <c r="T175" s="62">
        <f t="shared" si="142"/>
        <v>444.40801165665744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0.25445246731736115</v>
      </c>
      <c r="AA175" s="23">
        <f>EXP(-LN(2)/25)*AA174+(1-EXP(-LN(2)/25))/(LN(2)/25)*Calculateur!V175*Calculateur!X175*VLOOKUP('Données projet'!$B$9,Paramètres!$A$1:$I$89,3,0)*0.475*44/12</f>
        <v>0.67059658252026044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0.9250490498376216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317.99999999999972</v>
      </c>
      <c r="AJ175" s="14">
        <f>AI175*VLOOKUP('Données projet'!$B$10,Paramètres!$A$1:$I$89,3,0)*VLOOKUP('Données projet'!$B$10,Paramètres!$A$1:$I$89,5,0)</f>
        <v>253.0007999999998</v>
      </c>
      <c r="AK175" s="14">
        <f t="shared" si="164"/>
        <v>61.228070105968683</v>
      </c>
      <c r="AL175" s="22">
        <f t="shared" si="165"/>
        <v>547.28194876789507</v>
      </c>
      <c r="AM175" s="62">
        <f t="shared" si="113"/>
        <v>836.09687821485272</v>
      </c>
      <c r="AN175" s="62">
        <f ca="1">AVERAGE(OFFSET($AM$3,0,0,'Données projet'!$E$10+1,1))-AVERAGE(OFFSET($H$3,0,0,'Données projet'!$E$10+1,1))</f>
        <v>376.47942810265266</v>
      </c>
      <c r="AO175" s="62">
        <f t="shared" si="144"/>
        <v>362.87951024071265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0.19601716232296729</v>
      </c>
      <c r="AV175" s="23">
        <f>EXP(-LN(2)/25)*AV174+(1-EXP(-LN(2)/25))/(LN(2)/25)*Calculateur!AQ175*Calculateur!AS175*VLOOKUP('Données projet'!$B$10,Paramètres!$A$1:$I$89,3,0)*0.475*44/12</f>
        <v>0.16662684881742454</v>
      </c>
      <c r="AW175" s="23">
        <f>EXP(-LN(2)/2)*AW174+(1-EXP(-LN(2)/2))/(LN(2)/2)*AQ175*AT175*VLOOKUP('Données projet'!$B$10,Paramètres!$A$1:$I$89,3,0)*0.475*44/12</f>
        <v>8.5843547193804128E-21</v>
      </c>
      <c r="AX175" s="23">
        <f t="shared" si="166"/>
        <v>0.3626440111403918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-4.9658410716801891E-14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317.71917965043735</v>
      </c>
      <c r="T176" s="62">
        <f t="shared" si="142"/>
        <v>444.40801165665744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0.24946280963394796</v>
      </c>
      <c r="AA176" s="23">
        <f>EXP(-LN(2)/25)*AA175+(1-EXP(-LN(2)/25))/(LN(2)/25)*Calculateur!V176*Calculateur!X176*VLOOKUP('Données projet'!$B$9,Paramètres!$A$1:$I$89,3,0)*0.475*44/12</f>
        <v>0.65225908370610231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0.90172189334005026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317.99999999999972</v>
      </c>
      <c r="AJ176" s="14">
        <f>AI176*VLOOKUP('Données projet'!$B$10,Paramètres!$A$1:$I$89,3,0)*VLOOKUP('Données projet'!$B$10,Paramètres!$A$1:$I$89,5,0)</f>
        <v>253.0007999999998</v>
      </c>
      <c r="AK176" s="14">
        <f t="shared" si="164"/>
        <v>61.228070105968683</v>
      </c>
      <c r="AL176" s="22">
        <f t="shared" si="165"/>
        <v>547.28194876789507</v>
      </c>
      <c r="AM176" s="62">
        <f t="shared" si="113"/>
        <v>836.17526242064355</v>
      </c>
      <c r="AN176" s="62">
        <f ca="1">AVERAGE(OFFSET($AM$3,0,0,'Données projet'!$E$10+1,1))-AVERAGE(OFFSET($H$3,0,0,'Données projet'!$E$10+1,1))</f>
        <v>376.47942810265266</v>
      </c>
      <c r="AO176" s="62">
        <f t="shared" si="144"/>
        <v>362.87951024071265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0.19217338532847747</v>
      </c>
      <c r="AV176" s="23">
        <f>EXP(-LN(2)/25)*AV175+(1-EXP(-LN(2)/25))/(LN(2)/25)*Calculateur!AQ176*Calculateur!AS176*VLOOKUP('Données projet'!$B$10,Paramètres!$A$1:$I$89,3,0)*0.475*44/12</f>
        <v>0.16207042887398693</v>
      </c>
      <c r="AW176" s="23">
        <f>EXP(-LN(2)/2)*AW175+(1-EXP(-LN(2)/2))/(LN(2)/2)*AQ176*AT176*VLOOKUP('Données projet'!$B$10,Paramètres!$A$1:$I$89,3,0)*0.475*44/12</f>
        <v>6.0700554341846322E-21</v>
      </c>
      <c r="AX176" s="23">
        <f t="shared" si="166"/>
        <v>0.35424381420246442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-4.9658410716801891E-14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317.71917965043735</v>
      </c>
      <c r="T177" s="62">
        <f t="shared" si="142"/>
        <v>444.40801165665744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0.24457099609431582</v>
      </c>
      <c r="AA177" s="23">
        <f>EXP(-LN(2)/25)*AA176+(1-EXP(-LN(2)/25))/(LN(2)/25)*Calculateur!V177*Calculateur!X177*VLOOKUP('Données projet'!$B$9,Paramètres!$A$1:$I$89,3,0)*0.475*44/12</f>
        <v>0.63442302476134449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0.87899402085566036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317.99999999999972</v>
      </c>
      <c r="AJ177" s="14">
        <f>AI177*VLOOKUP('Données projet'!$B$10,Paramètres!$A$1:$I$89,3,0)*VLOOKUP('Données projet'!$B$10,Paramètres!$A$1:$I$89,5,0)</f>
        <v>253.0007999999998</v>
      </c>
      <c r="AK177" s="14">
        <f t="shared" si="164"/>
        <v>61.228070105968683</v>
      </c>
      <c r="AL177" s="22">
        <f t="shared" si="165"/>
        <v>547.28194876789507</v>
      </c>
      <c r="AM177" s="62">
        <f t="shared" si="113"/>
        <v>836.25228683570481</v>
      </c>
      <c r="AN177" s="62">
        <f ca="1">AVERAGE(OFFSET($AM$3,0,0,'Données projet'!$E$10+1,1))-AVERAGE(OFFSET($H$3,0,0,'Données projet'!$E$10+1,1))</f>
        <v>376.47942810265266</v>
      </c>
      <c r="AO177" s="62">
        <f t="shared" si="144"/>
        <v>362.87951024071265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0.18840498245637713</v>
      </c>
      <c r="AV177" s="23">
        <f>EXP(-LN(2)/25)*AV176+(1-EXP(-LN(2)/25))/(LN(2)/25)*Calculateur!AQ177*Calculateur!AS177*VLOOKUP('Données projet'!$B$10,Paramètres!$A$1:$I$89,3,0)*0.475*44/12</f>
        <v>0.15763860447351433</v>
      </c>
      <c r="AW177" s="23">
        <f>EXP(-LN(2)/2)*AW176+(1-EXP(-LN(2)/2))/(LN(2)/2)*AQ177*AT177*VLOOKUP('Données projet'!$B$10,Paramètres!$A$1:$I$89,3,0)*0.475*44/12</f>
        <v>4.2921773596902064E-21</v>
      </c>
      <c r="AX177" s="23">
        <f t="shared" si="166"/>
        <v>0.34604358692989146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-4.9658410716801891E-14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317.71917965043735</v>
      </c>
      <c r="T178" s="62">
        <f t="shared" si="142"/>
        <v>444.40801165665744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0.23977510803448424</v>
      </c>
      <c r="AA178" s="23">
        <f>EXP(-LN(2)/25)*AA177+(1-EXP(-LN(2)/25))/(LN(2)/25)*Calculateur!V178*Calculateur!X178*VLOOKUP('Données projet'!$B$9,Paramètres!$A$1:$I$89,3,0)*0.475*44/12</f>
        <v>0.61707469378638868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0.85684980182087289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317.99999999999972</v>
      </c>
      <c r="AJ178" s="14">
        <f>AI178*VLOOKUP('Données projet'!$B$10,Paramètres!$A$1:$I$89,3,0)*VLOOKUP('Données projet'!$B$10,Paramètres!$A$1:$I$89,5,0)</f>
        <v>253.0007999999998</v>
      </c>
      <c r="AK178" s="14">
        <f t="shared" si="164"/>
        <v>61.228070105968683</v>
      </c>
      <c r="AL178" s="22">
        <f t="shared" si="165"/>
        <v>547.28194876789507</v>
      </c>
      <c r="AM178" s="62">
        <f t="shared" si="113"/>
        <v>836.32797504936548</v>
      </c>
      <c r="AN178" s="62">
        <f ca="1">AVERAGE(OFFSET($AM$3,0,0,'Données projet'!$E$10+1,1))-AVERAGE(OFFSET($H$3,0,0,'Données projet'!$E$10+1,1))</f>
        <v>376.47942810265266</v>
      </c>
      <c r="AO178" s="62">
        <f t="shared" si="144"/>
        <v>362.87951024071265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0.18471047566609988</v>
      </c>
      <c r="AV178" s="23">
        <f>EXP(-LN(2)/25)*AV177+(1-EXP(-LN(2)/25))/(LN(2)/25)*Calculateur!AQ178*Calculateur!AS178*VLOOKUP('Données projet'!$B$10,Paramètres!$A$1:$I$89,3,0)*0.475*44/12</f>
        <v>0.15332796854433214</v>
      </c>
      <c r="AW178" s="23">
        <f>EXP(-LN(2)/2)*AW177+(1-EXP(-LN(2)/2))/(LN(2)/2)*AQ178*AT178*VLOOKUP('Données projet'!$B$10,Paramètres!$A$1:$I$89,3,0)*0.475*44/12</f>
        <v>3.0350277170923161E-21</v>
      </c>
      <c r="AX178" s="23">
        <f t="shared" si="166"/>
        <v>0.33803844421043205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-4.9658410716801891E-14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317.71917965043735</v>
      </c>
      <c r="T179" s="62">
        <f t="shared" si="142"/>
        <v>444.40801165665744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0.23507326441430307</v>
      </c>
      <c r="AA179" s="23">
        <f>EXP(-LN(2)/25)*AA178+(1-EXP(-LN(2)/25))/(LN(2)/25)*Calculateur!V179*Calculateur!X179*VLOOKUP('Données projet'!$B$9,Paramètres!$A$1:$I$89,3,0)*0.475*44/12</f>
        <v>0.60020075383425209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0.83527401824855518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317.99999999999972</v>
      </c>
      <c r="AJ179" s="14">
        <f>AI179*VLOOKUP('Données projet'!$B$10,Paramètres!$A$1:$I$89,3,0)*VLOOKUP('Données projet'!$B$10,Paramètres!$A$1:$I$89,5,0)</f>
        <v>253.0007999999998</v>
      </c>
      <c r="AK179" s="14">
        <f t="shared" si="164"/>
        <v>61.228070105968683</v>
      </c>
      <c r="AL179" s="22">
        <f t="shared" si="165"/>
        <v>547.28194876789507</v>
      </c>
      <c r="AM179" s="62">
        <f t="shared" si="113"/>
        <v>836.40235024173262</v>
      </c>
      <c r="AN179" s="62">
        <f ca="1">AVERAGE(OFFSET($AM$3,0,0,'Données projet'!$E$10+1,1))-AVERAGE(OFFSET($H$3,0,0,'Données projet'!$E$10+1,1))</f>
        <v>376.47942810265266</v>
      </c>
      <c r="AO179" s="62">
        <f t="shared" si="144"/>
        <v>362.87951024071265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0.18108841590055336</v>
      </c>
      <c r="AV179" s="23">
        <f>EXP(-LN(2)/25)*AV178+(1-EXP(-LN(2)/25))/(LN(2)/25)*Calculateur!AQ179*Calculateur!AS179*VLOOKUP('Données projet'!$B$10,Paramètres!$A$1:$I$89,3,0)*0.475*44/12</f>
        <v>0.14913520718131995</v>
      </c>
      <c r="AW179" s="23">
        <f>EXP(-LN(2)/2)*AW178+(1-EXP(-LN(2)/2))/(LN(2)/2)*AQ179*AT179*VLOOKUP('Données projet'!$B$10,Paramètres!$A$1:$I$89,3,0)*0.475*44/12</f>
        <v>2.1460886798451032E-21</v>
      </c>
      <c r="AX179" s="23">
        <f t="shared" si="166"/>
        <v>0.33022362308187331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-4.9658410716801891E-14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317.71917965043735</v>
      </c>
      <c r="T180" s="62">
        <f t="shared" si="142"/>
        <v>444.40801165665744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0.23046362107967222</v>
      </c>
      <c r="AA180" s="23">
        <f>EXP(-LN(2)/25)*AA179+(1-EXP(-LN(2)/25))/(LN(2)/25)*Calculateur!V180*Calculateur!X180*VLOOKUP('Données projet'!$B$9,Paramètres!$A$1:$I$89,3,0)*0.475*44/12</f>
        <v>0.5837882326574686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0.81425185373714082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317.99999999999972</v>
      </c>
      <c r="AJ180" s="14">
        <f>AI180*VLOOKUP('Données projet'!$B$10,Paramètres!$A$1:$I$89,3,0)*VLOOKUP('Données projet'!$B$10,Paramètres!$A$1:$I$89,5,0)</f>
        <v>253.0007999999998</v>
      </c>
      <c r="AK180" s="14">
        <f t="shared" si="164"/>
        <v>61.228070105968683</v>
      </c>
      <c r="AL180" s="22">
        <f t="shared" si="165"/>
        <v>547.28194876789507</v>
      </c>
      <c r="AM180" s="62">
        <f t="shared" si="113"/>
        <v>836.47543519079034</v>
      </c>
      <c r="AN180" s="62">
        <f ca="1">AVERAGE(OFFSET($AM$3,0,0,'Données projet'!$E$10+1,1))-AVERAGE(OFFSET($H$3,0,0,'Données projet'!$E$10+1,1))</f>
        <v>376.47942810265266</v>
      </c>
      <c r="AO180" s="62">
        <f t="shared" si="144"/>
        <v>362.87951024071265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0.17753738251777088</v>
      </c>
      <c r="AV180" s="23">
        <f>EXP(-LN(2)/25)*AV179+(1-EXP(-LN(2)/25))/(LN(2)/25)*Calculateur!AQ180*Calculateur!AS180*VLOOKUP('Données projet'!$B$10,Paramètres!$A$1:$I$89,3,0)*0.475*44/12</f>
        <v>0.14505709709826706</v>
      </c>
      <c r="AW180" s="23">
        <f>EXP(-LN(2)/2)*AW179+(1-EXP(-LN(2)/2))/(LN(2)/2)*AQ180*AT180*VLOOKUP('Données projet'!$B$10,Paramètres!$A$1:$I$89,3,0)*0.475*44/12</f>
        <v>1.5175138585461581E-21</v>
      </c>
      <c r="AX180" s="23">
        <f t="shared" si="166"/>
        <v>0.32259447961603793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-4.9658410716801891E-14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317.71917965043735</v>
      </c>
      <c r="T181" s="62">
        <f t="shared" si="142"/>
        <v>444.40801165665744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0.22594437003922868</v>
      </c>
      <c r="AA181" s="23">
        <f>EXP(-LN(2)/25)*AA180+(1-EXP(-LN(2)/25))/(LN(2)/25)*Calculateur!V181*Calculateur!X181*VLOOKUP('Données projet'!$B$9,Paramètres!$A$1:$I$89,3,0)*0.475*44/12</f>
        <v>0.56782451273536128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0.7937688827745899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317.99999999999972</v>
      </c>
      <c r="AJ181" s="14">
        <f>AI181*VLOOKUP('Données projet'!$B$10,Paramètres!$A$1:$I$89,3,0)*VLOOKUP('Données projet'!$B$10,Paramètres!$A$1:$I$89,5,0)</f>
        <v>253.0007999999998</v>
      </c>
      <c r="AK181" s="14">
        <f t="shared" si="164"/>
        <v>61.228070105968683</v>
      </c>
      <c r="AL181" s="22">
        <f t="shared" si="165"/>
        <v>547.28194876789507</v>
      </c>
      <c r="AM181" s="62">
        <f t="shared" si="113"/>
        <v>836.54725227937524</v>
      </c>
      <c r="AN181" s="62">
        <f ca="1">AVERAGE(OFFSET($AM$3,0,0,'Données projet'!$E$10+1,1))-AVERAGE(OFFSET($H$3,0,0,'Données projet'!$E$10+1,1))</f>
        <v>376.47942810265266</v>
      </c>
      <c r="AO181" s="62">
        <f t="shared" si="144"/>
        <v>362.87951024071265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0.17405598273370826</v>
      </c>
      <c r="AV181" s="23">
        <f>EXP(-LN(2)/25)*AV180+(1-EXP(-LN(2)/25))/(LN(2)/25)*Calculateur!AQ181*Calculateur!AS181*VLOOKUP('Données projet'!$B$10,Paramètres!$A$1:$I$89,3,0)*0.475*44/12</f>
        <v>0.14109050314989374</v>
      </c>
      <c r="AW181" s="23">
        <f>EXP(-LN(2)/2)*AW180+(1-EXP(-LN(2)/2))/(LN(2)/2)*AQ181*AT181*VLOOKUP('Données projet'!$B$10,Paramètres!$A$1:$I$89,3,0)*0.475*44/12</f>
        <v>1.0730443399225516E-21</v>
      </c>
      <c r="AX181" s="23">
        <f t="shared" si="166"/>
        <v>0.315146485883602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-4.9658410716801891E-14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317.71917965043735</v>
      </c>
      <c r="T182" s="62">
        <f t="shared" si="142"/>
        <v>444.40801165665744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0.22151373875521729</v>
      </c>
      <c r="AA182" s="23">
        <f>EXP(-LN(2)/25)*AA181+(1-EXP(-LN(2)/25))/(LN(2)/25)*Calculateur!V182*Calculateur!X182*VLOOKUP('Données projet'!$B$9,Paramètres!$A$1:$I$89,3,0)*0.475*44/12</f>
        <v>0.55229732157401945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0.77381106032923674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317.99999999999972</v>
      </c>
      <c r="AJ182" s="14">
        <f>AI182*VLOOKUP('Données projet'!$B$10,Paramètres!$A$1:$I$89,3,0)*VLOOKUP('Données projet'!$B$10,Paramètres!$A$1:$I$89,5,0)</f>
        <v>253.0007999999998</v>
      </c>
      <c r="AK182" s="14">
        <f t="shared" si="164"/>
        <v>61.228070105968683</v>
      </c>
      <c r="AL182" s="22">
        <f t="shared" si="165"/>
        <v>547.28194876789507</v>
      </c>
      <c r="AM182" s="62">
        <f t="shared" si="113"/>
        <v>836.61782350203225</v>
      </c>
      <c r="AN182" s="62">
        <f ca="1">AVERAGE(OFFSET($AM$3,0,0,'Données projet'!$E$10+1,1))-AVERAGE(OFFSET($H$3,0,0,'Données projet'!$E$10+1,1))</f>
        <v>376.47942810265266</v>
      </c>
      <c r="AO182" s="62">
        <f t="shared" si="144"/>
        <v>362.87951024071265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0.17064285107596691</v>
      </c>
      <c r="AV182" s="23">
        <f>EXP(-LN(2)/25)*AV181+(1-EXP(-LN(2)/25))/(LN(2)/25)*Calculateur!AQ182*Calculateur!AS182*VLOOKUP('Données projet'!$B$10,Paramètres!$A$1:$I$89,3,0)*0.475*44/12</f>
        <v>0.13723237592163282</v>
      </c>
      <c r="AW182" s="23">
        <f>EXP(-LN(2)/2)*AW181+(1-EXP(-LN(2)/2))/(LN(2)/2)*AQ182*AT182*VLOOKUP('Données projet'!$B$10,Paramètres!$A$1:$I$89,3,0)*0.475*44/12</f>
        <v>7.5875692927307903E-22</v>
      </c>
      <c r="AX182" s="23">
        <f t="shared" si="166"/>
        <v>0.30787522699759973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-4.9658410716801891E-14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317.71917965043735</v>
      </c>
      <c r="T183" s="62">
        <f t="shared" si="142"/>
        <v>444.40801165665744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0.21716998944826713</v>
      </c>
      <c r="AA183" s="23">
        <f>EXP(-LN(2)/25)*AA182+(1-EXP(-LN(2)/25))/(LN(2)/25)*Calculateur!V183*Calculateur!X183*VLOOKUP('Données projet'!$B$9,Paramètres!$A$1:$I$89,3,0)*0.475*44/12</f>
        <v>0.53719472227152409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0.75436471171979125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317.99999999999972</v>
      </c>
      <c r="AJ183" s="14">
        <f>AI183*VLOOKUP('Données projet'!$B$10,Paramètres!$A$1:$I$89,3,0)*VLOOKUP('Données projet'!$B$10,Paramètres!$A$1:$I$89,5,0)</f>
        <v>253.0007999999998</v>
      </c>
      <c r="AK183" s="14">
        <f t="shared" si="164"/>
        <v>61.228070105968683</v>
      </c>
      <c r="AL183" s="22">
        <f t="shared" si="165"/>
        <v>547.28194876789507</v>
      </c>
      <c r="AM183" s="62">
        <f t="shared" si="113"/>
        <v>836.68717047174971</v>
      </c>
      <c r="AN183" s="62">
        <f ca="1">AVERAGE(OFFSET($AM$3,0,0,'Données projet'!$E$10+1,1))-AVERAGE(OFFSET($H$3,0,0,'Données projet'!$E$10+1,1))</f>
        <v>376.47942810265266</v>
      </c>
      <c r="AO183" s="62">
        <f t="shared" si="144"/>
        <v>362.87951024071265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0.16729664884822912</v>
      </c>
      <c r="AV183" s="23">
        <f>EXP(-LN(2)/25)*AV182+(1-EXP(-LN(2)/25))/(LN(2)/25)*Calculateur!AQ183*Calculateur!AS183*VLOOKUP('Données projet'!$B$10,Paramètres!$A$1:$I$89,3,0)*0.475*44/12</f>
        <v>0.13347974938531876</v>
      </c>
      <c r="AW183" s="23">
        <f>EXP(-LN(2)/2)*AW182+(1-EXP(-LN(2)/2))/(LN(2)/2)*AQ183*AT183*VLOOKUP('Données projet'!$B$10,Paramètres!$A$1:$I$89,3,0)*0.475*44/12</f>
        <v>5.365221699612758E-22</v>
      </c>
      <c r="AX183" s="23">
        <f t="shared" si="166"/>
        <v>0.30077639823354785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-4.9658410716801891E-14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317.71917965043735</v>
      </c>
      <c r="T184" s="62">
        <f t="shared" si="142"/>
        <v>444.40801165665744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0.21291141841580077</v>
      </c>
      <c r="AA184" s="23">
        <f>EXP(-LN(2)/25)*AA183+(1-EXP(-LN(2)/25))/(LN(2)/25)*Calculateur!V184*Calculateur!X184*VLOOKUP('Données projet'!$B$9,Paramètres!$A$1:$I$89,3,0)*0.475*44/12</f>
        <v>0.52250510434116659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0.73541652275696734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317.99999999999972</v>
      </c>
      <c r="AJ184" s="14">
        <f>AI184*VLOOKUP('Données projet'!$B$10,Paramètres!$A$1:$I$89,3,0)*VLOOKUP('Données projet'!$B$10,Paramètres!$A$1:$I$89,5,0)</f>
        <v>253.0007999999998</v>
      </c>
      <c r="AK184" s="14">
        <f t="shared" si="164"/>
        <v>61.228070105968683</v>
      </c>
      <c r="AL184" s="22">
        <f t="shared" si="165"/>
        <v>547.28194876789507</v>
      </c>
      <c r="AM184" s="62">
        <f t="shared" si="113"/>
        <v>836.75531442657916</v>
      </c>
      <c r="AN184" s="62">
        <f ca="1">AVERAGE(OFFSET($AM$3,0,0,'Données projet'!$E$10+1,1))-AVERAGE(OFFSET($H$3,0,0,'Données projet'!$E$10+1,1))</f>
        <v>376.47942810265266</v>
      </c>
      <c r="AO184" s="62">
        <f t="shared" si="144"/>
        <v>362.87951024071265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0.16401606360519544</v>
      </c>
      <c r="AV184" s="23">
        <f>EXP(-LN(2)/25)*AV183+(1-EXP(-LN(2)/25))/(LN(2)/25)*Calculateur!AQ184*Calculateur!AS184*VLOOKUP('Données projet'!$B$10,Paramètres!$A$1:$I$89,3,0)*0.475*44/12</f>
        <v>0.12982973861898225</v>
      </c>
      <c r="AW184" s="23">
        <f>EXP(-LN(2)/2)*AW183+(1-EXP(-LN(2)/2))/(LN(2)/2)*AQ184*AT184*VLOOKUP('Données projet'!$B$10,Paramètres!$A$1:$I$89,3,0)*0.475*44/12</f>
        <v>3.7937846463653951E-22</v>
      </c>
      <c r="AX184" s="23">
        <f t="shared" si="166"/>
        <v>0.29384580222417767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-4.9658410716801891E-14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317.71917965043735</v>
      </c>
      <c r="T185" s="62">
        <f t="shared" si="142"/>
        <v>444.40801165665744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0.20873635536380925</v>
      </c>
      <c r="AA185" s="23">
        <f>EXP(-LN(2)/25)*AA184+(1-EXP(-LN(2)/25))/(LN(2)/25)*Calculateur!V185*Calculateur!X185*VLOOKUP('Données projet'!$B$9,Paramètres!$A$1:$I$89,3,0)*0.475*44/12</f>
        <v>0.50821717478560813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0.71695353014941743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317.99999999999972</v>
      </c>
      <c r="AJ185" s="14">
        <f>AI185*VLOOKUP('Données projet'!$B$10,Paramètres!$A$1:$I$89,3,0)*VLOOKUP('Données projet'!$B$10,Paramètres!$A$1:$I$89,5,0)</f>
        <v>253.0007999999998</v>
      </c>
      <c r="AK185" s="14">
        <f t="shared" si="164"/>
        <v>61.228070105968683</v>
      </c>
      <c r="AL185" s="22">
        <f t="shared" si="165"/>
        <v>547.28194876789507</v>
      </c>
      <c r="AM185" s="62">
        <f t="shared" si="113"/>
        <v>836.82227623613949</v>
      </c>
      <c r="AN185" s="62">
        <f ca="1">AVERAGE(OFFSET($AM$3,0,0,'Données projet'!$E$10+1,1))-AVERAGE(OFFSET($H$3,0,0,'Données projet'!$E$10+1,1))</f>
        <v>376.47942810265266</v>
      </c>
      <c r="AO185" s="62">
        <f t="shared" si="144"/>
        <v>362.87951024071265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0.16079980863781823</v>
      </c>
      <c r="AV185" s="23">
        <f>EXP(-LN(2)/25)*AV184+(1-EXP(-LN(2)/25))/(LN(2)/25)*Calculateur!AQ185*Calculateur!AS185*VLOOKUP('Données projet'!$B$10,Paramètres!$A$1:$I$89,3,0)*0.475*44/12</f>
        <v>0.12627953758899696</v>
      </c>
      <c r="AW185" s="23">
        <f>EXP(-LN(2)/2)*AW184+(1-EXP(-LN(2)/2))/(LN(2)/2)*AQ185*AT185*VLOOKUP('Données projet'!$B$10,Paramètres!$A$1:$I$89,3,0)*0.475*44/12</f>
        <v>2.682610849806379E-22</v>
      </c>
      <c r="AX185" s="23">
        <f t="shared" si="166"/>
        <v>0.28707934622681519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-4.9658410716801891E-14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317.71917965043735</v>
      </c>
      <c r="T186" s="62">
        <f t="shared" si="142"/>
        <v>444.40801165665744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0.20464316275173025</v>
      </c>
      <c r="AA186" s="23">
        <f>EXP(-LN(2)/25)*AA185+(1-EXP(-LN(2)/25))/(LN(2)/25)*Calculateur!V186*Calculateur!X186*VLOOKUP('Données projet'!$B$9,Paramètres!$A$1:$I$89,3,0)*0.475*44/12</f>
        <v>0.49431994941511598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0.69896311216684626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317.99999999999972</v>
      </c>
      <c r="AJ186" s="14">
        <f>AI186*VLOOKUP('Données projet'!$B$10,Paramètres!$A$1:$I$89,3,0)*VLOOKUP('Données projet'!$B$10,Paramètres!$A$1:$I$89,5,0)</f>
        <v>253.0007999999998</v>
      </c>
      <c r="AK186" s="14">
        <f t="shared" si="164"/>
        <v>61.228070105968683</v>
      </c>
      <c r="AL186" s="22">
        <f t="shared" si="165"/>
        <v>547.28194876789507</v>
      </c>
      <c r="AM186" s="62">
        <f t="shared" si="113"/>
        <v>836.88807640800803</v>
      </c>
      <c r="AN186" s="62">
        <f ca="1">AVERAGE(OFFSET($AM$3,0,0,'Données projet'!$E$10+1,1))-AVERAGE(OFFSET($H$3,0,0,'Données projet'!$E$10+1,1))</f>
        <v>376.47942810265266</v>
      </c>
      <c r="AO186" s="62">
        <f t="shared" si="144"/>
        <v>362.87951024071265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0.15764662246862945</v>
      </c>
      <c r="AV186" s="23">
        <f>EXP(-LN(2)/25)*AV185+(1-EXP(-LN(2)/25))/(LN(2)/25)*Calculateur!AQ186*Calculateur!AS186*VLOOKUP('Données projet'!$B$10,Paramètres!$A$1:$I$89,3,0)*0.475*44/12</f>
        <v>0.12282641699287357</v>
      </c>
      <c r="AW186" s="23">
        <f>EXP(-LN(2)/2)*AW185+(1-EXP(-LN(2)/2))/(LN(2)/2)*AQ186*AT186*VLOOKUP('Données projet'!$B$10,Paramètres!$A$1:$I$89,3,0)*0.475*44/12</f>
        <v>1.8968923231826976E-22</v>
      </c>
      <c r="AX186" s="23">
        <f t="shared" si="166"/>
        <v>0.28047303946150304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-4.9658410716801891E-14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317.71917965043735</v>
      </c>
      <c r="T187" s="62">
        <f t="shared" si="142"/>
        <v>444.40801165665744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0.20063023515017314</v>
      </c>
      <c r="AA187" s="23">
        <f>EXP(-LN(2)/25)*AA186+(1-EXP(-LN(2)/25))/(LN(2)/25)*Calculateur!V187*Calculateur!X187*VLOOKUP('Données projet'!$B$9,Paramètres!$A$1:$I$89,3,0)*0.475*44/12</f>
        <v>0.48080274440320325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0.68143297955337645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317.99999999999972</v>
      </c>
      <c r="AJ187" s="14">
        <f>AI187*VLOOKUP('Données projet'!$B$10,Paramètres!$A$1:$I$89,3,0)*VLOOKUP('Données projet'!$B$10,Paramètres!$A$1:$I$89,5,0)</f>
        <v>253.0007999999998</v>
      </c>
      <c r="AK187" s="14">
        <f t="shared" si="164"/>
        <v>61.228070105968683</v>
      </c>
      <c r="AL187" s="22">
        <f t="shared" si="165"/>
        <v>547.28194876789507</v>
      </c>
      <c r="AM187" s="62">
        <f t="shared" si="113"/>
        <v>836.95273509400181</v>
      </c>
      <c r="AN187" s="62">
        <f ca="1">AVERAGE(OFFSET($AM$3,0,0,'Données projet'!$E$10+1,1))-AVERAGE(OFFSET($H$3,0,0,'Données projet'!$E$10+1,1))</f>
        <v>376.47942810265266</v>
      </c>
      <c r="AO187" s="62">
        <f t="shared" si="144"/>
        <v>362.87951024071265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0.15455526835696481</v>
      </c>
      <c r="AV187" s="23">
        <f>EXP(-LN(2)/25)*AV186+(1-EXP(-LN(2)/25))/(LN(2)/25)*Calculateur!AQ187*Calculateur!AS187*VLOOKUP('Données projet'!$B$10,Paramètres!$A$1:$I$89,3,0)*0.475*44/12</f>
        <v>0.1194677221610429</v>
      </c>
      <c r="AW187" s="23">
        <f>EXP(-LN(2)/2)*AW186+(1-EXP(-LN(2)/2))/(LN(2)/2)*AQ187*AT187*VLOOKUP('Données projet'!$B$10,Paramètres!$A$1:$I$89,3,0)*0.475*44/12</f>
        <v>1.3413054249031895E-22</v>
      </c>
      <c r="AX187" s="23">
        <f t="shared" si="166"/>
        <v>0.27402299051800771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-4.9658410716801891E-14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317.71917965043735</v>
      </c>
      <c r="T188" s="62">
        <f t="shared" si="142"/>
        <v>444.40801165665744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0.19669599861123843</v>
      </c>
      <c r="AA188" s="23">
        <f>EXP(-LN(2)/25)*AA187+(1-EXP(-LN(2)/25))/(LN(2)/25)*Calculateur!V188*Calculateur!X188*VLOOKUP('Données projet'!$B$9,Paramètres!$A$1:$I$89,3,0)*0.475*44/12</f>
        <v>0.46765516807318019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0.66435116668441863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317.99999999999972</v>
      </c>
      <c r="AJ188" s="14">
        <f>AI188*VLOOKUP('Données projet'!$B$10,Paramètres!$A$1:$I$89,3,0)*VLOOKUP('Données projet'!$B$10,Paramètres!$A$1:$I$89,5,0)</f>
        <v>253.0007999999998</v>
      </c>
      <c r="AK188" s="14">
        <f t="shared" si="164"/>
        <v>61.228070105968683</v>
      </c>
      <c r="AL188" s="22">
        <f t="shared" si="165"/>
        <v>547.28194876789507</v>
      </c>
      <c r="AM188" s="62">
        <f t="shared" si="113"/>
        <v>837.01627209634876</v>
      </c>
      <c r="AN188" s="62">
        <f ca="1">AVERAGE(OFFSET($AM$3,0,0,'Données projet'!$E$10+1,1))-AVERAGE(OFFSET($H$3,0,0,'Données projet'!$E$10+1,1))</f>
        <v>376.47942810265266</v>
      </c>
      <c r="AO188" s="62">
        <f t="shared" si="144"/>
        <v>362.87951024071265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0.15152453381389011</v>
      </c>
      <c r="AV188" s="23">
        <f>EXP(-LN(2)/25)*AV187+(1-EXP(-LN(2)/25))/(LN(2)/25)*Calculateur!AQ188*Calculateur!AS188*VLOOKUP('Données projet'!$B$10,Paramètres!$A$1:$I$89,3,0)*0.475*44/12</f>
        <v>0.11620087101601471</v>
      </c>
      <c r="AW188" s="23">
        <f>EXP(-LN(2)/2)*AW187+(1-EXP(-LN(2)/2))/(LN(2)/2)*AQ188*AT188*VLOOKUP('Données projet'!$B$10,Paramètres!$A$1:$I$89,3,0)*0.475*44/12</f>
        <v>9.4844616159134878E-23</v>
      </c>
      <c r="AX188" s="23">
        <f t="shared" si="166"/>
        <v>0.26772540482990481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-4.9658410716801891E-14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317.71917965043735</v>
      </c>
      <c r="T189" s="62">
        <f t="shared" si="142"/>
        <v>444.40801165665744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0.19283891005118486</v>
      </c>
      <c r="AA189" s="23">
        <f>EXP(-LN(2)/25)*AA188+(1-EXP(-LN(2)/25))/(LN(2)/25)*Calculateur!V189*Calculateur!X189*VLOOKUP('Données projet'!$B$9,Paramètres!$A$1:$I$89,3,0)*0.475*44/12</f>
        <v>0.45486711290930265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0.64770602296048752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317.99999999999972</v>
      </c>
      <c r="AJ189" s="14">
        <f>AI189*VLOOKUP('Données projet'!$B$10,Paramètres!$A$1:$I$89,3,0)*VLOOKUP('Données projet'!$B$10,Paramètres!$A$1:$I$89,5,0)</f>
        <v>253.0007999999998</v>
      </c>
      <c r="AK189" s="14">
        <f t="shared" si="164"/>
        <v>61.228070105968683</v>
      </c>
      <c r="AL189" s="22">
        <f t="shared" si="165"/>
        <v>547.28194876789507</v>
      </c>
      <c r="AM189" s="62">
        <f t="shared" si="113"/>
        <v>837.07870687375248</v>
      </c>
      <c r="AN189" s="62">
        <f ca="1">AVERAGE(OFFSET($AM$3,0,0,'Données projet'!$E$10+1,1))-AVERAGE(OFFSET($H$3,0,0,'Données projet'!$E$10+1,1))</f>
        <v>376.47942810265266</v>
      </c>
      <c r="AO189" s="62">
        <f t="shared" si="144"/>
        <v>362.87951024071265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0.14855323012663954</v>
      </c>
      <c r="AV189" s="23">
        <f>EXP(-LN(2)/25)*AV188+(1-EXP(-LN(2)/25))/(LN(2)/25)*Calculateur!AQ189*Calculateur!AS189*VLOOKUP('Données projet'!$B$10,Paramètres!$A$1:$I$89,3,0)*0.475*44/12</f>
        <v>0.11302335208734357</v>
      </c>
      <c r="AW189" s="23">
        <f>EXP(-LN(2)/2)*AW188+(1-EXP(-LN(2)/2))/(LN(2)/2)*AQ189*AT189*VLOOKUP('Données projet'!$B$10,Paramètres!$A$1:$I$89,3,0)*0.475*44/12</f>
        <v>6.7065271245159475E-23</v>
      </c>
      <c r="AX189" s="23">
        <f t="shared" si="166"/>
        <v>0.26157658221398311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-4.9658410716801891E-14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317.71917965043735</v>
      </c>
      <c r="T190" s="62">
        <f t="shared" si="142"/>
        <v>444.40801165665744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0.18905745664520224</v>
      </c>
      <c r="AA190" s="23">
        <f>EXP(-LN(2)/25)*AA189+(1-EXP(-LN(2)/25))/(LN(2)/25)*Calculateur!V190*Calculateur!X190*VLOOKUP('Données projet'!$B$9,Paramètres!$A$1:$I$89,3,0)*0.475*44/12</f>
        <v>0.44242874778637592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0.6314862044315781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317.99999999999972</v>
      </c>
      <c r="AJ190" s="14">
        <f>AI190*VLOOKUP('Données projet'!$B$10,Paramètres!$A$1:$I$89,3,0)*VLOOKUP('Données projet'!$B$10,Paramètres!$A$1:$I$89,5,0)</f>
        <v>253.0007999999998</v>
      </c>
      <c r="AK190" s="14">
        <f t="shared" si="164"/>
        <v>61.228070105968683</v>
      </c>
      <c r="AL190" s="22">
        <f t="shared" si="165"/>
        <v>547.28194876789507</v>
      </c>
      <c r="AM190" s="62">
        <f t="shared" si="113"/>
        <v>837.14005854735149</v>
      </c>
      <c r="AN190" s="62">
        <f ca="1">AVERAGE(OFFSET($AM$3,0,0,'Données projet'!$E$10+1,1))-AVERAGE(OFFSET($H$3,0,0,'Données projet'!$E$10+1,1))</f>
        <v>376.47942810265266</v>
      </c>
      <c r="AO190" s="62">
        <f t="shared" si="144"/>
        <v>362.87951024071265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0.14564019189237967</v>
      </c>
      <c r="AV190" s="23">
        <f>EXP(-LN(2)/25)*AV189+(1-EXP(-LN(2)/25))/(LN(2)/25)*Calculateur!AQ190*Calculateur!AS190*VLOOKUP('Données projet'!$B$10,Paramètres!$A$1:$I$89,3,0)*0.475*44/12</f>
        <v>0.10993272258087539</v>
      </c>
      <c r="AW190" s="23">
        <f>EXP(-LN(2)/2)*AW189+(1-EXP(-LN(2)/2))/(LN(2)/2)*AQ190*AT190*VLOOKUP('Données projet'!$B$10,Paramètres!$A$1:$I$89,3,0)*0.475*44/12</f>
        <v>4.7422308079567439E-23</v>
      </c>
      <c r="AX190" s="23">
        <f t="shared" si="166"/>
        <v>0.25557291447325503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-4.9658410716801891E-14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317.71917965043735</v>
      </c>
      <c r="T191" s="62">
        <f t="shared" si="142"/>
        <v>444.40801165665744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0.1853501552340521</v>
      </c>
      <c r="AA191" s="23">
        <f>EXP(-LN(2)/25)*AA190+(1-EXP(-LN(2)/25))/(LN(2)/25)*Calculateur!V191*Calculateur!X191*VLOOKUP('Données projet'!$B$9,Paramètres!$A$1:$I$89,3,0)*0.475*44/12</f>
        <v>0.43033051041184078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0.61568066564589286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317.99999999999972</v>
      </c>
      <c r="AJ191" s="14">
        <f>AI191*VLOOKUP('Données projet'!$B$10,Paramètres!$A$1:$I$89,3,0)*VLOOKUP('Données projet'!$B$10,Paramètres!$A$1:$I$89,5,0)</f>
        <v>253.0007999999998</v>
      </c>
      <c r="AK191" s="14">
        <f t="shared" si="164"/>
        <v>61.228070105968683</v>
      </c>
      <c r="AL191" s="22">
        <f t="shared" si="165"/>
        <v>547.28194876789507</v>
      </c>
      <c r="AM191" s="62">
        <f t="shared" si="113"/>
        <v>837.20034590657531</v>
      </c>
      <c r="AN191" s="62">
        <f ca="1">AVERAGE(OFFSET($AM$3,0,0,'Données projet'!$E$10+1,1))-AVERAGE(OFFSET($H$3,0,0,'Données projet'!$E$10+1,1))</f>
        <v>376.47942810265266</v>
      </c>
      <c r="AO191" s="62">
        <f t="shared" si="144"/>
        <v>362.87951024071265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0.14278427656111575</v>
      </c>
      <c r="AV191" s="23">
        <f>EXP(-LN(2)/25)*AV190+(1-EXP(-LN(2)/25))/(LN(2)/25)*Calculateur!AQ191*Calculateur!AS191*VLOOKUP('Données projet'!$B$10,Paramètres!$A$1:$I$89,3,0)*0.475*44/12</f>
        <v>0.10692660650079072</v>
      </c>
      <c r="AW191" s="23">
        <f>EXP(-LN(2)/2)*AW190+(1-EXP(-LN(2)/2))/(LN(2)/2)*AQ191*AT191*VLOOKUP('Données projet'!$B$10,Paramètres!$A$1:$I$89,3,0)*0.475*44/12</f>
        <v>3.3532635622579737E-23</v>
      </c>
      <c r="AX191" s="23">
        <f t="shared" si="166"/>
        <v>0.24971088306190647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-4.9658410716801891E-14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317.71917965043735</v>
      </c>
      <c r="T192" s="62">
        <f t="shared" si="142"/>
        <v>444.40801165665744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0.18171555174234402</v>
      </c>
      <c r="AA192" s="23">
        <f>EXP(-LN(2)/25)*AA191+(1-EXP(-LN(2)/25))/(LN(2)/25)*Calculateur!V192*Calculateur!X192*VLOOKUP('Données projet'!$B$9,Paramètres!$A$1:$I$89,3,0)*0.475*44/12</f>
        <v>0.41856309997453101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0.600278651716875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317.99999999999972</v>
      </c>
      <c r="AJ192" s="14">
        <f>AI192*VLOOKUP('Données projet'!$B$10,Paramètres!$A$1:$I$89,3,0)*VLOOKUP('Données projet'!$B$10,Paramètres!$A$1:$I$89,5,0)</f>
        <v>253.0007999999998</v>
      </c>
      <c r="AK192" s="14">
        <f t="shared" si="164"/>
        <v>61.228070105968683</v>
      </c>
      <c r="AL192" s="22">
        <f t="shared" si="165"/>
        <v>547.28194876789507</v>
      </c>
      <c r="AM192" s="62">
        <f t="shared" si="113"/>
        <v>837.25958741489899</v>
      </c>
      <c r="AN192" s="62">
        <f ca="1">AVERAGE(OFFSET($AM$3,0,0,'Données projet'!$E$10+1,1))-AVERAGE(OFFSET($H$3,0,0,'Données projet'!$E$10+1,1))</f>
        <v>376.47942810265266</v>
      </c>
      <c r="AO192" s="62">
        <f t="shared" si="144"/>
        <v>362.87951024071265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0.13998436398756156</v>
      </c>
      <c r="AV192" s="23">
        <f>EXP(-LN(2)/25)*AV191+(1-EXP(-LN(2)/25))/(LN(2)/25)*Calculateur!AQ192*Calculateur!AS192*VLOOKUP('Données projet'!$B$10,Paramètres!$A$1:$I$89,3,0)*0.475*44/12</f>
        <v>0.10400269282300074</v>
      </c>
      <c r="AW192" s="23">
        <f>EXP(-LN(2)/2)*AW191+(1-EXP(-LN(2)/2))/(LN(2)/2)*AQ192*AT192*VLOOKUP('Données projet'!$B$10,Paramètres!$A$1:$I$89,3,0)*0.475*44/12</f>
        <v>2.371115403978372E-23</v>
      </c>
      <c r="AX192" s="23">
        <f t="shared" si="166"/>
        <v>0.24398705681056232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-4.9658410716801891E-14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317.71917965043735</v>
      </c>
      <c r="T193" s="62">
        <f t="shared" si="142"/>
        <v>444.40801165665744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0.17815222060821911</v>
      </c>
      <c r="AA193" s="23">
        <f>EXP(-LN(2)/25)*AA192+(1-EXP(-LN(2)/25))/(LN(2)/25)*Calculateur!V193*Calculateur!X193*VLOOKUP('Données projet'!$B$9,Paramètres!$A$1:$I$89,3,0)*0.475*44/12</f>
        <v>0.40711746999445064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0.58526969060266976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317.99999999999972</v>
      </c>
      <c r="AJ193" s="14">
        <f>AI193*VLOOKUP('Données projet'!$B$10,Paramètres!$A$1:$I$89,3,0)*VLOOKUP('Données projet'!$B$10,Paramètres!$A$1:$I$89,5,0)</f>
        <v>253.0007999999998</v>
      </c>
      <c r="AK193" s="14">
        <f t="shared" si="164"/>
        <v>61.228070105968683</v>
      </c>
      <c r="AL193" s="22">
        <f t="shared" si="165"/>
        <v>547.28194876789507</v>
      </c>
      <c r="AM193" s="62">
        <f t="shared" si="113"/>
        <v>837.31780121549741</v>
      </c>
      <c r="AN193" s="62">
        <f ca="1">AVERAGE(OFFSET($AM$3,0,0,'Données projet'!$E$10+1,1))-AVERAGE(OFFSET($H$3,0,0,'Données projet'!$E$10+1,1))</f>
        <v>376.47942810265266</v>
      </c>
      <c r="AO193" s="62">
        <f t="shared" si="144"/>
        <v>362.87951024071265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0.13723935599179674</v>
      </c>
      <c r="AV193" s="23">
        <f>EXP(-LN(2)/25)*AV192+(1-EXP(-LN(2)/25))/(LN(2)/25)*Calculateur!AQ193*Calculateur!AS193*VLOOKUP('Données projet'!$B$10,Paramètres!$A$1:$I$89,3,0)*0.475*44/12</f>
        <v>0.10115873371849188</v>
      </c>
      <c r="AW193" s="23">
        <f>EXP(-LN(2)/2)*AW192+(1-EXP(-LN(2)/2))/(LN(2)/2)*AQ193*AT193*VLOOKUP('Données projet'!$B$10,Paramètres!$A$1:$I$89,3,0)*0.475*44/12</f>
        <v>1.6766317811289869E-23</v>
      </c>
      <c r="AX193" s="23">
        <f t="shared" si="166"/>
        <v>0.23839808971028861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-4.9658410716801891E-14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317.71917965043735</v>
      </c>
      <c r="T194" s="62">
        <f t="shared" si="142"/>
        <v>444.40801165665744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0.17465876422421703</v>
      </c>
      <c r="AA194" s="23">
        <f>EXP(-LN(2)/25)*AA193+(1-EXP(-LN(2)/25))/(LN(2)/25)*Calculateur!V194*Calculateur!X194*VLOOKUP('Données projet'!$B$9,Paramètres!$A$1:$I$89,3,0)*0.475*44/12</f>
        <v>0.39598482136807511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0.57064358559229211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317.99999999999972</v>
      </c>
      <c r="AJ194" s="14">
        <f>AI194*VLOOKUP('Données projet'!$B$10,Paramètres!$A$1:$I$89,3,0)*VLOOKUP('Données projet'!$B$10,Paramètres!$A$1:$I$89,5,0)</f>
        <v>253.0007999999998</v>
      </c>
      <c r="AK194" s="14">
        <f t="shared" si="164"/>
        <v>61.228070105968683</v>
      </c>
      <c r="AL194" s="22">
        <f t="shared" si="165"/>
        <v>547.28194876789507</v>
      </c>
      <c r="AM194" s="62">
        <f t="shared" si="113"/>
        <v>837.37500513680197</v>
      </c>
      <c r="AN194" s="62">
        <f ca="1">AVERAGE(OFFSET($AM$3,0,0,'Données projet'!$E$10+1,1))-AVERAGE(OFFSET($H$3,0,0,'Données projet'!$E$10+1,1))</f>
        <v>376.47942810265266</v>
      </c>
      <c r="AO194" s="62">
        <f t="shared" si="144"/>
        <v>362.87951024071265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0.13454817592853929</v>
      </c>
      <c r="AV194" s="23">
        <f>EXP(-LN(2)/25)*AV193+(1-EXP(-LN(2)/25))/(LN(2)/25)*Calculateur!AQ194*Calculateur!AS194*VLOOKUP('Données projet'!$B$10,Paramètres!$A$1:$I$89,3,0)*0.475*44/12</f>
        <v>9.8392542825253115E-2</v>
      </c>
      <c r="AW194" s="23">
        <f>EXP(-LN(2)/2)*AW193+(1-EXP(-LN(2)/2))/(LN(2)/2)*AQ194*AT194*VLOOKUP('Données projet'!$B$10,Paramètres!$A$1:$I$89,3,0)*0.475*44/12</f>
        <v>1.185557701989186E-23</v>
      </c>
      <c r="AX194" s="23">
        <f t="shared" si="166"/>
        <v>0.23294071875379241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-4.9658410716801891E-14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317.71917965043735</v>
      </c>
      <c r="T195" s="62">
        <f t="shared" si="142"/>
        <v>444.40801165665744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0.1712338123891072</v>
      </c>
      <c r="AA195" s="23">
        <f>EXP(-LN(2)/25)*AA194+(1-EXP(-LN(2)/25))/(LN(2)/25)*Calculateur!V195*Calculateur!X195*VLOOKUP('Données projet'!$B$9,Paramètres!$A$1:$I$89,3,0)*0.475*44/12</f>
        <v>0.38515659560382837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0.5563904079929356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317.99999999999972</v>
      </c>
      <c r="AJ195" s="14">
        <f>AI195*VLOOKUP('Données projet'!$B$10,Paramètres!$A$1:$I$89,3,0)*VLOOKUP('Données projet'!$B$10,Paramètres!$A$1:$I$89,5,0)</f>
        <v>253.0007999999998</v>
      </c>
      <c r="AK195" s="14">
        <f t="shared" si="164"/>
        <v>61.228070105968683</v>
      </c>
      <c r="AL195" s="22">
        <f t="shared" si="165"/>
        <v>547.28194876789507</v>
      </c>
      <c r="AM195" s="62">
        <f t="shared" si="113"/>
        <v>837.43121669796074</v>
      </c>
      <c r="AN195" s="62">
        <f ca="1">AVERAGE(OFFSET($AM$3,0,0,'Données projet'!$E$10+1,1))-AVERAGE(OFFSET($H$3,0,0,'Données projet'!$E$10+1,1))</f>
        <v>376.47942810265266</v>
      </c>
      <c r="AO195" s="62">
        <f t="shared" si="144"/>
        <v>362.87951024071265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0.13190976826486459</v>
      </c>
      <c r="AV195" s="23">
        <f>EXP(-LN(2)/25)*AV194+(1-EXP(-LN(2)/25))/(LN(2)/25)*Calculateur!AQ195*Calculateur!AS195*VLOOKUP('Données projet'!$B$10,Paramètres!$A$1:$I$89,3,0)*0.475*44/12</f>
        <v>9.5701993567457622E-2</v>
      </c>
      <c r="AW195" s="23">
        <f>EXP(-LN(2)/2)*AW194+(1-EXP(-LN(2)/2))/(LN(2)/2)*AQ195*AT195*VLOOKUP('Données projet'!$B$10,Paramètres!$A$1:$I$89,3,0)*0.475*44/12</f>
        <v>8.3831589056449344E-24</v>
      </c>
      <c r="AX195" s="23">
        <f t="shared" si="166"/>
        <v>0.22761176183232221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-4.9658410716801891E-14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317.71917965043735</v>
      </c>
      <c r="T196" s="62">
        <f t="shared" si="142"/>
        <v>444.40801165665744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0.16787602177046954</v>
      </c>
      <c r="AA196" s="23">
        <f>EXP(-LN(2)/25)*AA195+(1-EXP(-LN(2)/25))/(LN(2)/25)*Calculateur!V196*Calculateur!X196*VLOOKUP('Données projet'!$B$9,Paramètres!$A$1:$I$89,3,0)*0.475*44/12</f>
        <v>0.37462446824253659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0.54250049001300615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317.99999999999972</v>
      </c>
      <c r="AJ196" s="14">
        <f>AI196*VLOOKUP('Données projet'!$B$10,Paramètres!$A$1:$I$89,3,0)*VLOOKUP('Données projet'!$B$10,Paramètres!$A$1:$I$89,5,0)</f>
        <v>253.0007999999998</v>
      </c>
      <c r="AK196" s="14">
        <f t="shared" si="164"/>
        <v>61.228070105968683</v>
      </c>
      <c r="AL196" s="22">
        <f t="shared" si="165"/>
        <v>547.28194876789507</v>
      </c>
      <c r="AM196" s="62">
        <f t="shared" ref="AM196:AM203" si="193">AL196+(AD196+AE196)*44/12</f>
        <v>837.48645311420364</v>
      </c>
      <c r="AN196" s="62">
        <f ca="1">AVERAGE(OFFSET($AM$3,0,0,'Données projet'!$E$10+1,1))-AVERAGE(OFFSET($H$3,0,0,'Données projet'!$E$10+1,1))</f>
        <v>376.47942810265266</v>
      </c>
      <c r="AO196" s="62">
        <f t="shared" si="144"/>
        <v>362.87951024071265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0.12932309816620477</v>
      </c>
      <c r="AV196" s="23">
        <f>EXP(-LN(2)/25)*AV195+(1-EXP(-LN(2)/25))/(LN(2)/25)*Calculateur!AQ196*Calculateur!AS196*VLOOKUP('Données projet'!$B$10,Paramètres!$A$1:$I$89,3,0)*0.475*44/12</f>
        <v>9.3085017520606383E-2</v>
      </c>
      <c r="AW196" s="23">
        <f>EXP(-LN(2)/2)*AW195+(1-EXP(-LN(2)/2))/(LN(2)/2)*AQ196*AT196*VLOOKUP('Données projet'!$B$10,Paramètres!$A$1:$I$89,3,0)*0.475*44/12</f>
        <v>5.9277885099459299E-24</v>
      </c>
      <c r="AX196" s="23">
        <f t="shared" si="166"/>
        <v>0.22240811568681115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-4.9658410716801891E-14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317.71917965043735</v>
      </c>
      <c r="T197" s="62">
        <f t="shared" ref="T197:T203" si="204">$T$3</f>
        <v>444.40801165665744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0.1645840753778133</v>
      </c>
      <c r="AA197" s="23">
        <f>EXP(-LN(2)/25)*AA196+(1-EXP(-LN(2)/25))/(LN(2)/25)*Calculateur!V197*Calculateur!X197*VLOOKUP('Données projet'!$B$9,Paramètres!$A$1:$I$89,3,0)*0.475*44/12</f>
        <v>0.36438034245779988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0.52896441783561321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317.99999999999972</v>
      </c>
      <c r="AJ197" s="14">
        <f>AI197*VLOOKUP('Données projet'!$B$10,Paramètres!$A$1:$I$89,3,0)*VLOOKUP('Données projet'!$B$10,Paramètres!$A$1:$I$89,5,0)</f>
        <v>253.0007999999998</v>
      </c>
      <c r="AK197" s="14">
        <f t="shared" si="164"/>
        <v>61.228070105968683</v>
      </c>
      <c r="AL197" s="22">
        <f t="shared" si="165"/>
        <v>547.28194876789507</v>
      </c>
      <c r="AM197" s="62">
        <f t="shared" si="193"/>
        <v>837.54073130211486</v>
      </c>
      <c r="AN197" s="62">
        <f ca="1">AVERAGE(OFFSET($AM$3,0,0,'Données projet'!$E$10+1,1))-AVERAGE(OFFSET($H$3,0,0,'Données projet'!$E$10+1,1))</f>
        <v>376.47942810265266</v>
      </c>
      <c r="AO197" s="62">
        <f t="shared" ref="AO197:AO203" si="205">$AO$3</f>
        <v>362.87951024071265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0.1267871510904667</v>
      </c>
      <c r="AV197" s="23">
        <f>EXP(-LN(2)/25)*AV196+(1-EXP(-LN(2)/25))/(LN(2)/25)*Calculateur!AQ197*Calculateur!AS197*VLOOKUP('Données projet'!$B$10,Paramètres!$A$1:$I$89,3,0)*0.475*44/12</f>
        <v>9.0539602821377074E-2</v>
      </c>
      <c r="AW197" s="23">
        <f>EXP(-LN(2)/2)*AW196+(1-EXP(-LN(2)/2))/(LN(2)/2)*AQ197*AT197*VLOOKUP('Données projet'!$B$10,Paramètres!$A$1:$I$89,3,0)*0.475*44/12</f>
        <v>4.1915794528224672E-24</v>
      </c>
      <c r="AX197" s="23">
        <f t="shared" si="166"/>
        <v>0.21732675391184378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-4.9658410716801891E-14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317.71917965043735</v>
      </c>
      <c r="T198" s="62">
        <f t="shared" si="204"/>
        <v>444.40801165665744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0.16135668204602804</v>
      </c>
      <c r="AA198" s="23">
        <f>EXP(-LN(2)/25)*AA197+(1-EXP(-LN(2)/25))/(LN(2)/25)*Calculateur!V198*Calculateur!X198*VLOOKUP('Données projet'!$B$9,Paramètres!$A$1:$I$89,3,0)*0.475*44/12</f>
        <v>0.35441634283136192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0.51577302487738996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317.99999999999972</v>
      </c>
      <c r="AJ198" s="14">
        <f>AI198*VLOOKUP('Données projet'!$B$10,Paramètres!$A$1:$I$89,3,0)*VLOOKUP('Données projet'!$B$10,Paramètres!$A$1:$I$89,5,0)</f>
        <v>253.0007999999998</v>
      </c>
      <c r="AK198" s="14">
        <f t="shared" si="164"/>
        <v>61.228070105968683</v>
      </c>
      <c r="AL198" s="22">
        <f t="shared" si="165"/>
        <v>547.28194876789507</v>
      </c>
      <c r="AM198" s="62">
        <f t="shared" si="193"/>
        <v>837.59406788481351</v>
      </c>
      <c r="AN198" s="62">
        <f ca="1">AVERAGE(OFFSET($AM$3,0,0,'Données projet'!$E$10+1,1))-AVERAGE(OFFSET($H$3,0,0,'Données projet'!$E$10+1,1))</f>
        <v>376.47942810265266</v>
      </c>
      <c r="AO198" s="62">
        <f t="shared" si="205"/>
        <v>362.87951024071265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0.12430093239010886</v>
      </c>
      <c r="AV198" s="23">
        <f>EXP(-LN(2)/25)*AV197+(1-EXP(-LN(2)/25))/(LN(2)/25)*Calculateur!AQ198*Calculateur!AS198*VLOOKUP('Données projet'!$B$10,Paramètres!$A$1:$I$89,3,0)*0.475*44/12</f>
        <v>8.8063792620955733E-2</v>
      </c>
      <c r="AW198" s="23">
        <f>EXP(-LN(2)/2)*AW197+(1-EXP(-LN(2)/2))/(LN(2)/2)*AQ198*AT198*VLOOKUP('Données projet'!$B$10,Paramètres!$A$1:$I$89,3,0)*0.475*44/12</f>
        <v>2.9638942549729649E-24</v>
      </c>
      <c r="AX198" s="23">
        <f t="shared" si="166"/>
        <v>0.2123647250110646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-4.9658410716801891E-14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317.71917965043735</v>
      </c>
      <c r="T199" s="62">
        <f t="shared" si="204"/>
        <v>444.40801165665744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0.15819257592896352</v>
      </c>
      <c r="AA199" s="23">
        <f>EXP(-LN(2)/25)*AA198+(1-EXP(-LN(2)/25))/(LN(2)/25)*Calculateur!V199*Calculateur!X199*VLOOKUP('Données projet'!$B$9,Paramètres!$A$1:$I$89,3,0)*0.475*44/12</f>
        <v>0.34472480929869287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0.50291738522765639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317.99999999999972</v>
      </c>
      <c r="AJ199" s="14">
        <f>AI199*VLOOKUP('Données projet'!$B$10,Paramètres!$A$1:$I$89,3,0)*VLOOKUP('Données projet'!$B$10,Paramètres!$A$1:$I$89,5,0)</f>
        <v>253.0007999999998</v>
      </c>
      <c r="AK199" s="14">
        <f t="shared" si="164"/>
        <v>61.228070105968683</v>
      </c>
      <c r="AL199" s="22">
        <f t="shared" si="165"/>
        <v>547.28194876789507</v>
      </c>
      <c r="AM199" s="62">
        <f t="shared" si="193"/>
        <v>837.64647919704521</v>
      </c>
      <c r="AN199" s="62">
        <f ca="1">AVERAGE(OFFSET($AM$3,0,0,'Données projet'!$E$10+1,1))-AVERAGE(OFFSET($H$3,0,0,'Données projet'!$E$10+1,1))</f>
        <v>376.47942810265266</v>
      </c>
      <c r="AO199" s="62">
        <f t="shared" si="205"/>
        <v>362.87951024071265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0.12186346692202137</v>
      </c>
      <c r="AV199" s="23">
        <f>EXP(-LN(2)/25)*AV198+(1-EXP(-LN(2)/25))/(LN(2)/25)*Calculateur!AQ199*Calculateur!AS199*VLOOKUP('Données projet'!$B$10,Paramètres!$A$1:$I$89,3,0)*0.475*44/12</f>
        <v>8.5655683580662112E-2</v>
      </c>
      <c r="AW199" s="23">
        <f>EXP(-LN(2)/2)*AW198+(1-EXP(-LN(2)/2))/(LN(2)/2)*AQ199*AT199*VLOOKUP('Données projet'!$B$10,Paramètres!$A$1:$I$89,3,0)*0.475*44/12</f>
        <v>2.0957897264112336E-24</v>
      </c>
      <c r="AX199" s="23">
        <f t="shared" si="166"/>
        <v>0.20751915050268349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-4.9658410716801891E-14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317.71917965043735</v>
      </c>
      <c r="T200" s="62">
        <f t="shared" si="204"/>
        <v>444.40801165665744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0.15509051600294047</v>
      </c>
      <c r="AA200" s="23">
        <f>EXP(-LN(2)/25)*AA199+(1-EXP(-LN(2)/25))/(LN(2)/25)*Calculateur!V200*Calculateur!X200*VLOOKUP('Données projet'!$B$9,Paramètres!$A$1:$I$89,3,0)*0.475*44/12</f>
        <v>0.33529829126013028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0.49038880726307077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317.99999999999972</v>
      </c>
      <c r="AJ200" s="14">
        <f>AI200*VLOOKUP('Données projet'!$B$10,Paramètres!$A$1:$I$89,3,0)*VLOOKUP('Données projet'!$B$10,Paramètres!$A$1:$I$89,5,0)</f>
        <v>253.0007999999998</v>
      </c>
      <c r="AK200" s="14">
        <f t="shared" si="164"/>
        <v>61.228070105968683</v>
      </c>
      <c r="AL200" s="22">
        <f t="shared" si="165"/>
        <v>547.28194876789507</v>
      </c>
      <c r="AM200" s="62">
        <f t="shared" si="193"/>
        <v>837.69798129018386</v>
      </c>
      <c r="AN200" s="62">
        <f ca="1">AVERAGE(OFFSET($AM$3,0,0,'Données projet'!$E$10+1,1))-AVERAGE(OFFSET($H$3,0,0,'Données projet'!$E$10+1,1))</f>
        <v>376.47942810265266</v>
      </c>
      <c r="AO200" s="62">
        <f t="shared" si="205"/>
        <v>362.87951024071265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0.11947379866505593</v>
      </c>
      <c r="AV200" s="23">
        <f>EXP(-LN(2)/25)*AV199+(1-EXP(-LN(2)/25))/(LN(2)/25)*Calculateur!AQ200*Calculateur!AS200*VLOOKUP('Données projet'!$B$10,Paramètres!$A$1:$I$89,3,0)*0.475*44/12</f>
        <v>8.3313424408712269E-2</v>
      </c>
      <c r="AW200" s="23">
        <f>EXP(-LN(2)/2)*AW199+(1-EXP(-LN(2)/2))/(LN(2)/2)*AQ200*AT200*VLOOKUP('Données projet'!$B$10,Paramètres!$A$1:$I$89,3,0)*0.475*44/12</f>
        <v>1.4819471274864825E-24</v>
      </c>
      <c r="AX200" s="23">
        <f t="shared" si="166"/>
        <v>0.2027872230737682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-4.9658410716801891E-14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317.71917965043735</v>
      </c>
      <c r="T201" s="62">
        <f t="shared" si="204"/>
        <v>444.40801165665744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0.152049285579997</v>
      </c>
      <c r="AA201" s="23">
        <f>EXP(-LN(2)/25)*AA200+(1-EXP(-LN(2)/25))/(LN(2)/25)*Calculateur!V201*Calculateur!X201*VLOOKUP('Données projet'!$B$9,Paramètres!$A$1:$I$89,3,0)*0.475*44/12</f>
        <v>0.32612954185305121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0.47817882743304818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317.99999999999972</v>
      </c>
      <c r="AJ201" s="14">
        <f>AI201*VLOOKUP('Données projet'!$B$10,Paramètres!$A$1:$I$89,3,0)*VLOOKUP('Données projet'!$B$10,Paramètres!$A$1:$I$89,5,0)</f>
        <v>253.0007999999998</v>
      </c>
      <c r="AK201" s="14">
        <f t="shared" si="164"/>
        <v>61.228070105968683</v>
      </c>
      <c r="AL201" s="22">
        <f t="shared" si="165"/>
        <v>547.28194876789507</v>
      </c>
      <c r="AM201" s="62">
        <f t="shared" si="193"/>
        <v>837.74858993714793</v>
      </c>
      <c r="AN201" s="62">
        <f ca="1">AVERAGE(OFFSET($AM$3,0,0,'Données projet'!$E$10+1,1))-AVERAGE(OFFSET($H$3,0,0,'Données projet'!$E$10+1,1))</f>
        <v>376.47942810265266</v>
      </c>
      <c r="AO201" s="62">
        <f t="shared" si="205"/>
        <v>362.87951024071265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0.11713099034505588</v>
      </c>
      <c r="AV201" s="23">
        <f>EXP(-LN(2)/25)*AV200+(1-EXP(-LN(2)/25))/(LN(2)/25)*Calculateur!AQ201*Calculateur!AS201*VLOOKUP('Données projet'!$B$10,Paramètres!$A$1:$I$89,3,0)*0.475*44/12</f>
        <v>8.1035214436993463E-2</v>
      </c>
      <c r="AW201" s="23">
        <f>EXP(-LN(2)/2)*AW200+(1-EXP(-LN(2)/2))/(LN(2)/2)*AQ201*AT201*VLOOKUP('Données projet'!$B$10,Paramètres!$A$1:$I$89,3,0)*0.475*44/12</f>
        <v>1.0478948632056168E-24</v>
      </c>
      <c r="AX201" s="23">
        <f t="shared" si="166"/>
        <v>0.19816620478204933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-4.9658410716801891E-14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317.71917965043735</v>
      </c>
      <c r="T202" s="62">
        <f t="shared" si="204"/>
        <v>444.40801165665744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0.14906769183068005</v>
      </c>
      <c r="AA202" s="23">
        <f>EXP(-LN(2)/25)*AA201+(1-EXP(-LN(2)/25))/(LN(2)/25)*Calculateur!V202*Calculateur!X202*VLOOKUP('Données projet'!$B$9,Paramètres!$A$1:$I$89,3,0)*0.475*44/12</f>
        <v>0.3172115123806723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0.46627920421135238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317.99999999999972</v>
      </c>
      <c r="AJ202" s="14">
        <f>AI202*VLOOKUP('Données projet'!$B$10,Paramètres!$A$1:$I$89,3,0)*VLOOKUP('Données projet'!$B$10,Paramètres!$A$1:$I$89,5,0)</f>
        <v>253.0007999999998</v>
      </c>
      <c r="AK202" s="14">
        <f t="shared" si="164"/>
        <v>61.228070105968683</v>
      </c>
      <c r="AL202" s="22">
        <f t="shared" si="165"/>
        <v>547.28194876789507</v>
      </c>
      <c r="AM202" s="62">
        <f t="shared" si="193"/>
        <v>837.7983206372312</v>
      </c>
      <c r="AN202" s="62">
        <f ca="1">AVERAGE(OFFSET($AM$3,0,0,'Données projet'!$E$10+1,1))-AVERAGE(OFFSET($H$3,0,0,'Données projet'!$E$10+1,1))</f>
        <v>376.47942810265266</v>
      </c>
      <c r="AO202" s="62">
        <f t="shared" si="205"/>
        <v>362.87951024071265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0.11483412306723904</v>
      </c>
      <c r="AV202" s="23">
        <f>EXP(-LN(2)/25)*AV201+(1-EXP(-LN(2)/25))/(LN(2)/25)*Calculateur!AQ202*Calculateur!AS202*VLOOKUP('Données projet'!$B$10,Paramètres!$A$1:$I$89,3,0)*0.475*44/12</f>
        <v>7.8819302236757163E-2</v>
      </c>
      <c r="AW202" s="23">
        <f>EXP(-LN(2)/2)*AW201+(1-EXP(-LN(2)/2))/(LN(2)/2)*AQ202*AT202*VLOOKUP('Données projet'!$B$10,Paramètres!$A$1:$I$89,3,0)*0.475*44/12</f>
        <v>7.4097356374324124E-25</v>
      </c>
      <c r="AX202" s="23">
        <f t="shared" si="166"/>
        <v>0.19365342530399621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-4.9658410716801891E-14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317.71917965043735</v>
      </c>
      <c r="T203" s="62">
        <f t="shared" si="204"/>
        <v>444.40801165665744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0.1461445653161946</v>
      </c>
      <c r="AA203" s="23">
        <f>EXP(-LN(2)/25)*AA202+(1-EXP(-LN(2)/25))/(LN(2)/25)*Calculateur!V203*Calculateur!X203*VLOOKUP('Données projet'!$B$9,Paramètres!$A$1:$I$89,3,0)*0.475*44/12</f>
        <v>0.3085373468931944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0.45468191220938903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317.99999999999972</v>
      </c>
      <c r="AJ203" s="14">
        <f>AI203*VLOOKUP('Données projet'!$B$10,Paramètres!$A$1:$I$89,3,0)*VLOOKUP('Données projet'!$B$10,Paramètres!$A$1:$I$89,5,0)</f>
        <v>253.0007999999998</v>
      </c>
      <c r="AK203" s="14">
        <f t="shared" si="164"/>
        <v>61.228070105968683</v>
      </c>
      <c r="AL203" s="22">
        <f t="shared" si="165"/>
        <v>547.28194876789507</v>
      </c>
      <c r="AM203" s="62">
        <f t="shared" si="193"/>
        <v>837.84718862084924</v>
      </c>
      <c r="AN203" s="62">
        <f ca="1">AVERAGE(OFFSET($AM$3,0,0,'Données projet'!$E$10+1,1))-AVERAGE(OFFSET($H$3,0,0,'Données projet'!$E$10+1,1))</f>
        <v>376.47942810265266</v>
      </c>
      <c r="AO203" s="62">
        <f t="shared" si="205"/>
        <v>362.87951024071265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0.11258229595578949</v>
      </c>
      <c r="AV203" s="23">
        <f>EXP(-LN(2)/25)*AV202+(1-EXP(-LN(2)/25))/(LN(2)/25)*Calculateur!AQ203*Calculateur!AS203*VLOOKUP('Données projet'!$B$10,Paramètres!$A$1:$I$89,3,0)*0.475*44/12</f>
        <v>7.6663984272166072E-2</v>
      </c>
      <c r="AW203" s="23">
        <f>EXP(-LN(2)/2)*AW202+(1-EXP(-LN(2)/2))/(LN(2)/2)*AQ203*AT203*VLOOKUP('Données projet'!$B$10,Paramètres!$A$1:$I$89,3,0)*0.475*44/12</f>
        <v>5.239474316028084E-25</v>
      </c>
      <c r="AX203" s="23">
        <f t="shared" si="166"/>
        <v>0.18924628022795556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1.3655017210306359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1.2709816152101407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22" sqref="N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2.6599999999999997</v>
      </c>
      <c r="C6" s="156">
        <f ca="1">IF(OR('Données projet'!B9="",'Données projet'!C9="",'Données projet'!C9=0%),0,Calculateur!S3)</f>
        <v>317.71917965043735</v>
      </c>
      <c r="D6" s="156">
        <f>IF(OR('Données projet'!B9="",'Données projet'!C9="",'Données projet'!C9=0%),0,Calculateur!T3)</f>
        <v>444.40801165665744</v>
      </c>
      <c r="E6" s="156">
        <f ca="1">MIN(C6,D6)</f>
        <v>317.71917965043735</v>
      </c>
      <c r="F6" s="156">
        <f ca="1">E6*B6</f>
        <v>845.13301787016326</v>
      </c>
      <c r="G6" s="156">
        <f ca="1">F6*(100%-'Données projet'!$C$24)*(100%-'Données projet'!$C$25)*(100%-'Données projet'!$C$26)*(100%-'Données projet'!$C$27)</f>
        <v>684.55774447483225</v>
      </c>
      <c r="H6" s="157">
        <f>IF(OR('Données projet'!B9="",'Données projet'!C9="",'Données projet'!C9=0%),0,AVERAGE(Calculateur!$AC$3:$AC$33)*B6)</f>
        <v>14.841413147397164</v>
      </c>
      <c r="I6" s="158">
        <f>H6*(100%-'Données projet'!$C$24)*(100%-'Données projet'!$C$25)*(100%-'Données projet'!$C$26)*(100%-'Données projet'!$C$27)</f>
        <v>12.021544649391704</v>
      </c>
      <c r="J6" s="159">
        <f>IF(OR('Données projet'!B9="",'Données projet'!C9="",'Données projet'!C9=0%),0,SUM(Calculateur!$V$3:$V$33)*VLOOKUP('Données projet'!$B$9,Paramètres!$A$1:$I$89,9,0)*B6)</f>
        <v>124.35499999999999</v>
      </c>
      <c r="K6" s="160">
        <f>J6*(100%-'Données projet'!$C$24)*(100%-'Données projet'!$C$25)*(100%-'Données projet'!$C$26)*(100%-'Données projet'!$C$27)</f>
        <v>100.72755000000001</v>
      </c>
      <c r="L6" s="161">
        <f ca="1">G6+I6+K6</f>
        <v>797.30683912422387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Erable plane</v>
      </c>
      <c r="B7" s="163">
        <f>'Données projet'!D10</f>
        <v>0.13999999999999999</v>
      </c>
      <c r="C7" s="156">
        <f ca="1">IF(OR('Données projet'!B10="",'Données projet'!C10="",'Données projet'!C10=0%),0,Calculateur!AN3)</f>
        <v>376.47942810265266</v>
      </c>
      <c r="D7" s="156">
        <f>IF(OR('Données projet'!B10="",'Données projet'!C10="",'Données projet'!C10=0%),0,Calculateur!AO3)</f>
        <v>362.87951024071265</v>
      </c>
      <c r="E7" s="156">
        <f t="shared" ref="E7:E15" ca="1" si="0">MIN(C7,D7)</f>
        <v>362.87951024071265</v>
      </c>
      <c r="F7" s="156">
        <f t="shared" ref="F7:F15" ca="1" si="1">E7*B7</f>
        <v>50.803131433699768</v>
      </c>
      <c r="G7" s="156">
        <f ca="1">F7*(100%-'Données projet'!$C$24)*(100%-'Données projet'!$C$25)*(100%-'Données projet'!$C$26)*(100%-'Données projet'!$C$27)</f>
        <v>41.150536461296809</v>
      </c>
      <c r="H7" s="164">
        <f>IF(OR('Données projet'!B10="",'Données projet'!C10="",'Données projet'!C10=0%),0,AVERAGE(Calculateur!$AX$3:$AX$33)*B7)</f>
        <v>1.2934140979599769</v>
      </c>
      <c r="I7" s="158">
        <f>H7*(100%-'Données projet'!$C$24)*(100%-'Données projet'!$C$25)*(100%-'Données projet'!$C$26)*(100%-'Données projet'!$C$27)</f>
        <v>1.0476654193475812</v>
      </c>
      <c r="J7" s="159">
        <f>IF(OR('Données projet'!B10="",'Données projet'!C10="",'Données projet'!C10=0%),0,SUM(Calculateur!$AQ$3:$AQ$33)*VLOOKUP('Données projet'!$B$10,Paramètres!$A$1:$I$89,9,0)*B7)</f>
        <v>4.7949999999999999</v>
      </c>
      <c r="K7" s="160">
        <f>J7*(100%-'Données projet'!$C$24)*(100%-'Données projet'!$C$25)*(100%-'Données projet'!$C$26)*(100%-'Données projet'!$C$27)</f>
        <v>3.88395</v>
      </c>
      <c r="L7" s="161">
        <f t="shared" ref="L7:L15" ca="1" si="2">G7+I7+K7</f>
        <v>46.082151880644389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895.93614930386298</v>
      </c>
      <c r="G16" s="175">
        <f t="shared" ca="1" si="3"/>
        <v>725.70828093612909</v>
      </c>
      <c r="H16" s="176">
        <f t="shared" si="3"/>
        <v>16.13482724535714</v>
      </c>
      <c r="I16" s="176">
        <f t="shared" si="3"/>
        <v>13.069210068739284</v>
      </c>
      <c r="J16" s="177">
        <f t="shared" si="3"/>
        <v>129.14999999999998</v>
      </c>
      <c r="K16" s="177">
        <f t="shared" si="3"/>
        <v>104.61150000000001</v>
      </c>
      <c r="L16" s="178">
        <f t="shared" ca="1" si="3"/>
        <v>843.38899100486822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Erable plane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90" zoomScaleNormal="90" workbookViewId="0">
      <selection activeCell="S40" sqref="S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1217.7727933087251</v>
      </c>
      <c r="U10" s="190">
        <f>'Données projet'!D9</f>
        <v>2.6599999999999997</v>
      </c>
      <c r="V10" s="189">
        <f>U10*T10</f>
        <v>3239.2756302012085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plane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1567.8843804249768</v>
      </c>
      <c r="U11" s="190">
        <f>'Données projet'!D10</f>
        <v>0.13999999999999999</v>
      </c>
      <c r="V11" s="189">
        <f t="shared" ref="V11" si="0">U11*T11</f>
        <v>219.50381325949672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17551/2.8</f>
        <v>6268.2142857142862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(366+2455)/2.8</f>
        <v>1007.5000000000001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(380+900)/2.8</f>
        <v>457.14285714285717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34</v>
      </c>
      <c r="C23" s="206">
        <v>4</v>
      </c>
      <c r="D23" s="194">
        <f>B23*C23</f>
        <v>136</v>
      </c>
      <c r="E23" s="206"/>
      <c r="F23" s="261"/>
      <c r="H23" s="203">
        <v>3</v>
      </c>
      <c r="I23" s="204">
        <v>135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-21780.963887555346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50</v>
      </c>
      <c r="C24" s="206">
        <v>8</v>
      </c>
      <c r="D24" s="194">
        <f t="shared" ref="D24:D42" si="2">B24*C24</f>
        <v>400</v>
      </c>
      <c r="E24" s="206"/>
      <c r="F24" s="264"/>
      <c r="H24" s="203">
        <v>5</v>
      </c>
      <c r="I24" s="204">
        <f>(564+3780)/2.8</f>
        <v>1551.4285714285716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52</v>
      </c>
      <c r="C25" s="206">
        <v>10</v>
      </c>
      <c r="D25" s="194">
        <f t="shared" si="2"/>
        <v>520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-21780.963887555346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51</v>
      </c>
      <c r="C26" s="206">
        <v>10</v>
      </c>
      <c r="D26" s="194">
        <f t="shared" si="2"/>
        <v>510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49</v>
      </c>
      <c r="C27" s="206">
        <v>10</v>
      </c>
      <c r="D27" s="194">
        <f t="shared" si="2"/>
        <v>490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45</v>
      </c>
      <c r="C28" s="206">
        <v>10</v>
      </c>
      <c r="D28" s="194">
        <f t="shared" si="2"/>
        <v>450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41</v>
      </c>
      <c r="C29" s="206">
        <v>15</v>
      </c>
      <c r="D29" s="194">
        <f t="shared" si="2"/>
        <v>615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37</v>
      </c>
      <c r="C30" s="206">
        <v>15</v>
      </c>
      <c r="D30" s="194">
        <f t="shared" si="2"/>
        <v>555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258</v>
      </c>
      <c r="C31" s="206">
        <v>15</v>
      </c>
      <c r="D31" s="194">
        <f t="shared" si="2"/>
        <v>3870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>
        <v>20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>
        <v>20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>
        <v>20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>
        <v>20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>
        <v>20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>
        <v>30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>
        <v>30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>
        <v>40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>
        <v>50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>
        <v>70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>
        <v>150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Erable plane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>
        <v>4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32</v>
      </c>
      <c r="C55" s="204">
        <v>8</v>
      </c>
      <c r="D55" s="191">
        <f t="shared" ref="D55:D73" si="4">B55*C55</f>
        <v>256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35</v>
      </c>
      <c r="C56" s="204">
        <v>10</v>
      </c>
      <c r="D56" s="191">
        <f t="shared" si="4"/>
        <v>350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35</v>
      </c>
      <c r="C57" s="204">
        <v>20</v>
      </c>
      <c r="D57" s="191">
        <f t="shared" si="4"/>
        <v>700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35</v>
      </c>
      <c r="C58" s="204">
        <v>25</v>
      </c>
      <c r="D58" s="191">
        <f t="shared" si="4"/>
        <v>875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35</v>
      </c>
      <c r="C59" s="204">
        <v>30</v>
      </c>
      <c r="D59" s="191">
        <f t="shared" si="4"/>
        <v>1050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35</v>
      </c>
      <c r="C60" s="204">
        <v>35</v>
      </c>
      <c r="D60" s="191">
        <f t="shared" si="4"/>
        <v>1225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24</v>
      </c>
      <c r="C61" s="204">
        <v>45</v>
      </c>
      <c r="D61" s="191">
        <f t="shared" si="4"/>
        <v>1080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19</v>
      </c>
      <c r="C62" s="204">
        <v>45</v>
      </c>
      <c r="D62" s="191">
        <f t="shared" si="4"/>
        <v>855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16</v>
      </c>
      <c r="C63" s="204">
        <v>50</v>
      </c>
      <c r="D63" s="191">
        <f t="shared" si="4"/>
        <v>800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14</v>
      </c>
      <c r="C64" s="204">
        <v>55</v>
      </c>
      <c r="D64" s="191">
        <f t="shared" si="4"/>
        <v>770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13</v>
      </c>
      <c r="C65" s="204">
        <v>60</v>
      </c>
      <c r="D65" s="191">
        <f t="shared" si="4"/>
        <v>780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13</v>
      </c>
      <c r="C66" s="204">
        <v>70</v>
      </c>
      <c r="D66" s="191">
        <f t="shared" si="4"/>
        <v>910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12</v>
      </c>
      <c r="C67" s="204">
        <v>80</v>
      </c>
      <c r="D67" s="191">
        <f t="shared" si="4"/>
        <v>960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11</v>
      </c>
      <c r="C68" s="204">
        <v>90</v>
      </c>
      <c r="D68" s="191">
        <f t="shared" si="4"/>
        <v>990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2025-03-31T13:27:09Z</dcterms:modified>
</cp:coreProperties>
</file>