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LBC/GRAND OUEST (PB)/2TROI-124/Dossier octobre 2024/"/>
    </mc:Choice>
  </mc:AlternateContent>
  <xr:revisionPtr revIDLastSave="74" documentId="8_{C6D0B3EA-31FF-4669-8D44-0E9E34F437DB}" xr6:coauthVersionLast="47" xr6:coauthVersionMax="47" xr10:uidLastSave="{3141E802-ACCB-49D9-8D3E-CA0F2426F624}"/>
  <bookViews>
    <workbookView minimized="1" xWindow="4008" yWindow="3708" windowWidth="17280" windowHeight="888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" i="1" l="1"/>
  <c r="C10" i="1"/>
  <c r="C9" i="1"/>
  <c r="E79" i="6" l="1"/>
  <c r="E82" i="6" l="1"/>
  <c r="E81" i="6"/>
  <c r="E80" i="6"/>
  <c r="E48" i="6"/>
  <c r="E50" i="6" s="1"/>
  <c r="E51" i="6"/>
  <c r="E49" i="6"/>
  <c r="E17" i="6"/>
  <c r="E19" i="6"/>
  <c r="E18" i="6"/>
  <c r="E20" i="6" l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I20" i="6" l="1"/>
  <c r="I24" i="6"/>
  <c r="I22" i="6"/>
  <c r="U30" i="6"/>
  <c r="V10" i="6"/>
  <c r="P67" i="6"/>
  <c r="H19" i="2"/>
  <c r="D20" i="2"/>
  <c r="G20" i="2" s="1"/>
  <c r="P40" i="6"/>
  <c r="U31" i="6" l="1"/>
  <c r="U33" i="6" s="1"/>
  <c r="T23" i="6"/>
  <c r="P68" i="6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AH62" i="2" l="1" a="1"/>
  <c r="AH62" i="2" s="1"/>
  <c r="AH151" i="2" a="1"/>
  <c r="AH151" i="2" s="1"/>
  <c r="AH90" i="2" a="1"/>
  <c r="AH90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CD98" i="2" l="1"/>
  <c r="CD114" i="2"/>
  <c r="CD196" i="2"/>
  <c r="CD102" i="2"/>
  <c r="CD54" i="2"/>
  <c r="CD95" i="2"/>
  <c r="CD129" i="2"/>
  <c r="CD39" i="2"/>
  <c r="CD157" i="2"/>
  <c r="CD27" i="2"/>
  <c r="CD189" i="2"/>
  <c r="CD53" i="2"/>
  <c r="CD84" i="2"/>
  <c r="CD41" i="2"/>
  <c r="CD185" i="2"/>
  <c r="CD73" i="2"/>
  <c r="CD67" i="2"/>
  <c r="CD150" i="2"/>
  <c r="CD115" i="2"/>
  <c r="CD198" i="2"/>
  <c r="CD96" i="2"/>
  <c r="CD87" i="2"/>
  <c r="CD132" i="2"/>
  <c r="CD153" i="2"/>
  <c r="CD109" i="2"/>
  <c r="CD117" i="2"/>
  <c r="CD48" i="2"/>
  <c r="CD163" i="2"/>
  <c r="CD78" i="2"/>
  <c r="CD88" i="2"/>
  <c r="CD161" i="2"/>
  <c r="CD177" i="2"/>
  <c r="CD36" i="2"/>
  <c r="CD104" i="2"/>
  <c r="CD56" i="2"/>
  <c r="CD120" i="2"/>
  <c r="CD17" i="2"/>
  <c r="CD118" i="2"/>
  <c r="CD34" i="2"/>
  <c r="CD40" i="2"/>
  <c r="CD197" i="2"/>
  <c r="CD122" i="2"/>
  <c r="CD110" i="2"/>
  <c r="CD4" i="2"/>
  <c r="CD160" i="2"/>
  <c r="CD155" i="2"/>
  <c r="CD194" i="2"/>
  <c r="CD159" i="2"/>
  <c r="CD69" i="2"/>
  <c r="CD166" i="2"/>
  <c r="CD138" i="2"/>
  <c r="CD18" i="2"/>
  <c r="CD134" i="2"/>
  <c r="CD133" i="2"/>
  <c r="CD113" i="2"/>
  <c r="CD86" i="2"/>
  <c r="CD93" i="2"/>
  <c r="CD156" i="2"/>
  <c r="CD61" i="2"/>
  <c r="CD154" i="2"/>
  <c r="CD49" i="2"/>
  <c r="CD31" i="2"/>
  <c r="CD7" i="2"/>
  <c r="CD101" i="2"/>
  <c r="CD149" i="2"/>
  <c r="CD65" i="2"/>
  <c r="CD42" i="2"/>
  <c r="CD5" i="2"/>
  <c r="CD147" i="2"/>
  <c r="CD164" i="2"/>
  <c r="CD60" i="2"/>
  <c r="CD168" i="2"/>
  <c r="CD136" i="2"/>
  <c r="CD105" i="2"/>
  <c r="CD190" i="2"/>
  <c r="CD186" i="2"/>
  <c r="CD16" i="2"/>
  <c r="CD51" i="2"/>
  <c r="CD94" i="2"/>
  <c r="CD11" i="2"/>
  <c r="CD37" i="2"/>
  <c r="CD25" i="2"/>
  <c r="CD3" i="2"/>
  <c r="C9" i="4" s="1"/>
  <c r="E9" i="4" s="1"/>
  <c r="F9" i="4" s="1"/>
  <c r="G9" i="4" s="1"/>
  <c r="L9" i="4" s="1"/>
  <c r="CD200" i="2"/>
  <c r="CD44" i="2"/>
  <c r="CD140" i="2"/>
  <c r="CD97" i="2"/>
  <c r="CD52" i="2"/>
  <c r="CD130" i="2"/>
  <c r="CD47" i="2"/>
  <c r="CD35" i="2"/>
  <c r="CD92" i="2"/>
  <c r="CD146" i="2"/>
  <c r="CD70" i="2"/>
  <c r="CD8" i="2"/>
  <c r="CD151" i="2"/>
  <c r="CD119" i="2"/>
  <c r="CD24" i="2"/>
  <c r="CD77" i="2"/>
  <c r="CD191" i="2"/>
  <c r="CD182" i="2"/>
  <c r="CD203" i="2"/>
  <c r="CD112" i="2"/>
  <c r="CD81" i="2"/>
  <c r="CD82" i="2"/>
  <c r="CD103" i="2"/>
  <c r="CD184" i="2"/>
  <c r="CD100" i="2"/>
  <c r="CD171" i="2"/>
  <c r="CD111" i="2"/>
  <c r="CD80" i="2"/>
  <c r="CD169" i="2"/>
  <c r="CD23" i="2"/>
  <c r="CD58" i="2"/>
  <c r="CD126" i="2"/>
  <c r="CD116" i="2"/>
  <c r="CD148" i="2"/>
  <c r="CD178" i="2"/>
  <c r="CD145" i="2"/>
  <c r="CD28" i="2"/>
  <c r="CD21" i="2"/>
  <c r="CD29" i="2"/>
  <c r="CD202" i="2"/>
  <c r="CD179" i="2"/>
  <c r="CD180" i="2"/>
  <c r="CD192" i="2"/>
  <c r="CD79" i="2"/>
  <c r="CD137" i="2"/>
  <c r="CD30" i="2"/>
  <c r="CD6" i="2"/>
  <c r="CD142" i="2"/>
  <c r="CD174" i="2"/>
  <c r="CD12" i="2"/>
  <c r="CD10" i="2"/>
  <c r="CD63" i="2"/>
  <c r="CD144" i="2"/>
  <c r="CD9" i="2"/>
  <c r="CD173" i="2"/>
  <c r="CD131" i="2"/>
  <c r="CD172" i="2"/>
  <c r="CD125" i="2"/>
  <c r="CD167" i="2"/>
  <c r="CD181" i="2"/>
  <c r="CD45" i="2"/>
  <c r="CD33" i="2"/>
  <c r="CD128" i="2"/>
  <c r="CD59" i="2"/>
  <c r="CD76" i="2"/>
  <c r="CD74" i="2"/>
  <c r="CD75" i="2"/>
  <c r="CD176" i="2"/>
  <c r="CD183" i="2"/>
  <c r="CD43" i="2"/>
  <c r="CD107" i="2"/>
  <c r="CD62" i="2"/>
  <c r="CD14" i="2"/>
  <c r="CD46" i="2"/>
  <c r="CD20" i="2"/>
  <c r="CD139" i="2"/>
  <c r="CD158" i="2"/>
  <c r="CD83" i="2"/>
  <c r="CD32" i="2"/>
  <c r="CD199" i="2"/>
  <c r="CD108" i="2"/>
  <c r="CD19" i="2"/>
  <c r="CD26" i="2"/>
  <c r="CD68" i="2"/>
  <c r="CD50" i="2"/>
  <c r="CD13" i="2"/>
  <c r="CD66" i="2"/>
  <c r="CD85" i="2"/>
  <c r="CD170" i="2"/>
  <c r="CD143" i="2"/>
  <c r="CD15" i="2"/>
  <c r="CD141" i="2"/>
  <c r="CD201" i="2"/>
  <c r="CD188" i="2"/>
  <c r="CD123" i="2"/>
  <c r="CD106" i="2"/>
  <c r="CD38" i="2"/>
  <c r="CD121" i="2"/>
  <c r="CD152" i="2"/>
  <c r="CD135" i="2"/>
  <c r="CD99" i="2"/>
  <c r="CD72" i="2"/>
  <c r="CD57" i="2"/>
  <c r="CD187" i="2"/>
  <c r="CD124" i="2"/>
  <c r="CD193" i="2"/>
  <c r="CD127" i="2"/>
  <c r="CD71" i="2"/>
  <c r="CD195" i="2"/>
  <c r="CD90" i="2"/>
  <c r="CD162" i="2"/>
  <c r="CD22" i="2"/>
  <c r="CD55" i="2"/>
  <c r="CD91" i="2"/>
  <c r="CD175" i="2"/>
  <c r="CD89" i="2"/>
  <c r="CD64" i="2"/>
  <c r="CD165" i="2"/>
  <c r="FE114" i="2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AN3" i="2" l="1"/>
  <c r="C7" i="4" s="1"/>
  <c r="E7" i="4" s="1"/>
  <c r="F7" i="4" s="1"/>
  <c r="G7" i="4" s="1"/>
  <c r="L7" i="4" s="1"/>
  <c r="AN102" i="2"/>
  <c r="AN56" i="2"/>
  <c r="AN47" i="2"/>
  <c r="AN28" i="2"/>
  <c r="AN81" i="2"/>
  <c r="AN98" i="2"/>
  <c r="AN33" i="2"/>
  <c r="AN18" i="2"/>
  <c r="AN44" i="2"/>
  <c r="AN166" i="2"/>
  <c r="AN157" i="2"/>
  <c r="AN55" i="2"/>
  <c r="AN110" i="2"/>
  <c r="AN154" i="2"/>
  <c r="AN5" i="2"/>
  <c r="AN48" i="2"/>
  <c r="AN140" i="2"/>
  <c r="AN70" i="2"/>
  <c r="AN125" i="2"/>
  <c r="AN196" i="2"/>
  <c r="AN36" i="2"/>
  <c r="AN178" i="2"/>
  <c r="AN4" i="2"/>
  <c r="AN10" i="2"/>
  <c r="AN79" i="2"/>
  <c r="AN84" i="2"/>
  <c r="AN77" i="2"/>
  <c r="AN106" i="2"/>
  <c r="AN16" i="2"/>
  <c r="AN41" i="2"/>
  <c r="AN88" i="2"/>
  <c r="AN114" i="2"/>
  <c r="AN62" i="2"/>
  <c r="AN131" i="2"/>
  <c r="AN6" i="2"/>
  <c r="AN149" i="2"/>
  <c r="AN27" i="2"/>
  <c r="AN25" i="2"/>
  <c r="AN124" i="2"/>
  <c r="AN185" i="2"/>
  <c r="AN141" i="2"/>
  <c r="AN198" i="2"/>
  <c r="AN122" i="2"/>
  <c r="AN183" i="2"/>
  <c r="AN13" i="2"/>
  <c r="AN182" i="2"/>
  <c r="AN9" i="2"/>
  <c r="AN152" i="2"/>
  <c r="AN76" i="2"/>
  <c r="AN37" i="2"/>
  <c r="AN142" i="2"/>
  <c r="AN177" i="2"/>
  <c r="AN52" i="2"/>
  <c r="AN116" i="2"/>
  <c r="AN34" i="2"/>
  <c r="AN201" i="2"/>
  <c r="AN173" i="2"/>
  <c r="AN78" i="2"/>
  <c r="AN58" i="2"/>
  <c r="AN112" i="2"/>
  <c r="AN169" i="2"/>
  <c r="AN74" i="2"/>
  <c r="AN170" i="2"/>
  <c r="AN12" i="2"/>
  <c r="AN158" i="2"/>
  <c r="AN176" i="2"/>
  <c r="AN139" i="2"/>
  <c r="AN73" i="2"/>
  <c r="AN63" i="2"/>
  <c r="AN129" i="2"/>
  <c r="AN97" i="2"/>
  <c r="AN203" i="2"/>
  <c r="AN8" i="2"/>
  <c r="AN162" i="2"/>
  <c r="AN181" i="2"/>
  <c r="AN108" i="2"/>
  <c r="AN130" i="2"/>
  <c r="AN29" i="2"/>
  <c r="AN67" i="2"/>
  <c r="AN43" i="2"/>
  <c r="AN121" i="2"/>
  <c r="AN161" i="2"/>
  <c r="AN30" i="2"/>
  <c r="AN191" i="2"/>
  <c r="AN120" i="2"/>
  <c r="AN59" i="2"/>
  <c r="AN175" i="2"/>
  <c r="AN105" i="2"/>
  <c r="AN126" i="2"/>
  <c r="AN197" i="2"/>
  <c r="AN39" i="2"/>
  <c r="AN133" i="2"/>
  <c r="AN167" i="2"/>
  <c r="AN171" i="2"/>
  <c r="AN75" i="2"/>
  <c r="AN194" i="2"/>
  <c r="AN186" i="2"/>
  <c r="AN40" i="2"/>
  <c r="AN193" i="2"/>
  <c r="AN85" i="2"/>
  <c r="AN200" i="2"/>
  <c r="AN38" i="2"/>
  <c r="AN144" i="2"/>
  <c r="AN51" i="2"/>
  <c r="AN188" i="2"/>
  <c r="AN199" i="2"/>
  <c r="AN31" i="2"/>
  <c r="AN90" i="2"/>
  <c r="AN184" i="2"/>
  <c r="AN92" i="2"/>
  <c r="AN104" i="2"/>
  <c r="AN165" i="2"/>
  <c r="AN164" i="2"/>
  <c r="AN128" i="2"/>
  <c r="AN202" i="2"/>
  <c r="AN80" i="2"/>
  <c r="AN119" i="2"/>
  <c r="AN71" i="2"/>
  <c r="AN113" i="2"/>
  <c r="AN83" i="2"/>
  <c r="AN60" i="2"/>
  <c r="AN168" i="2"/>
  <c r="AN100" i="2"/>
  <c r="AN49" i="2"/>
  <c r="AN91" i="2"/>
  <c r="AN61" i="2"/>
  <c r="AN94" i="2"/>
  <c r="AN32" i="2"/>
  <c r="AN153" i="2"/>
  <c r="AN146" i="2"/>
  <c r="AN127" i="2"/>
  <c r="AN87" i="2"/>
  <c r="AN101" i="2"/>
  <c r="AN20" i="2"/>
  <c r="AN147" i="2"/>
  <c r="AN135" i="2"/>
  <c r="AN179" i="2"/>
  <c r="AN93" i="2"/>
  <c r="AN143" i="2"/>
  <c r="AN111" i="2"/>
  <c r="AN172" i="2"/>
  <c r="AN132" i="2"/>
  <c r="AN159" i="2"/>
  <c r="AN190" i="2"/>
  <c r="AN86" i="2"/>
  <c r="AN96" i="2"/>
  <c r="AN7" i="2"/>
  <c r="AN134" i="2"/>
  <c r="AN150" i="2"/>
  <c r="AN35" i="2"/>
  <c r="AN82" i="2"/>
  <c r="AN54" i="2"/>
  <c r="AN148" i="2"/>
  <c r="AN189" i="2"/>
  <c r="AN187" i="2"/>
  <c r="AN115" i="2"/>
  <c r="AN72" i="2"/>
  <c r="AN145" i="2"/>
  <c r="AN15" i="2"/>
  <c r="AN53" i="2"/>
  <c r="AN107" i="2"/>
  <c r="AN99" i="2"/>
  <c r="AN69" i="2"/>
  <c r="AN180" i="2"/>
  <c r="AN22" i="2"/>
  <c r="AN156" i="2"/>
  <c r="AN109" i="2"/>
  <c r="AN160" i="2"/>
  <c r="AN19" i="2"/>
  <c r="AN45" i="2"/>
  <c r="AN174" i="2"/>
  <c r="AN21" i="2"/>
  <c r="AN26" i="2"/>
  <c r="AN65" i="2"/>
  <c r="AN136" i="2"/>
  <c r="AN103" i="2"/>
  <c r="AN66" i="2"/>
  <c r="AN50" i="2"/>
  <c r="AN24" i="2"/>
  <c r="AN192" i="2"/>
  <c r="AN151" i="2"/>
  <c r="AN138" i="2"/>
  <c r="AN123" i="2"/>
  <c r="AN195" i="2"/>
  <c r="AN117" i="2"/>
  <c r="AN14" i="2"/>
  <c r="AN64" i="2"/>
  <c r="AN95" i="2"/>
  <c r="AN23" i="2"/>
  <c r="AN89" i="2"/>
  <c r="AN42" i="2"/>
  <c r="AN68" i="2"/>
  <c r="AN137" i="2"/>
  <c r="AN57" i="2"/>
  <c r="AN155" i="2"/>
  <c r="AN46" i="2"/>
  <c r="AN118" i="2"/>
  <c r="AN11" i="2"/>
  <c r="AN17" i="2"/>
  <c r="AN163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I78" i="2" l="1"/>
  <c r="BI190" i="2"/>
  <c r="BI130" i="2"/>
  <c r="BI23" i="2"/>
  <c r="BI37" i="2"/>
  <c r="BI129" i="2"/>
  <c r="BI144" i="2"/>
  <c r="BI182" i="2"/>
  <c r="BI172" i="2"/>
  <c r="BI139" i="2"/>
  <c r="BI7" i="2"/>
  <c r="BI55" i="2"/>
  <c r="BI201" i="2"/>
  <c r="BI128" i="2"/>
  <c r="BI168" i="2"/>
  <c r="BI157" i="2"/>
  <c r="BI29" i="2"/>
  <c r="BI141" i="2"/>
  <c r="BI96" i="2"/>
  <c r="BI39" i="2"/>
  <c r="BI181" i="2"/>
  <c r="BI184" i="2"/>
  <c r="BI101" i="2"/>
  <c r="BI75" i="2"/>
  <c r="BI51" i="2"/>
  <c r="BI18" i="2"/>
  <c r="BI56" i="2"/>
  <c r="BI43" i="2"/>
  <c r="BI143" i="2"/>
  <c r="BI122" i="2"/>
  <c r="BI175" i="2"/>
  <c r="BI136" i="2"/>
  <c r="BI74" i="2"/>
  <c r="BI100" i="2"/>
  <c r="BI131" i="2"/>
  <c r="BI113" i="2"/>
  <c r="BI178" i="2"/>
  <c r="BI69" i="2"/>
  <c r="BI137" i="2"/>
  <c r="BI176" i="2"/>
  <c r="BI47" i="2"/>
  <c r="BI171" i="2"/>
  <c r="BI97" i="2"/>
  <c r="BI111" i="2"/>
  <c r="BI107" i="2"/>
  <c r="BI191" i="2"/>
  <c r="BI63" i="2"/>
  <c r="BI151" i="2"/>
  <c r="BI120" i="2"/>
  <c r="BI104" i="2"/>
  <c r="BI90" i="2"/>
  <c r="BI183" i="2"/>
  <c r="BI67" i="2"/>
  <c r="BI79" i="2"/>
  <c r="BI71" i="2"/>
  <c r="BI24" i="2"/>
  <c r="BI58" i="2"/>
  <c r="BI118" i="2"/>
  <c r="BI198" i="2"/>
  <c r="BI142" i="2"/>
  <c r="BI186" i="2"/>
  <c r="BI117" i="2"/>
  <c r="BI192" i="2"/>
  <c r="BI140" i="2"/>
  <c r="BI187" i="2"/>
  <c r="BI195" i="2"/>
  <c r="BI13" i="2"/>
  <c r="BI17" i="2"/>
  <c r="BI89" i="2"/>
  <c r="BI199" i="2"/>
  <c r="BI27" i="2"/>
  <c r="BI180" i="2"/>
  <c r="BI185" i="2"/>
  <c r="BI121" i="2"/>
  <c r="BI194" i="2"/>
  <c r="BI119" i="2"/>
  <c r="BI133" i="2"/>
  <c r="BI20" i="2"/>
  <c r="BI16" i="2"/>
  <c r="BI52" i="2"/>
  <c r="BI94" i="2"/>
  <c r="BI145" i="2"/>
  <c r="BI45" i="2"/>
  <c r="BI95" i="2"/>
  <c r="BI112" i="2"/>
  <c r="BI203" i="2"/>
  <c r="BI125" i="2"/>
  <c r="BI196" i="2"/>
  <c r="BI21" i="2"/>
  <c r="BI188" i="2"/>
  <c r="BI82" i="2"/>
  <c r="BI83" i="2"/>
  <c r="BI161" i="2"/>
  <c r="BI12" i="2"/>
  <c r="BI10" i="2"/>
  <c r="BI49" i="2"/>
  <c r="BI93" i="2"/>
  <c r="BI134" i="2"/>
  <c r="BI108" i="2"/>
  <c r="BI173" i="2"/>
  <c r="BI42" i="2"/>
  <c r="BI3" i="2"/>
  <c r="C8" i="4" s="1"/>
  <c r="E8" i="4" s="1"/>
  <c r="F8" i="4" s="1"/>
  <c r="G8" i="4" s="1"/>
  <c r="L8" i="4" s="1"/>
  <c r="BI4" i="2"/>
  <c r="BI84" i="2"/>
  <c r="BI54" i="2"/>
  <c r="BI162" i="2"/>
  <c r="BI64" i="2"/>
  <c r="BI53" i="2"/>
  <c r="BI59" i="2"/>
  <c r="BI81" i="2"/>
  <c r="BI166" i="2"/>
  <c r="BI61" i="2"/>
  <c r="BI179" i="2"/>
  <c r="BI153" i="2"/>
  <c r="BI44" i="2"/>
  <c r="BI50" i="2"/>
  <c r="BI35" i="2"/>
  <c r="BI99" i="2"/>
  <c r="BI123" i="2"/>
  <c r="BI98" i="2"/>
  <c r="BI9" i="2"/>
  <c r="BI146" i="2"/>
  <c r="BI160" i="2"/>
  <c r="BI87" i="2"/>
  <c r="BI169" i="2"/>
  <c r="BI127" i="2"/>
  <c r="BI70" i="2"/>
  <c r="BI72" i="2"/>
  <c r="BI159" i="2"/>
  <c r="BI163" i="2"/>
  <c r="BI5" i="2"/>
  <c r="BI110" i="2"/>
  <c r="BI36" i="2"/>
  <c r="BI189" i="2"/>
  <c r="BI126" i="2"/>
  <c r="BI152" i="2"/>
  <c r="BI170" i="2"/>
  <c r="BI193" i="2"/>
  <c r="BI26" i="2"/>
  <c r="BI14" i="2"/>
  <c r="BI34" i="2"/>
  <c r="BI103" i="2"/>
  <c r="BI177" i="2"/>
  <c r="BI28" i="2"/>
  <c r="BI88" i="2"/>
  <c r="BI6" i="2"/>
  <c r="BI164" i="2"/>
  <c r="BI76" i="2"/>
  <c r="BI32" i="2"/>
  <c r="BI105" i="2"/>
  <c r="BI116" i="2"/>
  <c r="BI40" i="2"/>
  <c r="BI73" i="2"/>
  <c r="BI48" i="2"/>
  <c r="BI132" i="2"/>
  <c r="BI148" i="2"/>
  <c r="BI15" i="2"/>
  <c r="BI167" i="2"/>
  <c r="BI38" i="2"/>
  <c r="BI115" i="2"/>
  <c r="BI200" i="2"/>
  <c r="BI106" i="2"/>
  <c r="BI31" i="2"/>
  <c r="BI30" i="2"/>
  <c r="BI80" i="2"/>
  <c r="BI165" i="2"/>
  <c r="BI25" i="2"/>
  <c r="BI91" i="2"/>
  <c r="BI85" i="2"/>
  <c r="BI197" i="2"/>
  <c r="BI11" i="2"/>
  <c r="BI19" i="2"/>
  <c r="BI22" i="2"/>
  <c r="BI41" i="2"/>
  <c r="BI65" i="2"/>
  <c r="BI150" i="2"/>
  <c r="BI158" i="2"/>
  <c r="BI155" i="2"/>
  <c r="BI66" i="2"/>
  <c r="BI138" i="2"/>
  <c r="BI154" i="2"/>
  <c r="BI147" i="2"/>
  <c r="BI124" i="2"/>
  <c r="BI57" i="2"/>
  <c r="BI92" i="2"/>
  <c r="BI109" i="2"/>
  <c r="BI174" i="2"/>
  <c r="BI102" i="2"/>
  <c r="BI33" i="2"/>
  <c r="BI114" i="2"/>
  <c r="BI60" i="2"/>
  <c r="BI86" i="2"/>
  <c r="BI46" i="2"/>
  <c r="BI8" i="2"/>
  <c r="BI77" i="2"/>
  <c r="BI202" i="2"/>
  <c r="BI62" i="2"/>
  <c r="BI135" i="2"/>
  <c r="BI68" i="2"/>
  <c r="BI156" i="2"/>
  <c r="BI149" i="2"/>
  <c r="BF135" i="2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tc={E3E51501-5542-451B-A280-7119D553B862}</author>
    <author>tc={B35BE5CD-F471-4164-A396-0E8AD3EACE1D}</author>
    <author>tc={4C91F93A-4850-4663-A3C2-6971670EE070}</author>
    <author>tc={A5FF619C-2127-44FB-957D-29D1CE20524D}</author>
    <author>tc={21E90E90-8F37-4036-8CF3-2FC2FE4B471C}</author>
    <author>tc={CB823BE7-DD1F-4081-B48B-60B6F5E5ECBE}</author>
    <author>tc={6B940231-2296-481D-B696-1C215BAA35A1}</author>
    <author>tc={9E6C7A34-F268-4B90-8382-D1898BC8E892}</author>
    <author>tc={E196A0AE-1368-454E-A3CF-66C1F8918472}</author>
    <author>tc={4D9F6596-9FDB-424F-A956-42399B4D06FA}</author>
    <author>tc={0890F5E9-8D14-41F0-AF0C-C5B03EC2731F}</author>
    <author>tc={BB5970D0-7858-4463-9587-56AB441B459E}</author>
    <author>tc={709AAA2A-639C-4A89-BD72-EB541A485C81}</author>
    <author>tc={C261BA73-EBB9-4B3E-A1AC-44A6435839C6}</author>
    <author>tc={00E628D6-315D-478D-ACE5-506D6954E606}</author>
    <author>tc={33DE2917-5D10-44D5-B763-D45D6E32E236}</author>
  </authors>
  <commentList>
    <comment ref="E18" authorId="0" shapeId="0" xr:uid="{E3E51501-5542-451B-A280-7119D553B8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9" authorId="1" shapeId="0" xr:uid="{B35BE5CD-F471-4164-A396-0E8AD3EACE1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I19" authorId="2" shapeId="0" xr:uid="{4C91F93A-4850-4663-A3C2-6971670EE07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à partir de la 6e année pendant la durée du contrat : frais de gardiennage 20€/ha/an</t>
      </text>
    </comment>
    <comment ref="E20" authorId="3" shapeId="0" xr:uid="{A5FF619C-2127-44FB-957D-29D1CE20524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20" authorId="4" shapeId="0" xr:uid="{21E90E90-8F37-4036-8CF3-2FC2FE4B471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demande cas par cas + diagnostic gestionnaire</t>
      </text>
    </comment>
    <comment ref="I22" authorId="5" shapeId="0" xr:uid="{CB823BE7-DD1F-4081-B48B-60B6F5E5ECB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6" shapeId="0" xr:uid="{6B940231-2296-481D-B696-1C215BAA35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  <comment ref="E49" authorId="7" shapeId="0" xr:uid="{9E6C7A34-F268-4B90-8382-D1898BC8E89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50" authorId="8" shapeId="0" xr:uid="{E196A0AE-1368-454E-A3CF-66C1F8918472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51" authorId="9" shapeId="0" xr:uid="{4D9F6596-9FDB-424F-A956-42399B4D06FA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0" authorId="10" shapeId="0" xr:uid="{0890F5E9-8D14-41F0-AF0C-C5B03EC2731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1" authorId="11" shapeId="0" xr:uid="{BB5970D0-7858-4463-9587-56AB441B459E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82" authorId="12" shapeId="0" xr:uid="{709AAA2A-639C-4A89-BD72-EB541A485C8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11" authorId="13" shapeId="0" xr:uid="{C261BA73-EBB9-4B3E-A1AC-44A6435839C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12" authorId="14" shapeId="0" xr:uid="{00E628D6-315D-478D-ACE5-506D6954E606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113" authorId="15" shapeId="0" xr:uid="{33DE2917-5D10-44D5-B763-D45D6E32E23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</commentList>
</comments>
</file>

<file path=xl/sharedStrings.xml><?xml version="1.0" encoding="utf-8"?>
<sst xmlns="http://schemas.openxmlformats.org/spreadsheetml/2006/main" count="1178" uniqueCount="329">
  <si>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</si>
  <si>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</si>
  <si>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</si>
  <si>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</si>
  <si>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</si>
  <si>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</si>
  <si>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</si>
  <si>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</si>
  <si>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</si>
  <si>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</si>
  <si>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</si>
  <si>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</si>
  <si>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</si>
  <si>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</si>
  <si>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</si>
  <si>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</si>
  <si>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</si>
  <si>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</si>
  <si>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</si>
  <si>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</si>
  <si>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</si>
  <si>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</si>
  <si>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</si>
  <si>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</si>
  <si>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</si>
  <si>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</si>
  <si>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</si>
  <si>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</si>
  <si>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</si>
  <si>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</si>
  <si>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</si>
  <si>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</si>
  <si>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</si>
  <si>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</si>
  <si>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</si>
  <si>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</si>
  <si>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</si>
  <si>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</si>
  <si>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</si>
  <si>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</si>
  <si>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</si>
  <si>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</si>
  <si>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</si>
  <si>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</si>
  <si>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</si>
  <si>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</si>
  <si>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</si>
  <si>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</si>
  <si>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</si>
  <si>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</si>
  <si>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</si>
  <si>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</si>
  <si>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</si>
  <si>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</si>
  <si>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</si>
  <si>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</si>
  <si>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</si>
  <si>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</si>
  <si>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</si>
  <si>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</si>
  <si>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</si>
  <si>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</si>
  <si>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</si>
  <si>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</si>
  <si>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</si>
  <si>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</si>
  <si>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</si>
  <si>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</si>
  <si>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</si>
  <si>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</si>
  <si>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</si>
  <si>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</si>
  <si>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</si>
  <si>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</si>
  <si>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</si>
  <si>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</si>
  <si>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</si>
  <si>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</si>
  <si>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</si>
  <si>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</si>
  <si>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</si>
  <si>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</si>
  <si>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</si>
  <si>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</si>
  <si>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</si>
  <si>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</si>
  <si>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</si>
  <si>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</si>
  <si>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</si>
  <si>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</si>
  <si>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</si>
  <si>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</si>
  <si>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</si>
  <si>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</si>
  <si>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</si>
  <si>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</si>
  <si>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</si>
  <si>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</si>
  <si>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</si>
  <si>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</si>
  <si>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</si>
  <si>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</si>
  <si>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</si>
  <si>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</si>
  <si>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</si>
  <si>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</si>
  <si>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</si>
  <si>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</si>
  <si>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</si>
  <si>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</si>
  <si>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</si>
  <si>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</si>
  <si>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</si>
  <si>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</si>
  <si>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</si>
  <si>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</si>
  <si>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</si>
  <si>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</si>
  <si>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</si>
  <si>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</si>
  <si>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</si>
  <si>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</si>
  <si>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</si>
  <si>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</si>
  <si>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</si>
  <si>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</si>
  <si>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</si>
  <si>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</si>
  <si>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</si>
  <si>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</si>
  <si>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</si>
  <si>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</si>
  <si>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</si>
  <si>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</si>
  <si>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</si>
  <si>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</si>
  <si>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</si>
  <si>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</si>
  <si>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</si>
  <si>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</si>
  <si>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</si>
  <si>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</si>
  <si>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</si>
  <si>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</si>
  <si>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</si>
  <si>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</si>
  <si>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</si>
  <si>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</si>
  <si>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</si>
  <si>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</si>
  <si>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</si>
  <si>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</si>
  <si>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</si>
  <si>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</si>
  <si>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</si>
  <si>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</si>
  <si>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</si>
  <si>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</si>
  <si>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</si>
  <si>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</si>
  <si>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</si>
  <si>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</si>
  <si>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</si>
  <si>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</si>
  <si>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</si>
  <si>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</si>
  <si>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</si>
  <si>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</si>
  <si>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</si>
  <si>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</si>
  <si>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</si>
  <si>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</si>
  <si>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</si>
  <si>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</si>
  <si>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</si>
  <si>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</si>
  <si>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</si>
  <si>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</si>
  <si>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</si>
  <si>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</si>
  <si>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</si>
  <si>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</si>
  <si>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</si>
  <si>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</si>
  <si>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</si>
  <si>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</si>
  <si>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</si>
  <si>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</si>
  <si>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</si>
  <si>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</si>
  <si>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</si>
  <si>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</si>
  <si>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</si>
  <si>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</si>
  <si>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</si>
  <si>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</si>
  <si>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</si>
  <si>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</si>
  <si>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</si>
  <si>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</si>
  <si>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</si>
  <si>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</si>
  <si>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</si>
  <si>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</si>
  <si>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</si>
  <si>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</si>
  <si>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</si>
  <si>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</si>
  <si>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</si>
  <si>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</si>
  <si>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</si>
  <si>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</si>
  <si>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</si>
  <si>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</si>
  <si>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</si>
  <si>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</si>
  <si>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</si>
  <si>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</si>
  <si>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</si>
  <si>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</si>
  <si>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</si>
  <si>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</si>
  <si>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</si>
  <si>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</si>
  <si>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</si>
  <si>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</si>
  <si>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</si>
  <si>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</si>
  <si>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</si>
  <si>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</si>
  <si>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</si>
  <si>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</si>
  <si>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</si>
  <si>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</si>
  <si>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</si>
  <si>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</si>
  <si>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</si>
  <si>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</si>
  <si>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</si>
  <si>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</si>
  <si>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</si>
  <si>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</si>
  <si>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</si>
  <si>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</si>
  <si>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</si>
  <si>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</si>
  <si>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</si>
  <si>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</si>
  <si>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</si>
  <si>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</si>
  <si>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</si>
  <si>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</si>
  <si>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</si>
  <si>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</si>
  <si>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</si>
  <si>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</si>
  <si>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</si>
  <si>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</si>
  <si>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</si>
  <si>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</si>
  <si>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</si>
  <si>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</si>
  <si>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</si>
  <si>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</si>
  <si>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</si>
  <si>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</si>
  <si>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</si>
  <si>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</si>
  <si>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</si>
  <si>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</si>
  <si>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</si>
  <si>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</si>
  <si>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</si>
  <si>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</si>
  <si>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</si>
  <si>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</si>
  <si>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</si>
  <si>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</si>
  <si>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</si>
  <si>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</si>
  <si>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</si>
  <si>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</si>
  <si>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</si>
  <si>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</si>
  <si>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</si>
  <si>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</si>
  <si>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</si>
  <si>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</si>
  <si>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</si>
  <si>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</si>
  <si>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</si>
  <si>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</si>
  <si>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</si>
  <si>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</si>
  <si>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</si>
  <si>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</si>
  <si>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</si>
  <si>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</si>
  <si>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</si>
  <si>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</si>
  <si>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</si>
  <si>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</si>
  <si>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</si>
  <si>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</si>
  <si>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</si>
  <si>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</si>
  <si>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</si>
  <si>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</si>
  <si>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</si>
  <si>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</si>
  <si>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</si>
  <si>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</si>
  <si>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</si>
  <si>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</si>
  <si>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</si>
  <si>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</si>
  <si>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</si>
  <si>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</si>
  <si>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</si>
  <si>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</si>
  <si>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</si>
  <si>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</si>
  <si>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</si>
  <si>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</si>
  <si>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</si>
  <si>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Frais notariés</t>
  </si>
  <si>
    <t>Cout gestionnaire</t>
  </si>
  <si>
    <t>Coût total du projet Néosylva sur les 5 premières années</t>
  </si>
  <si>
    <t>Cout plantation + entretien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</si>
</sst>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/>
    </xf>
    <xf numFmtId="9" fontId="9" fillId="21" borderId="6" xfId="1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/>
    </xf>
    <xf numFmtId="9" fontId="9" fillId="21" borderId="31" xfId="1" applyFont="1" applyFill="1" applyBorder="1" applyAlignment="1" applyProtection="1">
      <alignment horizontal="center"/>
      <protection locked="0" hidden="1"/>
    </xf>
    <xf numFmtId="166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9.5616949382660383</c:v>
                </c:pt>
                <c:pt idx="2">
                  <c:v>18.705313109464633</c:v>
                </c:pt>
                <c:pt idx="3">
                  <c:v>27.713913471041348</c:v>
                </c:pt>
                <c:pt idx="4">
                  <c:v>36.63928571324923</c:v>
                </c:pt>
                <c:pt idx="5">
                  <c:v>45.504902621489315</c:v>
                </c:pt>
                <c:pt idx="6">
                  <c:v>54.324154052570456</c:v>
                </c:pt>
                <c:pt idx="7">
                  <c:v>63.105671929451027</c:v>
                </c:pt>
                <c:pt idx="8">
                  <c:v>71.855468727259591</c:v>
                </c:pt>
                <c:pt idx="9">
                  <c:v>80.577963691700518</c:v>
                </c:pt>
                <c:pt idx="10">
                  <c:v>89.276536401515969</c:v>
                </c:pt>
                <c:pt idx="11">
                  <c:v>97.953851406261848</c:v>
                </c:pt>
                <c:pt idx="12">
                  <c:v>106.6120610047026</c:v>
                </c:pt>
                <c:pt idx="13">
                  <c:v>115.25293832361577</c:v>
                </c:pt>
                <c:pt idx="14">
                  <c:v>123.87796820488852</c:v>
                </c:pt>
                <c:pt idx="15">
                  <c:v>132.4884113504034</c:v>
                </c:pt>
                <c:pt idx="16">
                  <c:v>141.08535085862869</c:v>
                </c:pt>
                <c:pt idx="17">
                  <c:v>149.66972678860873</c:v>
                </c:pt>
                <c:pt idx="18">
                  <c:v>158.24236235660359</c:v>
                </c:pt>
                <c:pt idx="19">
                  <c:v>166.80398414435732</c:v>
                </c:pt>
                <c:pt idx="20">
                  <c:v>175.35523793162534</c:v>
                </c:pt>
                <c:pt idx="21">
                  <c:v>183.89670127221041</c:v>
                </c:pt>
                <c:pt idx="22">
                  <c:v>192.42889360669196</c:v>
                </c:pt>
                <c:pt idx="23">
                  <c:v>200.95228448450212</c:v>
                </c:pt>
                <c:pt idx="24">
                  <c:v>209.4673003157277</c:v>
                </c:pt>
                <c:pt idx="25">
                  <c:v>217.97432996590248</c:v>
                </c:pt>
                <c:pt idx="26">
                  <c:v>226.47372943043516</c:v>
                </c:pt>
                <c:pt idx="27">
                  <c:v>234.96582576966659</c:v>
                </c:pt>
                <c:pt idx="28">
                  <c:v>243.45092044456825</c:v>
                </c:pt>
                <c:pt idx="29">
                  <c:v>251.92929216251972</c:v>
                </c:pt>
                <c:pt idx="30">
                  <c:v>260.40119931953944</c:v>
                </c:pt>
                <c:pt idx="31">
                  <c:v>268.86688210773553</c:v>
                </c:pt>
                <c:pt idx="32">
                  <c:v>277.32656434318966</c:v>
                </c:pt>
                <c:pt idx="33">
                  <c:v>285.78045505893664</c:v>
                </c:pt>
                <c:pt idx="34">
                  <c:v>294.2287498994304</c:v>
                </c:pt>
                <c:pt idx="35">
                  <c:v>302.67163234634512</c:v>
                </c:pt>
                <c:pt idx="36">
                  <c:v>311.10927480034724</c:v>
                </c:pt>
                <c:pt idx="37">
                  <c:v>319.5418395392914</c:v>
                </c:pt>
                <c:pt idx="38">
                  <c:v>327.96947956991511</c:v>
                </c:pt>
                <c:pt idx="39">
                  <c:v>336.39233938735816</c:v>
                </c:pt>
                <c:pt idx="40">
                  <c:v>344.81055565459184</c:v>
                </c:pt>
                <c:pt idx="41">
                  <c:v>353.2242578119924</c:v>
                </c:pt>
                <c:pt idx="42">
                  <c:v>361.6335686257687</c:v>
                </c:pt>
                <c:pt idx="43">
                  <c:v>288.27072916376034</c:v>
                </c:pt>
                <c:pt idx="44">
                  <c:v>308.62518568141826</c:v>
                </c:pt>
                <c:pt idx="45">
                  <c:v>328.94983583510964</c:v>
                </c:pt>
                <c:pt idx="46">
                  <c:v>349.24677945570858</c:v>
                </c:pt>
                <c:pt idx="47">
                  <c:v>369.51785243596299</c:v>
                </c:pt>
                <c:pt idx="48">
                  <c:v>389.76467286577935</c:v>
                </c:pt>
                <c:pt idx="49">
                  <c:v>409.98867707683922</c:v>
                </c:pt>
                <c:pt idx="50">
                  <c:v>430.19114820235546</c:v>
                </c:pt>
                <c:pt idx="51">
                  <c:v>374.0299946718726</c:v>
                </c:pt>
                <c:pt idx="52">
                  <c:v>394.66558084481431</c:v>
                </c:pt>
                <c:pt idx="53">
                  <c:v>415.27778963859856</c:v>
                </c:pt>
                <c:pt idx="54">
                  <c:v>435.8679438632073</c:v>
                </c:pt>
                <c:pt idx="55">
                  <c:v>456.43723122622731</c:v>
                </c:pt>
                <c:pt idx="56">
                  <c:v>476.98672372207147</c:v>
                </c:pt>
                <c:pt idx="57">
                  <c:v>497.51739350639696</c:v>
                </c:pt>
                <c:pt idx="58">
                  <c:v>518.0301260144621</c:v>
                </c:pt>
                <c:pt idx="59">
                  <c:v>441.33318735024449</c:v>
                </c:pt>
                <c:pt idx="60">
                  <c:v>461.24899603079712</c:v>
                </c:pt>
                <c:pt idx="61">
                  <c:v>481.14646030941248</c:v>
                </c:pt>
                <c:pt idx="62">
                  <c:v>501.02644502286307</c:v>
                </c:pt>
                <c:pt idx="63">
                  <c:v>520.88974082713423</c:v>
                </c:pt>
                <c:pt idx="64">
                  <c:v>540.73707320387359</c:v>
                </c:pt>
                <c:pt idx="65">
                  <c:v>560.56911007631913</c:v>
                </c:pt>
                <c:pt idx="66">
                  <c:v>580.38646829195295</c:v>
                </c:pt>
                <c:pt idx="67">
                  <c:v>492.36159904668904</c:v>
                </c:pt>
                <c:pt idx="68">
                  <c:v>511.40290568116535</c:v>
                </c:pt>
                <c:pt idx="69">
                  <c:v>530.42924301057599</c:v>
                </c:pt>
                <c:pt idx="70">
                  <c:v>549.44122317119627</c:v>
                </c:pt>
                <c:pt idx="71">
                  <c:v>568.43941251314141</c:v>
                </c:pt>
                <c:pt idx="72">
                  <c:v>587.42433647196356</c:v>
                </c:pt>
                <c:pt idx="73">
                  <c:v>606.39648377808339</c:v>
                </c:pt>
                <c:pt idx="74">
                  <c:v>625.35631011236683</c:v>
                </c:pt>
                <c:pt idx="75">
                  <c:v>542.45669606323679</c:v>
                </c:pt>
                <c:pt idx="76">
                  <c:v>561.05440928576149</c:v>
                </c:pt>
                <c:pt idx="77">
                  <c:v>579.63922623081567</c:v>
                </c:pt>
                <c:pt idx="78">
                  <c:v>598.21161828301217</c:v>
                </c:pt>
                <c:pt idx="79">
                  <c:v>616.77202519388391</c:v>
                </c:pt>
                <c:pt idx="80">
                  <c:v>635.3208581120781</c:v>
                </c:pt>
                <c:pt idx="81">
                  <c:v>653.85850224152387</c:v>
                </c:pt>
                <c:pt idx="82">
                  <c:v>672.38531918270314</c:v>
                </c:pt>
                <c:pt idx="83">
                  <c:v>690.90164900267018</c:v>
                </c:pt>
                <c:pt idx="84">
                  <c:v>709.40781207181215</c:v>
                </c:pt>
                <c:pt idx="85">
                  <c:v>595.82145440707143</c:v>
                </c:pt>
                <c:pt idx="86">
                  <c:v>613.55789548994426</c:v>
                </c:pt>
                <c:pt idx="87">
                  <c:v>631.2837063358362</c:v>
                </c:pt>
                <c:pt idx="88">
                  <c:v>648.99922722644521</c:v>
                </c:pt>
                <c:pt idx="89">
                  <c:v>666.70477836698205</c:v>
                </c:pt>
                <c:pt idx="90">
                  <c:v>684.40066158324714</c:v>
                </c:pt>
                <c:pt idx="91">
                  <c:v>702.08716183420108</c:v>
                </c:pt>
                <c:pt idx="92">
                  <c:v>719.76454856432804</c:v>
                </c:pt>
                <c:pt idx="93">
                  <c:v>737.43307691635209</c:v>
                </c:pt>
                <c:pt idx="94">
                  <c:v>755.09298882179371</c:v>
                </c:pt>
                <c:pt idx="95">
                  <c:v>640.33183130100645</c:v>
                </c:pt>
                <c:pt idx="96">
                  <c:v>657.52115573561741</c:v>
                </c:pt>
                <c:pt idx="97">
                  <c:v>674.70122757316892</c:v>
                </c:pt>
                <c:pt idx="98">
                  <c:v>691.87231540164976</c:v>
                </c:pt>
                <c:pt idx="99">
                  <c:v>709.0346734017312</c:v>
                </c:pt>
                <c:pt idx="100">
                  <c:v>726.18854245672571</c:v>
                </c:pt>
                <c:pt idx="101">
                  <c:v>743.33415115230719</c:v>
                </c:pt>
                <c:pt idx="102">
                  <c:v>760.4717166792833</c:v>
                </c:pt>
                <c:pt idx="103">
                  <c:v>777.60144565083658</c:v>
                </c:pt>
                <c:pt idx="104">
                  <c:v>794.72353484408177</c:v>
                </c:pt>
                <c:pt idx="105">
                  <c:v>683.39563744279849</c:v>
                </c:pt>
                <c:pt idx="106">
                  <c:v>700.32340506833361</c:v>
                </c:pt>
                <c:pt idx="107">
                  <c:v>717.24280108580388</c:v>
                </c:pt>
                <c:pt idx="108">
                  <c:v>734.15405061955198</c:v>
                </c:pt>
                <c:pt idx="109">
                  <c:v>751.05736758627074</c:v>
                </c:pt>
                <c:pt idx="110">
                  <c:v>767.95295549779041</c:v>
                </c:pt>
                <c:pt idx="111">
                  <c:v>784.84100818961235</c:v>
                </c:pt>
                <c:pt idx="112">
                  <c:v>801.7217104835396</c:v>
                </c:pt>
                <c:pt idx="113">
                  <c:v>818.59523879165329</c:v>
                </c:pt>
                <c:pt idx="114">
                  <c:v>835.46176166795476</c:v>
                </c:pt>
                <c:pt idx="115">
                  <c:v>733.15686072460585</c:v>
                </c:pt>
                <c:pt idx="116">
                  <c:v>750.18203757377194</c:v>
                </c:pt>
                <c:pt idx="117">
                  <c:v>767.199363469898</c:v>
                </c:pt>
                <c:pt idx="118">
                  <c:v>784.20903691748515</c:v>
                </c:pt>
                <c:pt idx="119">
                  <c:v>801.21124711630875</c:v>
                </c:pt>
                <c:pt idx="120">
                  <c:v>818.20617458978086</c:v>
                </c:pt>
                <c:pt idx="121">
                  <c:v>835.19399175844899</c:v>
                </c:pt>
                <c:pt idx="122">
                  <c:v>852.17486346445639</c:v>
                </c:pt>
                <c:pt idx="123">
                  <c:v>869.14894745207482</c:v>
                </c:pt>
                <c:pt idx="124">
                  <c:v>886.1163948087933</c:v>
                </c:pt>
                <c:pt idx="125">
                  <c:v>791.63883779902199</c:v>
                </c:pt>
                <c:pt idx="126">
                  <c:v>808.80371461740867</c:v>
                </c:pt>
                <c:pt idx="127">
                  <c:v>825.96124536678508</c:v>
                </c:pt>
                <c:pt idx="128">
                  <c:v>843.1116039792995</c:v>
                </c:pt>
                <c:pt idx="129">
                  <c:v>860.25495674174408</c:v>
                </c:pt>
                <c:pt idx="130">
                  <c:v>877.39146278036435</c:v>
                </c:pt>
                <c:pt idx="131">
                  <c:v>894.52127450587011</c:v>
                </c:pt>
                <c:pt idx="132">
                  <c:v>911.64453802262517</c:v>
                </c:pt>
                <c:pt idx="133">
                  <c:v>928.76139350553524</c:v>
                </c:pt>
                <c:pt idx="134">
                  <c:v>945.87197554774275</c:v>
                </c:pt>
                <c:pt idx="135">
                  <c:v>846.57269862596866</c:v>
                </c:pt>
                <c:pt idx="136">
                  <c:v>863.90366853717831</c:v>
                </c:pt>
                <c:pt idx="137">
                  <c:v>881.22767358744534</c:v>
                </c:pt>
                <c:pt idx="138">
                  <c:v>898.54486982875926</c:v>
                </c:pt>
                <c:pt idx="139">
                  <c:v>915.85540681479506</c:v>
                </c:pt>
                <c:pt idx="140">
                  <c:v>933.15942799170989</c:v>
                </c:pt>
                <c:pt idx="141">
                  <c:v>950.45707105848317</c:v>
                </c:pt>
                <c:pt idx="142">
                  <c:v>967.74846829969408</c:v>
                </c:pt>
                <c:pt idx="143">
                  <c:v>985.03374689331122</c:v>
                </c:pt>
                <c:pt idx="144">
                  <c:v>1002.3130291957826</c:v>
                </c:pt>
                <c:pt idx="145">
                  <c:v>901.23767646995248</c:v>
                </c:pt>
                <c:pt idx="146">
                  <c:v>918.89929586045457</c:v>
                </c:pt>
                <c:pt idx="147">
                  <c:v>936.55415722524458</c:v>
                </c:pt>
                <c:pt idx="148">
                  <c:v>954.20240574592299</c:v>
                </c:pt>
                <c:pt idx="149">
                  <c:v>971.84418080275736</c:v>
                </c:pt>
                <c:pt idx="150">
                  <c:v>989.47961630972395</c:v>
                </c:pt>
                <c:pt idx="151">
                  <c:v>1007.108841024456</c:v>
                </c:pt>
                <c:pt idx="152">
                  <c:v>1024.7319788353882</c:v>
                </c:pt>
                <c:pt idx="153">
                  <c:v>1042.349149028156</c:v>
                </c:pt>
                <c:pt idx="154">
                  <c:v>1059.9604665330687</c:v>
                </c:pt>
                <c:pt idx="155">
                  <c:v>961.1178977893378</c:v>
                </c:pt>
                <c:pt idx="156">
                  <c:v>979.00714902772279</c:v>
                </c:pt>
                <c:pt idx="157">
                  <c:v>996.88993412159937</c:v>
                </c:pt>
                <c:pt idx="158">
                  <c:v>1014.7663852488846</c:v>
                </c:pt>
                <c:pt idx="159">
                  <c:v>1032.6366295572141</c:v>
                </c:pt>
                <c:pt idx="160">
                  <c:v>1050.5007894408673</c:v>
                </c:pt>
                <c:pt idx="161">
                  <c:v>1068.3589827979044</c:v>
                </c:pt>
                <c:pt idx="162">
                  <c:v>1086.211323269242</c:v>
                </c:pt>
                <c:pt idx="163">
                  <c:v>1104.0579204612179</c:v>
                </c:pt>
                <c:pt idx="164">
                  <c:v>1121.8988801530404</c:v>
                </c:pt>
                <c:pt idx="165">
                  <c:v>1013.9704095406892</c:v>
                </c:pt>
                <c:pt idx="166">
                  <c:v>1032.0589003654065</c:v>
                </c:pt>
                <c:pt idx="167">
                  <c:v>1050.1411534158851</c:v>
                </c:pt>
                <c:pt idx="168">
                  <c:v>1068.2172910777583</c:v>
                </c:pt>
                <c:pt idx="169">
                  <c:v>1086.2874312629961</c:v>
                </c:pt>
                <c:pt idx="170">
                  <c:v>1104.3516876466244</c:v>
                </c:pt>
                <c:pt idx="171">
                  <c:v>1122.4101698871759</c:v>
                </c:pt>
                <c:pt idx="172">
                  <c:v>1140.4629838322371</c:v>
                </c:pt>
                <c:pt idx="173">
                  <c:v>1158.510231710324</c:v>
                </c:pt>
                <c:pt idx="174">
                  <c:v>1176.5520123102044</c:v>
                </c:pt>
                <c:pt idx="175">
                  <c:v>732.67672240369313</c:v>
                </c:pt>
                <c:pt idx="176">
                  <c:v>744.15284084631367</c:v>
                </c:pt>
                <c:pt idx="177">
                  <c:v>755.62535991176446</c:v>
                </c:pt>
                <c:pt idx="178">
                  <c:v>516.39182276754491</c:v>
                </c:pt>
                <c:pt idx="179">
                  <c:v>523.38068013229065</c:v>
                </c:pt>
                <c:pt idx="180">
                  <c:v>530.36757109014115</c:v>
                </c:pt>
                <c:pt idx="181">
                  <c:v>367.24151226883578</c:v>
                </c:pt>
                <c:pt idx="182">
                  <c:v>371.46425432265534</c:v>
                </c:pt>
                <c:pt idx="183">
                  <c:v>375.68594961378062</c:v>
                </c:pt>
                <c:pt idx="184">
                  <c:v>1.1507534481029384E-11</c:v>
                </c:pt>
                <c:pt idx="185">
                  <c:v>1.1507534481029384E-11</c:v>
                </c:pt>
                <c:pt idx="186">
                  <c:v>1.1507534481029384E-11</c:v>
                </c:pt>
                <c:pt idx="187">
                  <c:v>1.1507534481029384E-11</c:v>
                </c:pt>
                <c:pt idx="188">
                  <c:v>1.1507534481029384E-11</c:v>
                </c:pt>
                <c:pt idx="189">
                  <c:v>1.1507534481029384E-11</c:v>
                </c:pt>
                <c:pt idx="190">
                  <c:v>1.1507534481029384E-11</c:v>
                </c:pt>
                <c:pt idx="191">
                  <c:v>1.1507534481029384E-11</c:v>
                </c:pt>
                <c:pt idx="192">
                  <c:v>1.1507534481029384E-11</c:v>
                </c:pt>
                <c:pt idx="193">
                  <c:v>1.1507534481029384E-11</c:v>
                </c:pt>
                <c:pt idx="194">
                  <c:v>1.1507534481029384E-11</c:v>
                </c:pt>
                <c:pt idx="195">
                  <c:v>1.1507534481029384E-11</c:v>
                </c:pt>
                <c:pt idx="196">
                  <c:v>1.1507534481029384E-11</c:v>
                </c:pt>
                <c:pt idx="197">
                  <c:v>1.1507534481029384E-11</c:v>
                </c:pt>
                <c:pt idx="198">
                  <c:v>1.1507534481029384E-11</c:v>
                </c:pt>
                <c:pt idx="199">
                  <c:v>1.1507534481029384E-11</c:v>
                </c:pt>
                <c:pt idx="200">
                  <c:v>1.1507534481029384E-11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9.1345733897721697</c:v>
                </c:pt>
                <c:pt idx="2">
                  <c:v>17.868166431040844</c:v>
                </c:pt>
                <c:pt idx="3">
                  <c:v>26.472262947697264</c:v>
                </c:pt>
                <c:pt idx="4">
                  <c:v>34.996534793530941</c:v>
                </c:pt>
                <c:pt idx="5">
                  <c:v>43.4634948810303</c:v>
                </c:pt>
                <c:pt idx="6">
                  <c:v>51.885985515419122</c:v>
                </c:pt>
                <c:pt idx="7">
                  <c:v>60.272285634320177</c:v>
                </c:pt>
                <c:pt idx="8">
                  <c:v>68.62816184463999</c:v>
                </c:pt>
                <c:pt idx="9">
                  <c:v>76.957852675812049</c:v>
                </c:pt>
                <c:pt idx="10">
                  <c:v>85.264599505421899</c:v>
                </c:pt>
                <c:pt idx="11">
                  <c:v>93.550957921566507</c:v>
                </c:pt>
                <c:pt idx="12">
                  <c:v>101.81899220902953</c:v>
                </c:pt>
                <c:pt idx="13">
                  <c:v>110.07040298609256</c:v>
                </c:pt>
                <c:pt idx="14">
                  <c:v>118.30661437498453</c:v>
                </c:pt>
                <c:pt idx="15">
                  <c:v>126.52883552368996</c:v>
                </c:pt>
                <c:pt idx="16">
                  <c:v>134.73810523951758</c:v>
                </c:pt>
                <c:pt idx="17">
                  <c:v>142.9353251396652</c:v>
                </c:pt>
                <c:pt idx="18">
                  <c:v>151.12128477659996</c:v>
                </c:pt>
                <c:pt idx="19">
                  <c:v>159.2966810199494</c:v>
                </c:pt>
                <c:pt idx="20">
                  <c:v>167.46213324158907</c:v>
                </c:pt>
                <c:pt idx="21">
                  <c:v>175.61819537740678</c:v>
                </c:pt>
                <c:pt idx="22">
                  <c:v>183.76536562649167</c:v>
                </c:pt>
                <c:pt idx="23">
                  <c:v>191.90409433698508</c:v>
                </c:pt>
                <c:pt idx="24">
                  <c:v>200.03479048178065</c:v>
                </c:pt>
                <c:pt idx="25">
                  <c:v>208.15782702452887</c:v>
                </c:pt>
                <c:pt idx="26">
                  <c:v>216.2735454029137</c:v>
                </c:pt>
                <c:pt idx="27">
                  <c:v>224.38225930279336</c:v>
                </c:pt>
                <c:pt idx="28">
                  <c:v>232.48425785749177</c:v>
                </c:pt>
                <c:pt idx="29">
                  <c:v>240.57980837720436</c:v>
                </c:pt>
                <c:pt idx="30">
                  <c:v>248.66915869135769</c:v>
                </c:pt>
                <c:pt idx="31">
                  <c:v>256.75253916988112</c:v>
                </c:pt>
                <c:pt idx="32">
                  <c:v>264.8301644763423</c:v>
                </c:pt>
                <c:pt idx="33">
                  <c:v>272.9022350957855</c:v>
                </c:pt>
                <c:pt idx="34">
                  <c:v>280.96893867217358</c:v>
                </c:pt>
                <c:pt idx="35">
                  <c:v>289.0304511840622</c:v>
                </c:pt>
                <c:pt idx="36">
                  <c:v>297.08693798213511</c:v>
                </c:pt>
                <c:pt idx="37">
                  <c:v>305.13855470821676</c:v>
                </c:pt>
                <c:pt idx="38">
                  <c:v>313.18544811213798</c:v>
                </c:pt>
                <c:pt idx="39">
                  <c:v>321.22775678019707</c:v>
                </c:pt>
                <c:pt idx="40">
                  <c:v>329.26561178680475</c:v>
                </c:pt>
                <c:pt idx="41">
                  <c:v>337.29913727913015</c:v>
                </c:pt>
                <c:pt idx="42">
                  <c:v>345.32845100310215</c:v>
                </c:pt>
                <c:pt idx="43">
                  <c:v>275.28003133804344</c:v>
                </c:pt>
                <c:pt idx="44">
                  <c:v>294.71506550762314</c:v>
                </c:pt>
                <c:pt idx="45">
                  <c:v>314.12151218525787</c:v>
                </c:pt>
                <c:pt idx="46">
                  <c:v>333.50138533341101</c:v>
                </c:pt>
                <c:pt idx="47">
                  <c:v>352.85644576964478</c:v>
                </c:pt>
                <c:pt idx="48">
                  <c:v>372.18824541529494</c:v>
                </c:pt>
                <c:pt idx="49">
                  <c:v>391.49816186611287</c:v>
                </c:pt>
                <c:pt idx="50">
                  <c:v>410.78742578412863</c:v>
                </c:pt>
                <c:pt idx="51">
                  <c:v>357.16467817261235</c:v>
                </c:pt>
                <c:pt idx="52">
                  <c:v>376.86765017059088</c:v>
                </c:pt>
                <c:pt idx="53">
                  <c:v>396.54820076087543</c:v>
                </c:pt>
                <c:pt idx="54">
                  <c:v>416.20759865976305</c:v>
                </c:pt>
                <c:pt idx="55">
                  <c:v>435.84698300589872</c:v>
                </c:pt>
                <c:pt idx="56">
                  <c:v>455.46738195661436</c:v>
                </c:pt>
                <c:pt idx="57">
                  <c:v>475.06972791319322</c:v>
                </c:pt>
                <c:pt idx="58">
                  <c:v>494.6548701027786</c:v>
                </c:pt>
                <c:pt idx="59">
                  <c:v>421.42577622956969</c:v>
                </c:pt>
                <c:pt idx="60">
                  <c:v>440.44120348739995</c:v>
                </c:pt>
                <c:pt idx="61">
                  <c:v>459.43903650115499</c:v>
                </c:pt>
                <c:pt idx="62">
                  <c:v>478.42010474182621</c:v>
                </c:pt>
                <c:pt idx="63">
                  <c:v>497.38516653309392</c:v>
                </c:pt>
                <c:pt idx="64">
                  <c:v>516.33491768947522</c:v>
                </c:pt>
                <c:pt idx="65">
                  <c:v>535.26999882081486</c:v>
                </c:pt>
                <c:pt idx="66">
                  <c:v>554.19100154984289</c:v>
                </c:pt>
                <c:pt idx="67">
                  <c:v>470.14706756965666</c:v>
                </c:pt>
                <c:pt idx="68">
                  <c:v>488.32734241285874</c:v>
                </c:pt>
                <c:pt idx="69">
                  <c:v>506.49326009097769</c:v>
                </c:pt>
                <c:pt idx="70">
                  <c:v>524.64540770819303</c:v>
                </c:pt>
                <c:pt idx="71">
                  <c:v>542.78432845485679</c:v>
                </c:pt>
                <c:pt idx="72">
                  <c:v>560.91052627987881</c:v>
                </c:pt>
                <c:pt idx="73">
                  <c:v>579.02446992802072</c:v>
                </c:pt>
                <c:pt idx="74">
                  <c:v>597.12659644598352</c:v>
                </c:pt>
                <c:pt idx="75">
                  <c:v>517.97676869167117</c:v>
                </c:pt>
                <c:pt idx="76">
                  <c:v>535.73334829581881</c:v>
                </c:pt>
                <c:pt idx="77">
                  <c:v>553.47755899013487</c:v>
                </c:pt>
                <c:pt idx="78">
                  <c:v>571.20985288289546</c:v>
                </c:pt>
                <c:pt idx="79">
                  <c:v>588.93065174286789</c:v>
                </c:pt>
                <c:pt idx="80">
                  <c:v>606.64034990559333</c:v>
                </c:pt>
                <c:pt idx="81">
                  <c:v>624.33931682285095</c:v>
                </c:pt>
                <c:pt idx="82">
                  <c:v>642.02789930818994</c:v>
                </c:pt>
                <c:pt idx="83">
                  <c:v>659.70642352229788</c:v>
                </c:pt>
                <c:pt idx="84">
                  <c:v>677.37519673465192</c:v>
                </c:pt>
                <c:pt idx="85">
                  <c:v>568.92780793833413</c:v>
                </c:pt>
                <c:pt idx="86">
                  <c:v>585.86192170082245</c:v>
                </c:pt>
                <c:pt idx="87">
                  <c:v>602.78583992874633</c:v>
                </c:pt>
                <c:pt idx="88">
                  <c:v>619.69988898865984</c:v>
                </c:pt>
                <c:pt idx="89">
                  <c:v>636.60437599161821</c:v>
                </c:pt>
                <c:pt idx="90">
                  <c:v>653.4995904208547</c:v>
                </c:pt>
                <c:pt idx="91">
                  <c:v>670.38580558250044</c:v>
                </c:pt>
                <c:pt idx="92">
                  <c:v>687.26327990264235</c:v>
                </c:pt>
                <c:pt idx="93">
                  <c:v>704.13225809045025</c:v>
                </c:pt>
                <c:pt idx="94">
                  <c:v>720.9929721841354</c:v>
                </c:pt>
                <c:pt idx="95">
                  <c:v>611.42462215563842</c:v>
                </c:pt>
                <c:pt idx="96">
                  <c:v>627.83625949627674</c:v>
                </c:pt>
                <c:pt idx="97">
                  <c:v>644.23902260642501</c:v>
                </c:pt>
                <c:pt idx="98">
                  <c:v>660.63316909069977</c:v>
                </c:pt>
                <c:pt idx="99">
                  <c:v>677.01894273555968</c:v>
                </c:pt>
                <c:pt idx="100">
                  <c:v>693.39657457387193</c:v>
                </c:pt>
                <c:pt idx="101">
                  <c:v>709.76628384375397</c:v>
                </c:pt>
                <c:pt idx="102">
                  <c:v>726.12827885442675</c:v>
                </c:pt>
                <c:pt idx="103">
                  <c:v>742.48275777003767</c:v>
                </c:pt>
                <c:pt idx="104">
                  <c:v>758.8299093208924</c:v>
                </c:pt>
                <c:pt idx="105">
                  <c:v>652.54004075686078</c:v>
                </c:pt>
                <c:pt idx="106">
                  <c:v>668.70185771457261</c:v>
                </c:pt>
                <c:pt idx="107">
                  <c:v>684.85564540449479</c:v>
                </c:pt>
                <c:pt idx="108">
                  <c:v>701.00161974495734</c:v>
                </c:pt>
                <c:pt idx="109">
                  <c:v>717.13998590495532</c:v>
                </c:pt>
                <c:pt idx="110">
                  <c:v>733.2709390741071</c:v>
                </c:pt>
                <c:pt idx="111">
                  <c:v>749.39466516139635</c:v>
                </c:pt>
                <c:pt idx="112">
                  <c:v>765.51134143070556</c:v>
                </c:pt>
                <c:pt idx="113">
                  <c:v>781.62113708009417</c:v>
                </c:pt>
                <c:pt idx="114">
                  <c:v>797.72421377088347</c:v>
                </c:pt>
                <c:pt idx="115">
                  <c:v>700.04955608788043</c:v>
                </c:pt>
                <c:pt idx="116">
                  <c:v>716.30426933159345</c:v>
                </c:pt>
                <c:pt idx="117">
                  <c:v>732.55145267138971</c:v>
                </c:pt>
                <c:pt idx="118">
                  <c:v>748.79129649432252</c:v>
                </c:pt>
                <c:pt idx="119">
                  <c:v>765.02398226321839</c:v>
                </c:pt>
                <c:pt idx="120">
                  <c:v>781.24968311934356</c:v>
                </c:pt>
                <c:pt idx="121">
                  <c:v>797.46856443244951</c:v>
                </c:pt>
                <c:pt idx="122">
                  <c:v>813.68078430378785</c:v>
                </c:pt>
                <c:pt idx="123">
                  <c:v>829.8864940269923</c:v>
                </c:pt>
                <c:pt idx="124">
                  <c:v>846.08583851112826</c:v>
                </c:pt>
                <c:pt idx="125">
                  <c:v>755.88482662893102</c:v>
                </c:pt>
                <c:pt idx="126">
                  <c:v>772.27280239944514</c:v>
                </c:pt>
                <c:pt idx="127">
                  <c:v>788.65373250384312</c:v>
                </c:pt>
                <c:pt idx="128">
                  <c:v>805.02778376166316</c:v>
                </c:pt>
                <c:pt idx="129">
                  <c:v>821.39511565972941</c:v>
                </c:pt>
                <c:pt idx="130">
                  <c:v>837.75588081713613</c:v>
                </c:pt>
                <c:pt idx="131">
                  <c:v>854.11022541205978</c:v>
                </c:pt>
                <c:pt idx="132">
                  <c:v>870.45828957421656</c:v>
                </c:pt>
                <c:pt idx="133">
                  <c:v>886.80020774633806</c:v>
                </c:pt>
                <c:pt idx="134">
                  <c:v>903.13610901764775</c:v>
                </c:pt>
                <c:pt idx="135">
                  <c:v>808.33220895313741</c:v>
                </c:pt>
                <c:pt idx="136">
                  <c:v>824.87865887987221</c:v>
                </c:pt>
                <c:pt idx="137">
                  <c:v>841.41842875981195</c:v>
                </c:pt>
                <c:pt idx="138">
                  <c:v>857.95166826350953</c:v>
                </c:pt>
                <c:pt idx="139">
                  <c:v>874.47852082893996</c:v>
                </c:pt>
                <c:pt idx="140">
                  <c:v>890.99912403631481</c:v>
                </c:pt>
                <c:pt idx="141">
                  <c:v>907.51360995368759</c:v>
                </c:pt>
                <c:pt idx="142">
                  <c:v>924.02210545612218</c:v>
                </c:pt>
                <c:pt idx="143">
                  <c:v>940.52473252089715</c:v>
                </c:pt>
                <c:pt idx="144">
                  <c:v>957.02160850093696</c:v>
                </c:pt>
                <c:pt idx="145">
                  <c:v>860.52256778285062</c:v>
                </c:pt>
                <c:pt idx="146">
                  <c:v>877.38460364696311</c:v>
                </c:pt>
                <c:pt idx="147">
                  <c:v>894.24015784139544</c:v>
                </c:pt>
                <c:pt idx="148">
                  <c:v>911.08936961083464</c:v>
                </c:pt>
                <c:pt idx="149">
                  <c:v>927.93237263586946</c:v>
                </c:pt>
                <c:pt idx="150">
                  <c:v>944.76929535432998</c:v>
                </c:pt>
                <c:pt idx="151">
                  <c:v>961.6002612585612</c:v>
                </c:pt>
                <c:pt idx="152">
                  <c:v>978.42538917082777</c:v>
                </c:pt>
                <c:pt idx="153">
                  <c:v>995.24479349881619</c:v>
                </c:pt>
                <c:pt idx="154">
                  <c:v>1012.0585844729879</c:v>
                </c:pt>
                <c:pt idx="155">
                  <c:v>917.69175016011229</c:v>
                </c:pt>
                <c:pt idx="156">
                  <c:v>934.77101299445985</c:v>
                </c:pt>
                <c:pt idx="157">
                  <c:v>951.84407410442907</c:v>
                </c:pt>
                <c:pt idx="158">
                  <c:v>968.91106026278305</c:v>
                </c:pt>
                <c:pt idx="159">
                  <c:v>985.97209341770815</c:v>
                </c:pt>
                <c:pt idx="160">
                  <c:v>1003.0272909584129</c:v>
                </c:pt>
                <c:pt idx="161">
                  <c:v>1020.0767659617509</c:v>
                </c:pt>
                <c:pt idx="162">
                  <c:v>1037.1206274215183</c:v>
                </c:pt>
                <c:pt idx="163">
                  <c:v>1054.1589804619205</c:v>
                </c:pt>
                <c:pt idx="164">
                  <c:v>1071.1919265365345</c:v>
                </c:pt>
                <c:pt idx="165">
                  <c:v>968.15112777582817</c:v>
                </c:pt>
                <c:pt idx="166">
                  <c:v>985.42052572739613</c:v>
                </c:pt>
                <c:pt idx="167">
                  <c:v>1002.6839409861069</c:v>
                </c:pt>
                <c:pt idx="168">
                  <c:v>1019.9414909328767</c:v>
                </c:pt>
                <c:pt idx="169">
                  <c:v>1037.1932886578995</c:v>
                </c:pt>
                <c:pt idx="170">
                  <c:v>1054.4394431876869</c:v>
                </c:pt>
                <c:pt idx="171">
                  <c:v>1071.6800596965038</c:v>
                </c:pt>
                <c:pt idx="172">
                  <c:v>1088.9152397035102</c:v>
                </c:pt>
                <c:pt idx="173">
                  <c:v>1106.1450812567903</c:v>
                </c:pt>
                <c:pt idx="174">
                  <c:v>1123.369679105341</c:v>
                </c:pt>
                <c:pt idx="175">
                  <c:v>699.59114561774857</c:v>
                </c:pt>
                <c:pt idx="176">
                  <c:v>710.54792404908528</c:v>
                </c:pt>
                <c:pt idx="177">
                  <c:v>721.50125029262847</c:v>
                </c:pt>
                <c:pt idx="178">
                  <c:v>493.09065406114672</c:v>
                </c:pt>
                <c:pt idx="179">
                  <c:v>499.76345864506885</c:v>
                </c:pt>
                <c:pt idx="180">
                  <c:v>506.43437723439791</c:v>
                </c:pt>
                <c:pt idx="181">
                  <c:v>350.68297454801086</c:v>
                </c:pt>
                <c:pt idx="182">
                  <c:v>354.71488774261428</c:v>
                </c:pt>
                <c:pt idx="183">
                  <c:v>358.7457969798034</c:v>
                </c:pt>
                <c:pt idx="184">
                  <c:v>1.1032467653906121E-11</c:v>
                </c:pt>
                <c:pt idx="185">
                  <c:v>1.1032467653906121E-11</c:v>
                </c:pt>
                <c:pt idx="186">
                  <c:v>1.1032467653906121E-11</c:v>
                </c:pt>
                <c:pt idx="187">
                  <c:v>1.1032467653906121E-11</c:v>
                </c:pt>
                <c:pt idx="188">
                  <c:v>1.1032467653906121E-11</c:v>
                </c:pt>
                <c:pt idx="189">
                  <c:v>1.1032467653906121E-11</c:v>
                </c:pt>
                <c:pt idx="190">
                  <c:v>1.1032467653906121E-11</c:v>
                </c:pt>
                <c:pt idx="191">
                  <c:v>1.1032467653906121E-11</c:v>
                </c:pt>
                <c:pt idx="192">
                  <c:v>1.1032467653906121E-11</c:v>
                </c:pt>
                <c:pt idx="193">
                  <c:v>1.1032467653906121E-11</c:v>
                </c:pt>
                <c:pt idx="194">
                  <c:v>1.1032467653906121E-11</c:v>
                </c:pt>
                <c:pt idx="195">
                  <c:v>1.1032467653906121E-11</c:v>
                </c:pt>
                <c:pt idx="196">
                  <c:v>1.1032467653906121E-11</c:v>
                </c:pt>
                <c:pt idx="197">
                  <c:v>1.1032467653906121E-11</c:v>
                </c:pt>
                <c:pt idx="198">
                  <c:v>1.1032467653906121E-11</c:v>
                </c:pt>
                <c:pt idx="199">
                  <c:v>1.1032467653906121E-11</c:v>
                </c:pt>
                <c:pt idx="200">
                  <c:v>1.1032467653906121E-11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8.7238773521599047</c:v>
                </c:pt>
                <c:pt idx="2">
                  <c:v>17.063280696299408</c:v>
                </c:pt>
                <c:pt idx="3">
                  <c:v>25.278518235236231</c:v>
                </c:pt>
                <c:pt idx="4">
                  <c:v>33.417217082826525</c:v>
                </c:pt>
                <c:pt idx="5">
                  <c:v>41.500963408389929</c:v>
                </c:pt>
                <c:pt idx="6">
                  <c:v>49.54207086415412</c:v>
                </c:pt>
                <c:pt idx="7">
                  <c:v>57.548477585595947</c:v>
                </c:pt>
                <c:pt idx="8">
                  <c:v>65.52571279747248</c:v>
                </c:pt>
                <c:pt idx="9">
                  <c:v>73.477840550317495</c:v>
                </c:pt>
                <c:pt idx="10">
                  <c:v>81.407968790534127</c:v>
                </c:pt>
                <c:pt idx="11">
                  <c:v>89.318547905534516</c:v>
                </c:pt>
                <c:pt idx="12">
                  <c:v>97.211557203899247</c:v>
                </c:pt>
                <c:pt idx="13">
                  <c:v>105.08862729802443</c:v>
                </c:pt>
                <c:pt idx="14">
                  <c:v>112.95112368620271</c:v>
                </c:pt>
                <c:pt idx="15">
                  <c:v>120.80020574188869</c:v>
                </c:pt>
                <c:pt idx="16">
                  <c:v>128.63686950992857</c:v>
                </c:pt>
                <c:pt idx="17">
                  <c:v>136.46197949248327</c:v>
                </c:pt>
                <c:pt idx="18">
                  <c:v>144.2762927401233</c:v>
                </c:pt>
                <c:pt idx="19">
                  <c:v>152.08047743586482</c:v>
                </c:pt>
                <c:pt idx="20">
                  <c:v>159.87512745516435</c:v>
                </c:pt>
                <c:pt idx="21">
                  <c:v>167.66077393116035</c:v>
                </c:pt>
                <c:pt idx="22">
                  <c:v>175.43789455459577</c:v>
                </c:pt>
                <c:pt idx="23">
                  <c:v>183.20692113504819</c:v>
                </c:pt>
                <c:pt idx="24">
                  <c:v>190.96824581005788</c:v>
                </c:pt>
                <c:pt idx="25">
                  <c:v>198.72222619024129</c:v>
                </c:pt>
                <c:pt idx="26">
                  <c:v>206.46918965801322</c:v>
                </c:pt>
                <c:pt idx="27">
                  <c:v>214.20943698636589</c:v>
                </c:pt>
                <c:pt idx="28">
                  <c:v>221.94324540646099</c:v>
                </c:pt>
                <c:pt idx="29">
                  <c:v>229.67087122468024</c:v>
                </c:pt>
                <c:pt idx="30">
                  <c:v>237.3925520685614</c:v>
                </c:pt>
                <c:pt idx="31">
                  <c:v>245.10850882486457</c:v>
                </c:pt>
                <c:pt idx="32">
                  <c:v>252.81894732054016</c:v>
                </c:pt>
                <c:pt idx="33">
                  <c:v>260.52405978767342</c:v>
                </c:pt>
                <c:pt idx="34">
                  <c:v>268.22402614587037</c:v>
                </c:pt>
                <c:pt idx="35">
                  <c:v>275.91901512953666</c:v>
                </c:pt>
                <c:pt idx="36">
                  <c:v>283.60918528270133</c:v>
                </c:pt>
                <c:pt idx="37">
                  <c:v>291.29468584019929</c:v>
                </c:pt>
                <c:pt idx="38">
                  <c:v>298.9756575109102</c:v>
                </c:pt>
                <c:pt idx="39">
                  <c:v>306.65223317623287</c:v>
                </c:pt>
                <c:pt idx="40">
                  <c:v>314.32453851490487</c:v>
                </c:pt>
                <c:pt idx="41">
                  <c:v>321.99269256358195</c:v>
                </c:pt>
                <c:pt idx="42">
                  <c:v>329.6568082211864</c:v>
                </c:pt>
                <c:pt idx="43">
                  <c:v>337.31699270386952</c:v>
                </c:pt>
                <c:pt idx="44">
                  <c:v>344.97334795645929</c:v>
                </c:pt>
                <c:pt idx="45">
                  <c:v>352.62597102544919</c:v>
                </c:pt>
                <c:pt idx="46">
                  <c:v>360.27495439789868</c:v>
                </c:pt>
                <c:pt idx="47">
                  <c:v>367.92038631003089</c:v>
                </c:pt>
                <c:pt idx="48">
                  <c:v>375.56235102882761</c:v>
                </c:pt>
                <c:pt idx="49">
                  <c:v>383.20092910949398</c:v>
                </c:pt>
                <c:pt idx="50">
                  <c:v>390.83619763131333</c:v>
                </c:pt>
                <c:pt idx="51">
                  <c:v>398.46823041410011</c:v>
                </c:pt>
                <c:pt idx="52">
                  <c:v>239.85910246404572</c:v>
                </c:pt>
                <c:pt idx="53">
                  <c:v>252.83074558705485</c:v>
                </c:pt>
                <c:pt idx="54">
                  <c:v>265.78731726655224</c:v>
                </c:pt>
                <c:pt idx="55">
                  <c:v>278.72965595209877</c:v>
                </c:pt>
                <c:pt idx="56">
                  <c:v>291.65851583527427</c:v>
                </c:pt>
                <c:pt idx="57">
                  <c:v>304.57457875644008</c:v>
                </c:pt>
                <c:pt idx="58">
                  <c:v>317.47846398478754</c:v>
                </c:pt>
                <c:pt idx="59">
                  <c:v>330.37073632430099</c:v>
                </c:pt>
                <c:pt idx="60">
                  <c:v>343.25191288767377</c:v>
                </c:pt>
                <c:pt idx="61">
                  <c:v>356.12246879986401</c:v>
                </c:pt>
                <c:pt idx="62">
                  <c:v>267.65291509049001</c:v>
                </c:pt>
                <c:pt idx="63">
                  <c:v>279.57365298312453</c:v>
                </c:pt>
                <c:pt idx="64">
                  <c:v>291.48299371257053</c:v>
                </c:pt>
                <c:pt idx="65">
                  <c:v>303.3814687484749</c:v>
                </c:pt>
                <c:pt idx="66">
                  <c:v>315.26956445016066</c:v>
                </c:pt>
                <c:pt idx="67">
                  <c:v>327.14772748854381</c:v>
                </c:pt>
                <c:pt idx="68">
                  <c:v>339.01636943905493</c:v>
                </c:pt>
                <c:pt idx="69">
                  <c:v>350.87587069749287</c:v>
                </c:pt>
                <c:pt idx="70">
                  <c:v>362.72658383860352</c:v>
                </c:pt>
                <c:pt idx="71">
                  <c:v>374.56883651267782</c:v>
                </c:pt>
                <c:pt idx="72">
                  <c:v>386.40293395661462</c:v>
                </c:pt>
                <c:pt idx="73">
                  <c:v>398.2291611812359</c:v>
                </c:pt>
                <c:pt idx="74">
                  <c:v>307.22146276591042</c:v>
                </c:pt>
                <c:pt idx="75">
                  <c:v>318.22291876813949</c:v>
                </c:pt>
                <c:pt idx="76">
                  <c:v>329.21595499534607</c:v>
                </c:pt>
                <c:pt idx="77">
                  <c:v>340.20089234590097</c:v>
                </c:pt>
                <c:pt idx="78">
                  <c:v>351.17802929444014</c:v>
                </c:pt>
                <c:pt idx="79">
                  <c:v>362.14764412577466</c:v>
                </c:pt>
                <c:pt idx="80">
                  <c:v>373.1099968839053</c:v>
                </c:pt>
                <c:pt idx="81">
                  <c:v>384.06533107994869</c:v>
                </c:pt>
                <c:pt idx="82">
                  <c:v>395.01387519496728</c:v>
                </c:pt>
                <c:pt idx="83">
                  <c:v>405.95584400744838</c:v>
                </c:pt>
                <c:pt idx="84">
                  <c:v>416.89143977016801</c:v>
                </c:pt>
                <c:pt idx="85">
                  <c:v>427.82085325710864</c:v>
                </c:pt>
                <c:pt idx="86">
                  <c:v>343.45578156792436</c:v>
                </c:pt>
                <c:pt idx="87">
                  <c:v>353.50604121858987</c:v>
                </c:pt>
                <c:pt idx="88">
                  <c:v>363.55004087719925</c:v>
                </c:pt>
                <c:pt idx="89">
                  <c:v>373.58797795476374</c:v>
                </c:pt>
                <c:pt idx="90">
                  <c:v>383.62003838338245</c:v>
                </c:pt>
                <c:pt idx="91">
                  <c:v>393.64639757291462</c:v>
                </c:pt>
                <c:pt idx="92">
                  <c:v>403.66722126506875</c:v>
                </c:pt>
                <c:pt idx="93">
                  <c:v>413.68266629823557</c:v>
                </c:pt>
                <c:pt idx="94">
                  <c:v>423.69288129437263</c:v>
                </c:pt>
                <c:pt idx="95">
                  <c:v>433.69800727757553</c:v>
                </c:pt>
                <c:pt idx="96">
                  <c:v>443.69817823258433</c:v>
                </c:pt>
                <c:pt idx="97">
                  <c:v>453.69352161030451</c:v>
                </c:pt>
                <c:pt idx="98">
                  <c:v>373.51565819693059</c:v>
                </c:pt>
                <c:pt idx="99">
                  <c:v>382.53832906741195</c:v>
                </c:pt>
                <c:pt idx="100">
                  <c:v>391.5563737739929</c:v>
                </c:pt>
                <c:pt idx="101">
                  <c:v>400.56991394266532</c:v>
                </c:pt>
                <c:pt idx="102">
                  <c:v>409.57906527648794</c:v>
                </c:pt>
                <c:pt idx="103">
                  <c:v>418.58393797078651</c:v>
                </c:pt>
                <c:pt idx="104">
                  <c:v>427.58463709075022</c:v>
                </c:pt>
                <c:pt idx="105">
                  <c:v>436.58126291557113</c:v>
                </c:pt>
                <c:pt idx="106">
                  <c:v>445.57391125272744</c:v>
                </c:pt>
                <c:pt idx="107">
                  <c:v>454.56267372556914</c:v>
                </c:pt>
                <c:pt idx="108">
                  <c:v>463.54763803696488</c:v>
                </c:pt>
                <c:pt idx="109">
                  <c:v>472.52888821143966</c:v>
                </c:pt>
                <c:pt idx="110">
                  <c:v>389.99513338800875</c:v>
                </c:pt>
                <c:pt idx="111">
                  <c:v>398.06147882289639</c:v>
                </c:pt>
                <c:pt idx="112">
                  <c:v>406.12428489378766</c:v>
                </c:pt>
                <c:pt idx="113">
                  <c:v>414.18363182026269</c:v>
                </c:pt>
                <c:pt idx="114">
                  <c:v>422.23959644349662</c:v>
                </c:pt>
                <c:pt idx="115">
                  <c:v>430.29225243168997</c:v>
                </c:pt>
                <c:pt idx="116">
                  <c:v>438.34167046931583</c:v>
                </c:pt>
                <c:pt idx="117">
                  <c:v>446.38791843173607</c:v>
                </c:pt>
                <c:pt idx="118">
                  <c:v>454.43106154656789</c:v>
                </c:pt>
                <c:pt idx="119">
                  <c:v>462.47116254302722</c:v>
                </c:pt>
                <c:pt idx="120">
                  <c:v>470.50828179034215</c:v>
                </c:pt>
                <c:pt idx="121">
                  <c:v>478.54247742621516</c:v>
                </c:pt>
                <c:pt idx="122">
                  <c:v>251.00231881385491</c:v>
                </c:pt>
                <c:pt idx="123">
                  <c:v>256.67781822926639</c:v>
                </c:pt>
                <c:pt idx="124">
                  <c:v>262.35047928007265</c:v>
                </c:pt>
                <c:pt idx="125">
                  <c:v>268.0203720944408</c:v>
                </c:pt>
                <c:pt idx="126">
                  <c:v>273.68756358672954</c:v>
                </c:pt>
                <c:pt idx="127">
                  <c:v>279.35211766977835</c:v>
                </c:pt>
                <c:pt idx="128">
                  <c:v>285.0140954490592</c:v>
                </c:pt>
                <c:pt idx="129">
                  <c:v>290.6735554005748</c:v>
                </c:pt>
                <c:pt idx="130">
                  <c:v>296.33055353416273</c:v>
                </c:pt>
                <c:pt idx="131">
                  <c:v>301.9851435436637</c:v>
                </c:pt>
                <c:pt idx="132">
                  <c:v>7.2667013513884219E-12</c:v>
                </c:pt>
                <c:pt idx="133">
                  <c:v>7.2667013513884219E-12</c:v>
                </c:pt>
                <c:pt idx="134">
                  <c:v>7.2667013513884219E-12</c:v>
                </c:pt>
                <c:pt idx="135">
                  <c:v>7.2667013513884219E-12</c:v>
                </c:pt>
                <c:pt idx="136">
                  <c:v>7.2667013513884219E-12</c:v>
                </c:pt>
                <c:pt idx="137">
                  <c:v>7.2667013513884219E-12</c:v>
                </c:pt>
                <c:pt idx="138">
                  <c:v>7.2667013513884219E-12</c:v>
                </c:pt>
                <c:pt idx="139">
                  <c:v>7.2667013513884219E-12</c:v>
                </c:pt>
                <c:pt idx="140">
                  <c:v>7.2667013513884219E-12</c:v>
                </c:pt>
                <c:pt idx="141">
                  <c:v>7.2667013513884219E-12</c:v>
                </c:pt>
                <c:pt idx="142">
                  <c:v>7.2667013513884219E-12</c:v>
                </c:pt>
                <c:pt idx="143">
                  <c:v>7.2667013513884219E-12</c:v>
                </c:pt>
                <c:pt idx="144">
                  <c:v>7.2667013513884219E-12</c:v>
                </c:pt>
                <c:pt idx="145">
                  <c:v>7.2667013513884219E-12</c:v>
                </c:pt>
                <c:pt idx="146">
                  <c:v>7.2667013513884219E-12</c:v>
                </c:pt>
                <c:pt idx="147">
                  <c:v>7.2667013513884219E-12</c:v>
                </c:pt>
                <c:pt idx="148">
                  <c:v>7.2667013513884219E-12</c:v>
                </c:pt>
                <c:pt idx="149">
                  <c:v>7.2667013513884219E-12</c:v>
                </c:pt>
                <c:pt idx="150">
                  <c:v>7.2667013513884219E-12</c:v>
                </c:pt>
                <c:pt idx="151">
                  <c:v>7.2667013513884219E-12</c:v>
                </c:pt>
                <c:pt idx="152">
                  <c:v>7.2667013513884219E-12</c:v>
                </c:pt>
                <c:pt idx="153">
                  <c:v>7.2667013513884219E-12</c:v>
                </c:pt>
                <c:pt idx="154">
                  <c:v>7.2667013513884219E-12</c:v>
                </c:pt>
                <c:pt idx="155">
                  <c:v>7.2667013513884219E-12</c:v>
                </c:pt>
                <c:pt idx="156">
                  <c:v>7.2667013513884219E-12</c:v>
                </c:pt>
                <c:pt idx="157">
                  <c:v>7.2667013513884219E-12</c:v>
                </c:pt>
                <c:pt idx="158">
                  <c:v>7.2667013513884219E-12</c:v>
                </c:pt>
                <c:pt idx="159">
                  <c:v>7.2667013513884219E-12</c:v>
                </c:pt>
                <c:pt idx="160">
                  <c:v>7.2667013513884219E-12</c:v>
                </c:pt>
                <c:pt idx="161">
                  <c:v>7.2667013513884219E-12</c:v>
                </c:pt>
                <c:pt idx="162">
                  <c:v>7.2667013513884219E-12</c:v>
                </c:pt>
                <c:pt idx="163">
                  <c:v>7.2667013513884219E-12</c:v>
                </c:pt>
                <c:pt idx="164">
                  <c:v>7.2667013513884219E-12</c:v>
                </c:pt>
                <c:pt idx="165">
                  <c:v>7.2667013513884219E-12</c:v>
                </c:pt>
                <c:pt idx="166">
                  <c:v>7.2667013513884219E-12</c:v>
                </c:pt>
                <c:pt idx="167">
                  <c:v>7.2667013513884219E-12</c:v>
                </c:pt>
                <c:pt idx="168">
                  <c:v>7.2667013513884219E-12</c:v>
                </c:pt>
                <c:pt idx="169">
                  <c:v>7.2667013513884219E-12</c:v>
                </c:pt>
                <c:pt idx="170">
                  <c:v>7.2667013513884219E-12</c:v>
                </c:pt>
                <c:pt idx="171">
                  <c:v>7.2667013513884219E-12</c:v>
                </c:pt>
                <c:pt idx="172">
                  <c:v>7.2667013513884219E-12</c:v>
                </c:pt>
                <c:pt idx="173">
                  <c:v>7.2667013513884219E-12</c:v>
                </c:pt>
                <c:pt idx="174">
                  <c:v>7.2667013513884219E-12</c:v>
                </c:pt>
                <c:pt idx="175">
                  <c:v>7.2667013513884219E-12</c:v>
                </c:pt>
                <c:pt idx="176">
                  <c:v>7.2667013513884219E-12</c:v>
                </c:pt>
                <c:pt idx="177">
                  <c:v>7.2667013513884219E-12</c:v>
                </c:pt>
                <c:pt idx="178">
                  <c:v>7.2667013513884219E-12</c:v>
                </c:pt>
                <c:pt idx="179">
                  <c:v>7.2667013513884219E-12</c:v>
                </c:pt>
                <c:pt idx="180">
                  <c:v>7.2667013513884219E-12</c:v>
                </c:pt>
                <c:pt idx="181">
                  <c:v>7.2667013513884219E-12</c:v>
                </c:pt>
                <c:pt idx="182">
                  <c:v>7.2667013513884219E-12</c:v>
                </c:pt>
                <c:pt idx="183">
                  <c:v>7.2667013513884219E-12</c:v>
                </c:pt>
                <c:pt idx="184">
                  <c:v>7.2667013513884219E-12</c:v>
                </c:pt>
                <c:pt idx="185">
                  <c:v>7.2667013513884219E-12</c:v>
                </c:pt>
                <c:pt idx="186">
                  <c:v>7.2667013513884219E-12</c:v>
                </c:pt>
                <c:pt idx="187">
                  <c:v>7.2667013513884219E-12</c:v>
                </c:pt>
                <c:pt idx="188">
                  <c:v>7.2667013513884219E-12</c:v>
                </c:pt>
                <c:pt idx="189">
                  <c:v>7.2667013513884219E-12</c:v>
                </c:pt>
                <c:pt idx="190">
                  <c:v>7.2667013513884219E-12</c:v>
                </c:pt>
                <c:pt idx="191">
                  <c:v>7.2667013513884219E-12</c:v>
                </c:pt>
                <c:pt idx="192">
                  <c:v>7.2667013513884219E-12</c:v>
                </c:pt>
                <c:pt idx="193">
                  <c:v>7.2667013513884219E-12</c:v>
                </c:pt>
                <c:pt idx="194">
                  <c:v>7.2667013513884219E-12</c:v>
                </c:pt>
                <c:pt idx="195">
                  <c:v>7.2667013513884219E-12</c:v>
                </c:pt>
                <c:pt idx="196">
                  <c:v>7.2667013513884219E-12</c:v>
                </c:pt>
                <c:pt idx="197">
                  <c:v>7.2667013513884219E-12</c:v>
                </c:pt>
                <c:pt idx="198">
                  <c:v>7.2667013513884219E-12</c:v>
                </c:pt>
                <c:pt idx="199">
                  <c:v>7.2667013513884219E-12</c:v>
                </c:pt>
                <c:pt idx="200">
                  <c:v>7.2667013513884219E-12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44BC7BF0-8157-4572-8E12-7E0C99523682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8" dT="2024-11-27T17:07:34.75" personId="{44BC7BF0-8157-4572-8E12-7E0C99523682}" id="{E3E51501-5542-451B-A280-7119D553B862}">
    <text>A recopier sur toutes les essences.
Correspond aux frais fixes d’entretien mécanique + répulsif gibier</text>
  </threadedComment>
  <threadedComment ref="E19" dT="2024-11-27T17:08:05.48" personId="{44BC7BF0-8157-4572-8E12-7E0C99523682}" id="{B35BE5CD-F471-4164-A396-0E8AD3EACE1D}">
    <text xml:space="preserve">A recopier sur toutes les essences
Correspond aux frais fixes entretien manuel + répulsif gibier + regarnis
</text>
  </threadedComment>
  <threadedComment ref="I19" dT="2024-11-27T17:08:48.74" personId="{44BC7BF0-8157-4572-8E12-7E0C99523682}" id="{4C91F93A-4850-4663-A3C2-6971670EE070}">
    <text>Toutes les ans à partir de la 6e année pendant la durée du contrat : frais de gardiennage 20€/ha/an</text>
  </threadedComment>
  <threadedComment ref="E20" dT="2024-11-27T17:07:34.75" personId="{44BC7BF0-8157-4572-8E12-7E0C99523682}" id="{A5FF619C-2127-44FB-957D-29D1CE20524D}">
    <text>A recopier sur toutes les essences.
Correspond aux frais fixes d’entretien mécanique + répulsif gibier</text>
  </threadedComment>
  <threadedComment ref="I20" dT="2024-11-27T17:08:22.16" personId="{44BC7BF0-8157-4572-8E12-7E0C99523682}" id="{21E90E90-8F37-4036-8CF3-2FC2FE4B471C}">
    <text>Année 1 : demande cas par cas + diagnostic gestionnaire</text>
  </threadedComment>
  <threadedComment ref="I22" dT="2024-11-27T17:08:31.44" personId="{44BC7BF0-8157-4572-8E12-7E0C99523682}" id="{CB823BE7-DD1F-4081-B48B-60B6F5E5ECBE}">
    <text>Année 3 : rédaction DGD</text>
  </threadedComment>
  <threadedComment ref="I24" dT="2024-11-27T17:08:41.71" personId="{44BC7BF0-8157-4572-8E12-7E0C99523682}" id="{6B940231-2296-481D-B696-1C215BAA35A1}">
    <text>Année 5 : facturation maitrise d'œuvre</text>
  </threadedComment>
  <threadedComment ref="E49" dT="2024-11-27T17:07:34.75" personId="{44BC7BF0-8157-4572-8E12-7E0C99523682}" id="{9E6C7A34-F268-4B90-8382-D1898BC8E892}">
    <text>A recopier sur toutes les essences.
Correspond aux frais fixes d’entretien mécanique + répulsif gibier</text>
  </threadedComment>
  <threadedComment ref="E50" dT="2024-11-27T17:08:05.48" personId="{44BC7BF0-8157-4572-8E12-7E0C99523682}" id="{E196A0AE-1368-454E-A3CF-66C1F8918472}">
    <text xml:space="preserve">A recopier sur toutes les essences
Correspond aux frais fixes entretien manuel + répulsif gibier + regarnis
</text>
  </threadedComment>
  <threadedComment ref="E51" dT="2024-11-27T17:07:34.75" personId="{44BC7BF0-8157-4572-8E12-7E0C99523682}" id="{4D9F6596-9FDB-424F-A956-42399B4D06FA}">
    <text>A recopier sur toutes les essences.
Correspond aux frais fixes d’entretien mécanique + répulsif gibier</text>
  </threadedComment>
  <threadedComment ref="E80" dT="2024-11-27T17:07:34.75" personId="{44BC7BF0-8157-4572-8E12-7E0C99523682}" id="{0890F5E9-8D14-41F0-AF0C-C5B03EC2731F}">
    <text>A recopier sur toutes les essences.
Correspond aux frais fixes d’entretien mécanique + répulsif gibier</text>
  </threadedComment>
  <threadedComment ref="E81" dT="2024-11-27T17:08:05.48" personId="{44BC7BF0-8157-4572-8E12-7E0C99523682}" id="{BB5970D0-7858-4463-9587-56AB441B459E}">
    <text xml:space="preserve">A recopier sur toutes les essences
Correspond aux frais fixes entretien manuel + répulsif gibier + regarnis
</text>
  </threadedComment>
  <threadedComment ref="E82" dT="2024-11-27T17:07:34.75" personId="{44BC7BF0-8157-4572-8E12-7E0C99523682}" id="{709AAA2A-639C-4A89-BD72-EB541A485C81}">
    <text>A recopier sur toutes les essences.
Correspond aux frais fixes d’entretien mécanique + répulsif gibier</text>
  </threadedComment>
  <threadedComment ref="E111" dT="2024-11-27T17:07:34.75" personId="{44BC7BF0-8157-4572-8E12-7E0C99523682}" id="{C261BA73-EBB9-4B3E-A1AC-44A6435839C6}">
    <text>A recopier sur toutes les essences.
Correspond aux frais fixes d’entretien mécanique + répulsif gibier</text>
  </threadedComment>
  <threadedComment ref="E112" dT="2024-11-27T17:08:05.48" personId="{44BC7BF0-8157-4572-8E12-7E0C99523682}" id="{00E628D6-315D-478D-ACE5-506D6954E606}">
    <text xml:space="preserve">A recopier sur toutes les essences
Correspond aux frais fixes entretien manuel + répulsif gibier + regarnis
</text>
  </threadedComment>
  <threadedComment ref="E113" dT="2024-11-27T17:07:34.75" personId="{44BC7BF0-8157-4572-8E12-7E0C99523682}" id="{33DE2917-5D10-44D5-B763-D45D6E32E236}">
    <text>A recopier sur toutes les essences.
Correspond aux frais fixes d’entretien mécanique + répulsif gibier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65" t="s">
        <v>291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3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3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3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3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3">
      <c r="B18" s="265" t="s">
        <v>292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3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3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3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3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3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3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3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3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3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3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3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3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3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5" sqref="C5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70" t="s">
        <v>190</v>
      </c>
      <c r="D1" s="270"/>
      <c r="E1" s="27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1" t="s">
        <v>192</v>
      </c>
      <c r="C3" s="272"/>
      <c r="D3" s="272"/>
      <c r="E3" s="272"/>
      <c r="F3" s="273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6" t="s">
        <v>231</v>
      </c>
      <c r="B5" s="276"/>
      <c r="C5" s="24">
        <v>1.86</v>
      </c>
      <c r="D5" s="277" t="s">
        <v>229</v>
      </c>
      <c r="E5" s="278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5" t="s">
        <v>226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12</v>
      </c>
      <c r="C9" s="32">
        <f>(380+550)/(390+95+1285+550)</f>
        <v>0.40086206896551724</v>
      </c>
      <c r="D9" s="33">
        <f t="shared" ref="D9:D18" si="0">C9*$C$5</f>
        <v>0.74560344827586211</v>
      </c>
      <c r="E9" s="34">
        <v>183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</v>
      </c>
      <c r="C10" s="32">
        <f>(48)/(390+95+1285+550)</f>
        <v>2.0689655172413793E-2</v>
      </c>
      <c r="D10" s="33">
        <f t="shared" si="0"/>
        <v>3.8482758620689658E-2</v>
      </c>
      <c r="E10" s="34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164</v>
      </c>
      <c r="C11" s="32">
        <f>(1285)/(390+95+1285+550)</f>
        <v>0.55387931034482762</v>
      </c>
      <c r="D11" s="33">
        <f t="shared" si="0"/>
        <v>1.0302155172413794</v>
      </c>
      <c r="E11" s="34">
        <v>131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0.97543103448275859</v>
      </c>
      <c r="D19" s="38">
        <f>SUM(D9:D18)</f>
        <v>1.8143017241379311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4" t="s">
        <v>232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5" t="s">
        <v>227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pubescent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6" t="s">
        <v>186</v>
      </c>
      <c r="D34" s="266"/>
      <c r="E34" s="267" t="s">
        <v>187</v>
      </c>
      <c r="F34" s="268"/>
      <c r="G34" s="268"/>
      <c r="H34" s="269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7">
        <v>42</v>
      </c>
      <c r="B36" s="258">
        <v>163.26</v>
      </c>
      <c r="C36" s="258">
        <v>1</v>
      </c>
      <c r="D36" s="259">
        <v>43.21</v>
      </c>
      <c r="E36" s="260">
        <v>0.3</v>
      </c>
      <c r="F36" s="260">
        <v>0</v>
      </c>
      <c r="G36" s="260">
        <v>0</v>
      </c>
      <c r="H36" s="260">
        <v>0.7</v>
      </c>
      <c r="I36" s="49">
        <f>IFERROR(B36/A36,"")</f>
        <v>3.887142857142857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1">
        <v>50</v>
      </c>
      <c r="B37" s="262">
        <v>195.02</v>
      </c>
      <c r="C37" s="262">
        <v>2</v>
      </c>
      <c r="D37" s="262">
        <v>35.58</v>
      </c>
      <c r="E37" s="263">
        <v>0.3</v>
      </c>
      <c r="F37" s="263">
        <v>0</v>
      </c>
      <c r="G37" s="263">
        <v>0</v>
      </c>
      <c r="H37" s="263">
        <v>0.7</v>
      </c>
      <c r="I37" s="53">
        <f t="shared" ref="I37:I55" si="1">IF(A37&lt;&gt;0,(B37-(B36-D36))/(A37-A36),"")</f>
        <v>9.3712500000000034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1">
        <v>58</v>
      </c>
      <c r="B38" s="262">
        <v>235.87</v>
      </c>
      <c r="C38" s="262">
        <v>3</v>
      </c>
      <c r="D38" s="262">
        <v>44.93</v>
      </c>
      <c r="E38" s="263">
        <v>0.3</v>
      </c>
      <c r="F38" s="263">
        <v>0</v>
      </c>
      <c r="G38" s="263">
        <v>0</v>
      </c>
      <c r="H38" s="263">
        <v>0.7</v>
      </c>
      <c r="I38" s="53">
        <f t="shared" si="1"/>
        <v>9.5537500000000009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1">
        <v>66</v>
      </c>
      <c r="B39" s="262">
        <v>264.95999999999998</v>
      </c>
      <c r="C39" s="262">
        <v>4</v>
      </c>
      <c r="D39" s="262">
        <v>49.91</v>
      </c>
      <c r="E39" s="263">
        <v>0.6</v>
      </c>
      <c r="F39" s="263">
        <v>0</v>
      </c>
      <c r="G39" s="263">
        <v>0</v>
      </c>
      <c r="H39" s="263">
        <v>0.4</v>
      </c>
      <c r="I39" s="49">
        <f t="shared" si="1"/>
        <v>9.2524999999999977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1">
        <v>74</v>
      </c>
      <c r="B40" s="262">
        <v>285.98</v>
      </c>
      <c r="C40" s="262">
        <v>5</v>
      </c>
      <c r="D40" s="262">
        <v>47.4</v>
      </c>
      <c r="E40" s="263">
        <v>0.6</v>
      </c>
      <c r="F40" s="263">
        <v>0</v>
      </c>
      <c r="G40" s="263">
        <v>0</v>
      </c>
      <c r="H40" s="263">
        <v>0.4</v>
      </c>
      <c r="I40" s="49">
        <f t="shared" si="1"/>
        <v>8.8662500000000044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1">
        <v>84</v>
      </c>
      <c r="B41" s="262">
        <v>325.35000000000002</v>
      </c>
      <c r="C41" s="262">
        <v>6</v>
      </c>
      <c r="D41" s="262">
        <v>61.47</v>
      </c>
      <c r="E41" s="263">
        <v>0.6</v>
      </c>
      <c r="F41" s="263">
        <v>0</v>
      </c>
      <c r="G41" s="263">
        <v>0</v>
      </c>
      <c r="H41" s="263">
        <v>0.4</v>
      </c>
      <c r="I41" s="53">
        <f t="shared" si="1"/>
        <v>8.6770000000000014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1">
        <v>94</v>
      </c>
      <c r="B42" s="262">
        <v>346.79</v>
      </c>
      <c r="C42" s="262">
        <v>7</v>
      </c>
      <c r="D42" s="262">
        <v>61.85</v>
      </c>
      <c r="E42" s="263">
        <v>0.6</v>
      </c>
      <c r="F42" s="263">
        <v>0</v>
      </c>
      <c r="G42" s="263">
        <v>0</v>
      </c>
      <c r="H42" s="263">
        <v>0.4</v>
      </c>
      <c r="I42" s="53">
        <f t="shared" si="1"/>
        <v>8.2910000000000021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1">
        <v>104</v>
      </c>
      <c r="B43" s="262">
        <v>365.41</v>
      </c>
      <c r="C43" s="262">
        <v>8</v>
      </c>
      <c r="D43" s="262">
        <v>60.19</v>
      </c>
      <c r="E43" s="263">
        <v>0.6</v>
      </c>
      <c r="F43" s="263">
        <v>0</v>
      </c>
      <c r="G43" s="263">
        <v>0</v>
      </c>
      <c r="H43" s="263">
        <v>0.4</v>
      </c>
      <c r="I43" s="49">
        <f t="shared" si="1"/>
        <v>8.0470000000000024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1">
        <v>114</v>
      </c>
      <c r="B44" s="262">
        <v>384.57</v>
      </c>
      <c r="C44" s="262">
        <v>9</v>
      </c>
      <c r="D44" s="262">
        <v>56.07</v>
      </c>
      <c r="E44" s="263">
        <v>0.6</v>
      </c>
      <c r="F44" s="263">
        <v>0</v>
      </c>
      <c r="G44" s="263">
        <v>0</v>
      </c>
      <c r="H44" s="263">
        <v>0.4</v>
      </c>
      <c r="I44" s="49">
        <f t="shared" si="1"/>
        <v>7.9349999999999969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1">
        <v>124</v>
      </c>
      <c r="B45" s="262">
        <v>408.42</v>
      </c>
      <c r="C45" s="262">
        <v>10</v>
      </c>
      <c r="D45" s="262">
        <v>52.53</v>
      </c>
      <c r="E45" s="263">
        <v>0.6</v>
      </c>
      <c r="F45" s="263">
        <v>0</v>
      </c>
      <c r="G45" s="263">
        <v>0</v>
      </c>
      <c r="H45" s="263">
        <v>0.4</v>
      </c>
      <c r="I45" s="49">
        <f t="shared" si="1"/>
        <v>7.9920000000000018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1">
        <v>134</v>
      </c>
      <c r="B46" s="262">
        <v>436.59</v>
      </c>
      <c r="C46" s="262">
        <v>11</v>
      </c>
      <c r="D46" s="262">
        <v>54.95</v>
      </c>
      <c r="E46" s="263">
        <v>0.6</v>
      </c>
      <c r="F46" s="263">
        <v>0</v>
      </c>
      <c r="G46" s="263">
        <v>0</v>
      </c>
      <c r="H46" s="263">
        <v>0.4</v>
      </c>
      <c r="I46" s="49">
        <f t="shared" si="1"/>
        <v>8.0699999999999985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1">
        <v>144</v>
      </c>
      <c r="B47" s="262">
        <v>463.23</v>
      </c>
      <c r="C47" s="262">
        <v>12</v>
      </c>
      <c r="D47" s="262">
        <v>56.01</v>
      </c>
      <c r="E47" s="263">
        <v>0.6</v>
      </c>
      <c r="F47" s="263">
        <v>0</v>
      </c>
      <c r="G47" s="263">
        <v>0</v>
      </c>
      <c r="H47" s="263">
        <v>0.4</v>
      </c>
      <c r="I47" s="49">
        <f t="shared" si="1"/>
        <v>8.1590000000000025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1">
        <v>154</v>
      </c>
      <c r="B48" s="262">
        <v>490.47</v>
      </c>
      <c r="C48" s="262">
        <v>13</v>
      </c>
      <c r="D48" s="262">
        <v>55.13</v>
      </c>
      <c r="E48" s="263">
        <v>0.6</v>
      </c>
      <c r="F48" s="263">
        <v>0</v>
      </c>
      <c r="G48" s="263">
        <v>0</v>
      </c>
      <c r="H48" s="263">
        <v>0.4</v>
      </c>
      <c r="I48" s="49">
        <f t="shared" si="1"/>
        <v>8.3249999999999993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1">
        <v>164</v>
      </c>
      <c r="B49" s="262">
        <v>519.77</v>
      </c>
      <c r="C49" s="262">
        <v>14</v>
      </c>
      <c r="D49" s="262">
        <v>59.58</v>
      </c>
      <c r="E49" s="263">
        <v>0.6</v>
      </c>
      <c r="F49" s="263">
        <v>0</v>
      </c>
      <c r="G49" s="263">
        <v>0</v>
      </c>
      <c r="H49" s="263">
        <v>0.4</v>
      </c>
      <c r="I49" s="49">
        <f t="shared" si="1"/>
        <v>8.4429999999999943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174</v>
      </c>
      <c r="B50" s="262">
        <v>545.65</v>
      </c>
      <c r="C50" s="262">
        <v>15</v>
      </c>
      <c r="D50" s="262">
        <v>214.77</v>
      </c>
      <c r="E50" s="263">
        <v>0.6</v>
      </c>
      <c r="F50" s="263">
        <v>0</v>
      </c>
      <c r="G50" s="263">
        <v>0</v>
      </c>
      <c r="H50" s="263">
        <v>0.4</v>
      </c>
      <c r="I50" s="49">
        <f t="shared" si="1"/>
        <v>8.5459999999999976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177</v>
      </c>
      <c r="B51" s="262">
        <v>347.04</v>
      </c>
      <c r="C51" s="262">
        <v>16</v>
      </c>
      <c r="D51" s="262">
        <v>115.19</v>
      </c>
      <c r="E51" s="263">
        <v>0.6</v>
      </c>
      <c r="F51" s="263">
        <v>0</v>
      </c>
      <c r="G51" s="263">
        <v>0</v>
      </c>
      <c r="H51" s="263">
        <v>0.4</v>
      </c>
      <c r="I51" s="49">
        <f t="shared" si="1"/>
        <v>5.3866666666666747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180</v>
      </c>
      <c r="B52" s="262">
        <v>241.62</v>
      </c>
      <c r="C52" s="262">
        <v>17</v>
      </c>
      <c r="D52" s="262">
        <v>77.72</v>
      </c>
      <c r="E52" s="263">
        <v>0.6</v>
      </c>
      <c r="F52" s="263">
        <v>0</v>
      </c>
      <c r="G52" s="263">
        <v>0</v>
      </c>
      <c r="H52" s="263">
        <v>0.4</v>
      </c>
      <c r="I52" s="49">
        <f t="shared" si="1"/>
        <v>3.2566666666666606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183</v>
      </c>
      <c r="B53" s="262">
        <v>169.76</v>
      </c>
      <c r="C53" s="262">
        <v>18</v>
      </c>
      <c r="D53" s="262">
        <v>169.76</v>
      </c>
      <c r="E53" s="263">
        <v>0.6</v>
      </c>
      <c r="F53" s="263">
        <v>0</v>
      </c>
      <c r="G53" s="263">
        <v>0</v>
      </c>
      <c r="H53" s="263">
        <v>0.4</v>
      </c>
      <c r="I53" s="49">
        <f t="shared" si="1"/>
        <v>1.9533333333333285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Alisier torminal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6" t="s">
        <v>186</v>
      </c>
      <c r="D60" s="266"/>
      <c r="E60" s="267" t="s">
        <v>187</v>
      </c>
      <c r="F60" s="268"/>
      <c r="G60" s="268"/>
      <c r="H60" s="269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42</v>
      </c>
      <c r="B62" s="60">
        <v>163.26</v>
      </c>
      <c r="C62" s="60">
        <v>1</v>
      </c>
      <c r="D62" s="60">
        <v>43.21</v>
      </c>
      <c r="E62" s="51">
        <v>0.3</v>
      </c>
      <c r="F62" s="51">
        <v>0</v>
      </c>
      <c r="G62" s="51">
        <v>0</v>
      </c>
      <c r="H62" s="51">
        <v>0.7</v>
      </c>
      <c r="I62" s="53">
        <f>IFERROR(B62/A62,"")</f>
        <v>3.887142857142857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50</v>
      </c>
      <c r="B63" s="60">
        <v>195.02</v>
      </c>
      <c r="C63" s="60">
        <v>2</v>
      </c>
      <c r="D63" s="60">
        <v>35.58</v>
      </c>
      <c r="E63" s="51">
        <v>0.3</v>
      </c>
      <c r="F63" s="51">
        <v>0</v>
      </c>
      <c r="G63" s="51">
        <v>0</v>
      </c>
      <c r="H63" s="51">
        <v>0.7</v>
      </c>
      <c r="I63" s="49">
        <f>IF(A63&lt;&gt;0,(B63-(B62-D62))/(A63-A62),"")</f>
        <v>9.3712500000000034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58</v>
      </c>
      <c r="B64" s="60">
        <v>235.87</v>
      </c>
      <c r="C64" s="60">
        <v>3</v>
      </c>
      <c r="D64" s="60">
        <v>44.93</v>
      </c>
      <c r="E64" s="51">
        <v>0.3</v>
      </c>
      <c r="F64" s="51">
        <v>0</v>
      </c>
      <c r="G64" s="51">
        <v>0</v>
      </c>
      <c r="H64" s="51">
        <v>0.7</v>
      </c>
      <c r="I64" s="49">
        <f>IF(A64&lt;&gt;0,(B64-(B63-D63))/(A64-A63),"")</f>
        <v>9.5537500000000009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66</v>
      </c>
      <c r="B65" s="60">
        <v>264.95999999999998</v>
      </c>
      <c r="C65" s="60">
        <v>4</v>
      </c>
      <c r="D65" s="60">
        <v>49.91</v>
      </c>
      <c r="E65" s="51">
        <v>0.6</v>
      </c>
      <c r="F65" s="51">
        <v>0</v>
      </c>
      <c r="G65" s="51">
        <v>0</v>
      </c>
      <c r="H65" s="51">
        <v>0.4</v>
      </c>
      <c r="I65" s="49">
        <f>IF(A65&lt;&gt;0,(B65-(B64-D64))/(A65-A64),"")</f>
        <v>9.2524999999999977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74</v>
      </c>
      <c r="B66" s="60">
        <v>285.98</v>
      </c>
      <c r="C66" s="60">
        <v>5</v>
      </c>
      <c r="D66" s="60">
        <v>47.4</v>
      </c>
      <c r="E66" s="51">
        <v>0.6</v>
      </c>
      <c r="F66" s="51">
        <v>0</v>
      </c>
      <c r="G66" s="51">
        <v>0</v>
      </c>
      <c r="H66" s="51">
        <v>0.4</v>
      </c>
      <c r="I66" s="49">
        <f t="shared" ref="I66:I81" si="2">IF(A66&lt;&gt;0,(B66-(B65-D65))/(A66-A65),"")</f>
        <v>8.8662500000000044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84</v>
      </c>
      <c r="B67" s="60">
        <v>325.35000000000002</v>
      </c>
      <c r="C67" s="60">
        <v>6</v>
      </c>
      <c r="D67" s="60">
        <v>61.47</v>
      </c>
      <c r="E67" s="51">
        <v>0.6</v>
      </c>
      <c r="F67" s="51">
        <v>0</v>
      </c>
      <c r="G67" s="51">
        <v>0</v>
      </c>
      <c r="H67" s="51">
        <v>0.4</v>
      </c>
      <c r="I67" s="49">
        <f t="shared" si="2"/>
        <v>8.6770000000000014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94</v>
      </c>
      <c r="B68" s="60">
        <v>346.79</v>
      </c>
      <c r="C68" s="60">
        <v>7</v>
      </c>
      <c r="D68" s="60">
        <v>61.85</v>
      </c>
      <c r="E68" s="51">
        <v>0.6</v>
      </c>
      <c r="F68" s="51">
        <v>0</v>
      </c>
      <c r="G68" s="51">
        <v>0</v>
      </c>
      <c r="H68" s="51">
        <v>0.4</v>
      </c>
      <c r="I68" s="49">
        <f t="shared" si="2"/>
        <v>8.2910000000000021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104</v>
      </c>
      <c r="B69" s="50">
        <v>365.41</v>
      </c>
      <c r="C69" s="50">
        <v>8</v>
      </c>
      <c r="D69" s="50">
        <v>60.19</v>
      </c>
      <c r="E69" s="51">
        <v>0.6</v>
      </c>
      <c r="F69" s="51">
        <v>0</v>
      </c>
      <c r="G69" s="51">
        <v>0</v>
      </c>
      <c r="H69" s="51">
        <v>0.4</v>
      </c>
      <c r="I69" s="49">
        <f t="shared" si="2"/>
        <v>8.0470000000000024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114</v>
      </c>
      <c r="B70" s="50">
        <v>384.57</v>
      </c>
      <c r="C70" s="50">
        <v>9</v>
      </c>
      <c r="D70" s="50">
        <v>56.07</v>
      </c>
      <c r="E70" s="51">
        <v>0.6</v>
      </c>
      <c r="F70" s="51">
        <v>0</v>
      </c>
      <c r="G70" s="51">
        <v>0</v>
      </c>
      <c r="H70" s="51">
        <v>0.4</v>
      </c>
      <c r="I70" s="49">
        <f t="shared" si="2"/>
        <v>7.9349999999999969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124</v>
      </c>
      <c r="B71" s="50">
        <v>408.42</v>
      </c>
      <c r="C71" s="50">
        <v>10</v>
      </c>
      <c r="D71" s="50">
        <v>52.53</v>
      </c>
      <c r="E71" s="51">
        <v>0.6</v>
      </c>
      <c r="F71" s="51">
        <v>0</v>
      </c>
      <c r="G71" s="51">
        <v>0</v>
      </c>
      <c r="H71" s="51">
        <v>0.4</v>
      </c>
      <c r="I71" s="49">
        <f t="shared" si="2"/>
        <v>7.9920000000000018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134</v>
      </c>
      <c r="B72" s="50">
        <v>436.59</v>
      </c>
      <c r="C72" s="50">
        <v>11</v>
      </c>
      <c r="D72" s="50">
        <v>54.95</v>
      </c>
      <c r="E72" s="51">
        <v>0.6</v>
      </c>
      <c r="F72" s="51">
        <v>0</v>
      </c>
      <c r="G72" s="51">
        <v>0</v>
      </c>
      <c r="H72" s="51">
        <v>0.4</v>
      </c>
      <c r="I72" s="49">
        <f t="shared" si="2"/>
        <v>8.0699999999999985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144</v>
      </c>
      <c r="B73" s="50">
        <v>463.23</v>
      </c>
      <c r="C73" s="50">
        <v>12</v>
      </c>
      <c r="D73" s="50">
        <v>56.01</v>
      </c>
      <c r="E73" s="51">
        <v>0.6</v>
      </c>
      <c r="F73" s="51">
        <v>0</v>
      </c>
      <c r="G73" s="51">
        <v>0</v>
      </c>
      <c r="H73" s="51">
        <v>0.4</v>
      </c>
      <c r="I73" s="49">
        <f t="shared" si="2"/>
        <v>8.1590000000000025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154</v>
      </c>
      <c r="B74" s="50">
        <v>490.47</v>
      </c>
      <c r="C74" s="50">
        <v>13</v>
      </c>
      <c r="D74" s="50">
        <v>55.13</v>
      </c>
      <c r="E74" s="51">
        <v>0.6</v>
      </c>
      <c r="F74" s="51">
        <v>0</v>
      </c>
      <c r="G74" s="51">
        <v>0</v>
      </c>
      <c r="H74" s="51">
        <v>0.4</v>
      </c>
      <c r="I74" s="49">
        <f t="shared" si="2"/>
        <v>8.3249999999999993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164</v>
      </c>
      <c r="B75" s="50">
        <v>519.77</v>
      </c>
      <c r="C75" s="50">
        <v>14</v>
      </c>
      <c r="D75" s="50">
        <v>59.58</v>
      </c>
      <c r="E75" s="51">
        <v>0.6</v>
      </c>
      <c r="F75" s="51">
        <v>0</v>
      </c>
      <c r="G75" s="51">
        <v>0</v>
      </c>
      <c r="H75" s="51">
        <v>0.4</v>
      </c>
      <c r="I75" s="49">
        <f t="shared" si="2"/>
        <v>8.4429999999999943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174</v>
      </c>
      <c r="B76" s="50">
        <v>545.65</v>
      </c>
      <c r="C76" s="50">
        <v>15</v>
      </c>
      <c r="D76" s="50">
        <v>214.77</v>
      </c>
      <c r="E76" s="51">
        <v>0.6</v>
      </c>
      <c r="F76" s="51">
        <v>0</v>
      </c>
      <c r="G76" s="51">
        <v>0</v>
      </c>
      <c r="H76" s="51">
        <v>0.4</v>
      </c>
      <c r="I76" s="49">
        <f t="shared" si="2"/>
        <v>8.5459999999999976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177</v>
      </c>
      <c r="B77" s="50">
        <v>347.04</v>
      </c>
      <c r="C77" s="50">
        <v>16</v>
      </c>
      <c r="D77" s="50">
        <v>115.19</v>
      </c>
      <c r="E77" s="51">
        <v>0.6</v>
      </c>
      <c r="F77" s="51">
        <v>0</v>
      </c>
      <c r="G77" s="51">
        <v>0</v>
      </c>
      <c r="H77" s="51">
        <v>0.4</v>
      </c>
      <c r="I77" s="49">
        <f t="shared" si="2"/>
        <v>5.3866666666666747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180</v>
      </c>
      <c r="B78" s="50">
        <v>241.62</v>
      </c>
      <c r="C78" s="50">
        <v>17</v>
      </c>
      <c r="D78" s="50">
        <v>77.72</v>
      </c>
      <c r="E78" s="51">
        <v>0.6</v>
      </c>
      <c r="F78" s="51">
        <v>0</v>
      </c>
      <c r="G78" s="51">
        <v>0</v>
      </c>
      <c r="H78" s="51">
        <v>0.4</v>
      </c>
      <c r="I78" s="49">
        <f t="shared" si="2"/>
        <v>3.2566666666666606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>
        <v>183</v>
      </c>
      <c r="B79" s="50">
        <v>169.76</v>
      </c>
      <c r="C79" s="50">
        <v>18</v>
      </c>
      <c r="D79" s="50">
        <v>169.76</v>
      </c>
      <c r="E79" s="51">
        <v>0.6</v>
      </c>
      <c r="F79" s="51">
        <v>0</v>
      </c>
      <c r="G79" s="51">
        <v>0</v>
      </c>
      <c r="H79" s="51">
        <v>0.4</v>
      </c>
      <c r="I79" s="49">
        <f t="shared" si="2"/>
        <v>1.9533333333333285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Cèdre de l'Atlas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6" t="s">
        <v>186</v>
      </c>
      <c r="D86" s="266"/>
      <c r="E86" s="267" t="s">
        <v>187</v>
      </c>
      <c r="F86" s="268"/>
      <c r="G86" s="268"/>
      <c r="H86" s="269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51</v>
      </c>
      <c r="B88" s="60">
        <v>390.67</v>
      </c>
      <c r="C88" s="60">
        <v>1</v>
      </c>
      <c r="D88" s="60">
        <v>171.3</v>
      </c>
      <c r="E88" s="51">
        <v>0.7</v>
      </c>
      <c r="F88" s="51">
        <v>0.3</v>
      </c>
      <c r="G88" s="51">
        <v>0</v>
      </c>
      <c r="H88" s="87">
        <v>0</v>
      </c>
      <c r="I88" s="53">
        <f>IFERROR(B88/A88,"")</f>
        <v>7.6601960784313725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61</v>
      </c>
      <c r="B89" s="60">
        <v>348.21</v>
      </c>
      <c r="C89" s="60">
        <v>2</v>
      </c>
      <c r="D89" s="60">
        <v>100.2</v>
      </c>
      <c r="E89" s="51">
        <v>0.7</v>
      </c>
      <c r="F89" s="51">
        <v>0.3</v>
      </c>
      <c r="G89" s="51">
        <v>0</v>
      </c>
      <c r="H89" s="87">
        <v>0</v>
      </c>
      <c r="I89" s="53">
        <f t="shared" ref="I89:I107" si="3">IF(A89&lt;&gt;0,(B89-(B88-D88))/(A89-A88),"")</f>
        <v>12.883999999999997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73</v>
      </c>
      <c r="B90" s="60">
        <v>390.43</v>
      </c>
      <c r="C90" s="60">
        <v>3</v>
      </c>
      <c r="D90" s="60">
        <v>102.1</v>
      </c>
      <c r="E90" s="87">
        <v>0.7</v>
      </c>
      <c r="F90" s="87">
        <v>0.3</v>
      </c>
      <c r="G90" s="87">
        <v>0</v>
      </c>
      <c r="H90" s="87">
        <v>0</v>
      </c>
      <c r="I90" s="53">
        <f t="shared" si="3"/>
        <v>11.868333333333334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85</v>
      </c>
      <c r="B91" s="60">
        <v>420.16</v>
      </c>
      <c r="C91" s="60">
        <v>4</v>
      </c>
      <c r="D91" s="60">
        <v>94.69</v>
      </c>
      <c r="E91" s="87">
        <v>0.7</v>
      </c>
      <c r="F91" s="87">
        <v>0.3</v>
      </c>
      <c r="G91" s="87">
        <v>0</v>
      </c>
      <c r="H91" s="87">
        <v>0</v>
      </c>
      <c r="I91" s="53">
        <f t="shared" si="3"/>
        <v>10.985833333333332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97</v>
      </c>
      <c r="B92" s="60">
        <v>446.19</v>
      </c>
      <c r="C92" s="60">
        <v>5</v>
      </c>
      <c r="D92" s="60">
        <v>89.6</v>
      </c>
      <c r="E92" s="87">
        <v>0.7</v>
      </c>
      <c r="F92" s="87">
        <v>0.3</v>
      </c>
      <c r="G92" s="87">
        <v>0</v>
      </c>
      <c r="H92" s="87">
        <v>0</v>
      </c>
      <c r="I92" s="53">
        <f t="shared" si="3"/>
        <v>10.059999999999997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109</v>
      </c>
      <c r="B93" s="60">
        <v>465.16</v>
      </c>
      <c r="C93" s="60">
        <v>6</v>
      </c>
      <c r="D93" s="60">
        <v>91.09</v>
      </c>
      <c r="E93" s="87">
        <v>0.7</v>
      </c>
      <c r="F93" s="87">
        <v>0.3</v>
      </c>
      <c r="G93" s="87">
        <v>0</v>
      </c>
      <c r="H93" s="87">
        <v>0</v>
      </c>
      <c r="I93" s="53">
        <f t="shared" si="3"/>
        <v>9.0474999999999994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121</v>
      </c>
      <c r="B94" s="60">
        <v>471.22</v>
      </c>
      <c r="C94" s="60">
        <v>7</v>
      </c>
      <c r="D94" s="60">
        <v>233.54</v>
      </c>
      <c r="E94" s="87">
        <v>0.7</v>
      </c>
      <c r="F94" s="87">
        <v>0.3</v>
      </c>
      <c r="G94" s="87">
        <v>0</v>
      </c>
      <c r="H94" s="87">
        <v>0</v>
      </c>
      <c r="I94" s="53">
        <f t="shared" si="3"/>
        <v>8.0958333333333314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131</v>
      </c>
      <c r="B95" s="60">
        <v>294.08999999999997</v>
      </c>
      <c r="C95" s="60">
        <v>8</v>
      </c>
      <c r="D95" s="60">
        <v>294.08999999999997</v>
      </c>
      <c r="E95" s="87">
        <v>0.7</v>
      </c>
      <c r="F95" s="87">
        <v>0.3</v>
      </c>
      <c r="G95" s="87">
        <v>0</v>
      </c>
      <c r="H95" s="87">
        <v>0</v>
      </c>
      <c r="I95" s="53">
        <f t="shared" si="3"/>
        <v>5.6409999999999938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6" t="s">
        <v>186</v>
      </c>
      <c r="D112" s="266"/>
      <c r="E112" s="267" t="s">
        <v>187</v>
      </c>
      <c r="F112" s="268"/>
      <c r="G112" s="268"/>
      <c r="H112" s="269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6" t="s">
        <v>186</v>
      </c>
      <c r="D138" s="266"/>
      <c r="E138" s="267" t="s">
        <v>187</v>
      </c>
      <c r="F138" s="268"/>
      <c r="G138" s="268"/>
      <c r="H138" s="269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6" t="s">
        <v>186</v>
      </c>
      <c r="D164" s="266"/>
      <c r="E164" s="267" t="s">
        <v>187</v>
      </c>
      <c r="F164" s="268"/>
      <c r="G164" s="268"/>
      <c r="H164" s="269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6" t="s">
        <v>186</v>
      </c>
      <c r="D190" s="266"/>
      <c r="E190" s="267" t="s">
        <v>187</v>
      </c>
      <c r="F190" s="268"/>
      <c r="G190" s="268"/>
      <c r="H190" s="269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6" t="s">
        <v>186</v>
      </c>
      <c r="D216" s="266"/>
      <c r="E216" s="267" t="s">
        <v>187</v>
      </c>
      <c r="F216" s="268"/>
      <c r="G216" s="268"/>
      <c r="H216" s="269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6" t="s">
        <v>186</v>
      </c>
      <c r="D242" s="266"/>
      <c r="E242" s="267" t="s">
        <v>187</v>
      </c>
      <c r="F242" s="268"/>
      <c r="G242" s="268"/>
      <c r="H242" s="269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6" t="s">
        <v>186</v>
      </c>
      <c r="D268" s="266"/>
      <c r="E268" s="267" t="s">
        <v>187</v>
      </c>
      <c r="F268" s="268"/>
      <c r="G268" s="268"/>
      <c r="H268" s="269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1" sqref="C21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0" t="s">
        <v>191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0.49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0.51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6" t="s">
        <v>176</v>
      </c>
      <c r="C1" s="287"/>
      <c r="D1" s="287"/>
      <c r="E1" s="287"/>
      <c r="F1" s="287"/>
      <c r="G1" s="287"/>
      <c r="H1" s="288"/>
      <c r="I1" s="283" t="str">
        <f>IF('Données projet'!$B$9="","",'Données projet'!$B$9)</f>
        <v>Chêne pubescent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5"/>
      <c r="AD1" s="284" t="str">
        <f>IF('Données projet'!$B$10="","",'Données projet'!$B$10)</f>
        <v>Alisier torminal</v>
      </c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5"/>
      <c r="AY1" s="283" t="str">
        <f>IF('Données projet'!$B$11="","",'Données projet'!$B$11)</f>
        <v>Cèdre de l'Atlas</v>
      </c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5"/>
      <c r="BT1" s="283" t="str">
        <f>IF('Données projet'!$B$12="","",'Données projet'!$B$12)</f>
        <v/>
      </c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5"/>
      <c r="CO1" s="283" t="str">
        <f>IF('Données projet'!$B$13="","",'Données projet'!$B$13)</f>
        <v/>
      </c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5"/>
      <c r="DJ1" s="283" t="str">
        <f>IF('Données projet'!$B$14="","",'Données projet'!$B$14)</f>
        <v/>
      </c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5"/>
      <c r="EE1" s="283" t="str">
        <f>IF('Données projet'!$B$15="","",'Données projet'!$B$15)</f>
        <v/>
      </c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5"/>
      <c r="EZ1" s="283" t="str">
        <f>IF('Données projet'!$B$16="","",'Données projet'!$B$16)</f>
        <v/>
      </c>
      <c r="FA1" s="284"/>
      <c r="FB1" s="284"/>
      <c r="FC1" s="284"/>
      <c r="FD1" s="284"/>
      <c r="FE1" s="284"/>
      <c r="FF1" s="284"/>
      <c r="FG1" s="284"/>
      <c r="FH1" s="284"/>
      <c r="FI1" s="284"/>
      <c r="FJ1" s="284"/>
      <c r="FK1" s="284"/>
      <c r="FL1" s="284"/>
      <c r="FM1" s="284"/>
      <c r="FN1" s="284"/>
      <c r="FO1" s="284"/>
      <c r="FP1" s="284"/>
      <c r="FQ1" s="284"/>
      <c r="FR1" s="284"/>
      <c r="FS1" s="284"/>
      <c r="FT1" s="285"/>
      <c r="FU1" s="283" t="str">
        <f>IF('Données projet'!$B$17="","",'Données projet'!$B$17)</f>
        <v/>
      </c>
      <c r="FV1" s="284"/>
      <c r="FW1" s="284"/>
      <c r="FX1" s="284"/>
      <c r="FY1" s="284"/>
      <c r="FZ1" s="284"/>
      <c r="GA1" s="284"/>
      <c r="GB1" s="284"/>
      <c r="GC1" s="284"/>
      <c r="GD1" s="284"/>
      <c r="GE1" s="284"/>
      <c r="GF1" s="284"/>
      <c r="GG1" s="284"/>
      <c r="GH1" s="284"/>
      <c r="GI1" s="284"/>
      <c r="GJ1" s="284"/>
      <c r="GK1" s="284"/>
      <c r="GL1" s="284"/>
      <c r="GM1" s="284"/>
      <c r="GN1" s="284"/>
      <c r="GO1" s="285"/>
      <c r="GP1" s="283" t="str">
        <f>IF('Données projet'!$B$18="","",'Données projet'!$B$18)</f>
        <v/>
      </c>
      <c r="GQ1" s="284"/>
      <c r="GR1" s="284"/>
      <c r="GS1" s="284"/>
      <c r="GT1" s="284"/>
      <c r="GU1" s="284"/>
      <c r="GV1" s="284"/>
      <c r="GW1" s="284"/>
      <c r="GX1" s="284"/>
      <c r="GY1" s="284"/>
      <c r="GZ1" s="284"/>
      <c r="HA1" s="284"/>
      <c r="HB1" s="284"/>
      <c r="HC1" s="284"/>
      <c r="HD1" s="284"/>
      <c r="HE1" s="284"/>
      <c r="HF1" s="284"/>
      <c r="HG1" s="284"/>
      <c r="HH1" s="284"/>
      <c r="HI1" s="284"/>
      <c r="HJ1" s="285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2.4500000000000002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8.9833333333333343</v>
      </c>
      <c r="H3" s="67">
        <f>(B3+E3+F3)*44/12+(C3+D3)*0.475*44/12</f>
        <v>220.73333333333335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57.75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211.75</v>
      </c>
      <c r="S3" s="59">
        <f ca="1">AVERAGE(OFFSET($R$3,0,0,'Données projet'!$E$9+1,1))-AVERAGE(OFFSET($H$3,0,0,'Données projet'!$E$9+1,1))</f>
        <v>668.93155285055116</v>
      </c>
      <c r="T3" s="59">
        <f>IF('Données projet'!E9&gt;30,$R$33-$H$33,LOOKUP('Données projet'!$E$9,$A$3:$A$203,R3:R203)-LOOKUP('Données projet'!$E$9,$A$3:$A$203,$H$3:$H$203))</f>
        <v>306.43050420339659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57.75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211.75</v>
      </c>
      <c r="AN3" s="59">
        <f ca="1">AVERAGE(OFFSET($AM$3,0,0,'Données projet'!$E$10+1,1))-AVERAGE(OFFSET($H$3,0,0,'Données projet'!$E$10+1,1))</f>
        <v>641.25537514609562</v>
      </c>
      <c r="AO3" s="59">
        <f>IF('Données projet'!E10&gt;30,$AM$33-$H$33,LOOKUP('Données projet'!$E$10,$A$3:$A$203,AM3:AM203)-LOOKUP('Données projet'!$E$10,$A$3:$A$203,$H$3:$H$203))</f>
        <v>294.69846357521487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57.75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211.75</v>
      </c>
      <c r="BI3" s="59">
        <f ca="1">AVERAGE(OFFSET($BH$3,0,0,'Données projet'!$E$11+1,1))-AVERAGE(OFFSET($H$3,0,0,'Données projet'!$E$11+1,1))</f>
        <v>351.46787950120347</v>
      </c>
      <c r="BJ3" s="59">
        <f>IF('Données projet'!E11&gt;30,$BH$33-$H$33,LOOKUP('Données projet'!$E$11,$A$3:$A$203,BH3:BH203)-LOOKUP('Données projet'!$E$11,$A$3:$A$203,$H$3:$H$203))</f>
        <v>283.42185695241858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57.75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57.75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57.75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57.75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57.75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57.75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57.75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2.4500000000000002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8.9833333333333343</v>
      </c>
      <c r="H4" s="67">
        <f t="shared" ref="H4:H67" si="1">(B4+E4+F4)*44/12+(C4+D4)*0.475*44/12</f>
        <v>220.73333333333335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57.962510113102852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3.887142857142857</v>
      </c>
      <c r="N4" s="13">
        <f>IF('Données projet'!$A$36&gt;35,N3+M4-V3,IF(A4&lt;'Données projet'!$A$36,$K$205^A4,IF(A4='Données projet'!$A$36,'Données projet'!$B$36,N3+M4-V3)))</f>
        <v>3.887142857142857</v>
      </c>
      <c r="O4" s="13">
        <f>N4*VLOOKUP('Données projet'!$B$9,Paramètres!$A$1:$I$89,3,0)*VLOOKUP('Données projet'!$B$9,Paramètres!$A$1:$I$89,5,0)</f>
        <v>3.9415628571428569</v>
      </c>
      <c r="P4" s="13">
        <f>EXP(-1.0587+0.8836*LN(O4)+0.284)</f>
        <v>1.5484055284644385</v>
      </c>
      <c r="Q4" s="20">
        <f t="shared" ref="Q4:Q34" si="2">(O4+P4)*0.475*44/12</f>
        <v>9.5616949382660383</v>
      </c>
      <c r="R4" s="59">
        <f t="shared" si="0"/>
        <v>223.31312090853206</v>
      </c>
      <c r="S4" s="59">
        <f ca="1">AVERAGE(OFFSET($R$3,0,0,'Données projet'!$E$9+1,1))-AVERAGE(OFFSET($H$3,0,0,'Données projet'!$E$9+1,1))</f>
        <v>668.93155285055116</v>
      </c>
      <c r="T4" s="59">
        <f>$T$3</f>
        <v>306.43050420339659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57.962510113102852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3.887142857142857</v>
      </c>
      <c r="AI4" s="13">
        <f>IF('Données projet'!$A$62&gt;35,AI3+AH4-AQ3,IF(A4&lt;'Données projet'!$A$62,$AF$205^A4,IF(A4='Données projet'!$A$62,'Données projet'!$B$62,AI3+AH4-AQ3)))</f>
        <v>3.887142857142857</v>
      </c>
      <c r="AJ4" s="13">
        <f>AI4*VLOOKUP('Données projet'!$B$10,Paramètres!$A$1:$I$89,3,0)*VLOOKUP('Données projet'!$B$10,Paramètres!$A$1:$I$89,5,0)</f>
        <v>3.7596445714285713</v>
      </c>
      <c r="AK4" s="13">
        <f>EXP(-1.0587+0.8836*LN(AJ4)+0.284)</f>
        <v>1.4850865614549704</v>
      </c>
      <c r="AL4" s="20">
        <f t="shared" ref="AL4:AL67" si="4">(AJ4+AK4)*0.475*44/12</f>
        <v>9.1345733897721697</v>
      </c>
      <c r="AM4" s="59">
        <f t="shared" ref="AM4:AM67" si="5">AL4+(AD4+AE4)*44/12</f>
        <v>222.88599936003817</v>
      </c>
      <c r="AN4" s="59">
        <f ca="1">AVERAGE(OFFSET($AM$3,0,0,'Données projet'!$E$10+1,1))-AVERAGE(OFFSET($H$3,0,0,'Données projet'!$E$10+1,1))</f>
        <v>641.25537514609562</v>
      </c>
      <c r="AO4" s="59">
        <f>$AO$3</f>
        <v>294.69846357521487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57.962510113102852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7.6601960784313725</v>
      </c>
      <c r="BD4" s="12">
        <f>IF('Données projet'!$A$88&gt;35,BD3+BC4-BL3,IF(A4&lt;'Données projet'!$A$88,$BA$205^A4,IF(A4='Données projet'!$A$88,'Données projet'!$B$88,BD3+BC4-BL3)))</f>
        <v>7.6601960784313725</v>
      </c>
      <c r="BE4" s="13">
        <f>BD4*VLOOKUP('Données projet'!$B$11,Paramètres!$A$1:$I$89,3,0)*VLOOKUP('Données projet'!$B$11,Paramètres!$A$1:$I$89,5,0)</f>
        <v>3.5849717647058821</v>
      </c>
      <c r="BF4" s="13">
        <f>EXP(-1.0587+0.8836*LN(BE4)+0.284)</f>
        <v>1.4239530307926282</v>
      </c>
      <c r="BG4" s="20">
        <f t="shared" ref="BG4:BG67" si="7">(BE4+BF4)*0.475*44/12</f>
        <v>8.7238773521599047</v>
      </c>
      <c r="BH4" s="59">
        <f t="shared" ref="BH4:BH67" si="8">BG4+(AY4+AZ4)*44/12</f>
        <v>222.47530332242593</v>
      </c>
      <c r="BI4" s="59">
        <f ca="1">AVERAGE(OFFSET($BH$3,0,0,'Données projet'!$E$11+1,1))-AVERAGE(OFFSET($H$3,0,0,'Données projet'!$E$11+1,1))</f>
        <v>351.46787950120347</v>
      </c>
      <c r="BJ4" s="59">
        <f>$BJ$3</f>
        <v>283.42185695241858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57.962510113102852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57.962510113102852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57.962510113102852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57.962510113102852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57.962510113102852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57.962510113102852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57.962510113102852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2.4500000000000002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8.9833333333333343</v>
      </c>
      <c r="H5" s="67">
        <f t="shared" si="1"/>
        <v>220.73333333333335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58.171333650844815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3.887142857142857</v>
      </c>
      <c r="N5" s="13">
        <f>IF('Données projet'!$A$36&gt;35,N4+M5-V4,IF(A5&lt;'Données projet'!$A$36,$K$205^A5,IF(A5='Données projet'!$A$36,'Données projet'!$B$36,N4+M5-V4)))</f>
        <v>7.774285714285714</v>
      </c>
      <c r="O5" s="13">
        <f>N5*VLOOKUP('Données projet'!$B$9,Paramètres!$A$1:$I$89,3,0)*VLOOKUP('Données projet'!$B$9,Paramètres!$A$1:$I$89,5,0)</f>
        <v>7.8831257142857138</v>
      </c>
      <c r="P5" s="13">
        <f t="shared" ref="P5:P68" si="33">EXP(-1.0587+0.8836*LN(O5)+0.284)</f>
        <v>2.8567669801437421</v>
      </c>
      <c r="Q5" s="20">
        <f t="shared" si="2"/>
        <v>18.705313109464633</v>
      </c>
      <c r="R5" s="59">
        <f t="shared" si="0"/>
        <v>234.44464760700674</v>
      </c>
      <c r="S5" s="59">
        <f ca="1">AVERAGE(OFFSET($R$3,0,0,'Données projet'!$E$9+1,1))-AVERAGE(OFFSET($H$3,0,0,'Données projet'!$E$9+1,1))</f>
        <v>668.93155285055116</v>
      </c>
      <c r="T5" s="59">
        <f t="shared" ref="T5:T68" si="34">$T$3</f>
        <v>306.43050420339659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58.171333650844815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3.887142857142857</v>
      </c>
      <c r="AI5" s="13">
        <f>IF('Données projet'!$A$62&gt;35,AI4+AH5-AQ4,IF(A5&lt;'Données projet'!$A$62,$AF$205^A5,IF(A5='Données projet'!$A$62,'Données projet'!$B$62,AI4+AH5-AQ4)))</f>
        <v>7.774285714285714</v>
      </c>
      <c r="AJ5" s="13">
        <f>AI5*VLOOKUP('Données projet'!$B$10,Paramètres!$A$1:$I$89,3,0)*VLOOKUP('Données projet'!$B$10,Paramètres!$A$1:$I$89,5,0)</f>
        <v>7.5192891428571427</v>
      </c>
      <c r="AK5" s="13">
        <f t="shared" ref="AK5:AK68" si="35">EXP(-1.0587+0.8836*LN(AJ5)+0.284)</f>
        <v>2.7399451716160708</v>
      </c>
      <c r="AL5" s="20">
        <f t="shared" si="4"/>
        <v>17.868166431040844</v>
      </c>
      <c r="AM5" s="59">
        <f t="shared" si="5"/>
        <v>233.60750092858294</v>
      </c>
      <c r="AN5" s="59">
        <f ca="1">AVERAGE(OFFSET($AM$3,0,0,'Données projet'!$E$10+1,1))-AVERAGE(OFFSET($H$3,0,0,'Données projet'!$E$10+1,1))</f>
        <v>641.25537514609562</v>
      </c>
      <c r="AO5" s="59">
        <f t="shared" ref="AO5:AO68" si="36">$AO$3</f>
        <v>294.69846357521487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58.171333650844815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7.6601960784313725</v>
      </c>
      <c r="BD5" s="12">
        <f>IF('Données projet'!$A$88&gt;35,BD4+BC5-BL4,IF(A5&lt;'Données projet'!$A$88,$BA$205^A5,IF(A5='Données projet'!$A$88,'Données projet'!$B$88,BD4+BC5-BL4)))</f>
        <v>15.320392156862745</v>
      </c>
      <c r="BE5" s="13">
        <f>BD5*VLOOKUP('Données projet'!$B$11,Paramètres!$A$1:$I$89,3,0)*VLOOKUP('Données projet'!$B$11,Paramètres!$A$1:$I$89,5,0)</f>
        <v>7.1699435294117642</v>
      </c>
      <c r="BF5" s="13">
        <f t="shared" ref="BF5:BF68" si="37">EXP(-1.0587+0.8836*LN(BE5)+0.284)</f>
        <v>2.6271554349706712</v>
      </c>
      <c r="BG5" s="20">
        <f t="shared" si="7"/>
        <v>17.063280696299408</v>
      </c>
      <c r="BH5" s="59">
        <f t="shared" si="8"/>
        <v>232.80261519384152</v>
      </c>
      <c r="BI5" s="59">
        <f ca="1">AVERAGE(OFFSET($BH$3,0,0,'Données projet'!$E$11+1,1))-AVERAGE(OFFSET($H$3,0,0,'Données projet'!$E$11+1,1))</f>
        <v>351.46787950120347</v>
      </c>
      <c r="BJ5" s="59">
        <f t="shared" ref="BJ5:BJ68" si="38">$BJ$3</f>
        <v>283.42185695241858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58.171333650844815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58.171333650844815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58.171333650844815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58.171333650844815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58.171333650844815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58.171333650844815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58.171333650844815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2.4500000000000002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8.9833333333333343</v>
      </c>
      <c r="H6" s="67">
        <f t="shared" si="1"/>
        <v>220.73333333333335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58.376534567066436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3.887142857142857</v>
      </c>
      <c r="N6" s="13">
        <f>IF('Données projet'!$A$36&gt;35,N5+M6-V5,IF(A6&lt;'Données projet'!$A$36,$K$205^A6,IF(A6='Données projet'!$A$36,'Données projet'!$B$36,N5+M6-V5)))</f>
        <v>11.661428571428571</v>
      </c>
      <c r="O6" s="13">
        <f>N6*VLOOKUP('Données projet'!$B$9,Paramètres!$A$1:$I$89,3,0)*VLOOKUP('Données projet'!$B$9,Paramètres!$A$1:$I$89,5,0)</f>
        <v>11.824688571428572</v>
      </c>
      <c r="P6" s="13">
        <f t="shared" si="33"/>
        <v>4.0876062444803347</v>
      </c>
      <c r="Q6" s="20">
        <f t="shared" si="2"/>
        <v>27.713913471041348</v>
      </c>
      <c r="R6" s="59">
        <f t="shared" si="0"/>
        <v>245.42787355028494</v>
      </c>
      <c r="S6" s="59">
        <f ca="1">AVERAGE(OFFSET($R$3,0,0,'Données projet'!$E$9+1,1))-AVERAGE(OFFSET($H$3,0,0,'Données projet'!$E$9+1,1))</f>
        <v>668.93155285055116</v>
      </c>
      <c r="T6" s="59">
        <f t="shared" si="34"/>
        <v>306.43050420339659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58.376534567066436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3.887142857142857</v>
      </c>
      <c r="AI6" s="13">
        <f>IF('Données projet'!$A$62&gt;35,AI5+AH6-AQ5,IF(A6&lt;'Données projet'!$A$62,$AF$205^A6,IF(A6='Données projet'!$A$62,'Données projet'!$B$62,AI5+AH6-AQ5)))</f>
        <v>11.661428571428571</v>
      </c>
      <c r="AJ6" s="13">
        <f>AI6*VLOOKUP('Données projet'!$B$10,Paramètres!$A$1:$I$89,3,0)*VLOOKUP('Données projet'!$B$10,Paramètres!$A$1:$I$89,5,0)</f>
        <v>11.278933714285714</v>
      </c>
      <c r="AK6" s="13">
        <f t="shared" si="35"/>
        <v>3.9204517102294627</v>
      </c>
      <c r="AL6" s="20">
        <f t="shared" si="4"/>
        <v>26.472262947697264</v>
      </c>
      <c r="AM6" s="59">
        <f t="shared" si="5"/>
        <v>244.18622302694087</v>
      </c>
      <c r="AN6" s="59">
        <f ca="1">AVERAGE(OFFSET($AM$3,0,0,'Données projet'!$E$10+1,1))-AVERAGE(OFFSET($H$3,0,0,'Données projet'!$E$10+1,1))</f>
        <v>641.25537514609562</v>
      </c>
      <c r="AO6" s="59">
        <f t="shared" si="36"/>
        <v>294.69846357521487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58.376534567066436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7.6601960784313725</v>
      </c>
      <c r="BD6" s="12">
        <f>IF('Données projet'!$A$88&gt;35,BD5+BC6-BL5,IF(A6&lt;'Données projet'!$A$88,$BA$205^A6,IF(A6='Données projet'!$A$88,'Données projet'!$B$88,BD5+BC6-BL5)))</f>
        <v>22.980588235294118</v>
      </c>
      <c r="BE6" s="13">
        <f>BD6*VLOOKUP('Données projet'!$B$11,Paramètres!$A$1:$I$89,3,0)*VLOOKUP('Données projet'!$B$11,Paramètres!$A$1:$I$89,5,0)</f>
        <v>10.754915294117646</v>
      </c>
      <c r="BF6" s="13">
        <f t="shared" si="37"/>
        <v>3.7590664677404781</v>
      </c>
      <c r="BG6" s="20">
        <f t="shared" si="7"/>
        <v>25.278518235236231</v>
      </c>
      <c r="BH6" s="59">
        <f t="shared" si="8"/>
        <v>242.99247831447983</v>
      </c>
      <c r="BI6" s="59">
        <f ca="1">AVERAGE(OFFSET($BH$3,0,0,'Données projet'!$E$11+1,1))-AVERAGE(OFFSET($H$3,0,0,'Données projet'!$E$11+1,1))</f>
        <v>351.46787950120347</v>
      </c>
      <c r="BJ6" s="59">
        <f t="shared" si="38"/>
        <v>283.42185695241858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58.376534567066436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58.376534567066436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58.376534567066436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58.376534567066436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58.376534567066436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58.376534567066436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58.376534567066436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2.4500000000000002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8.9833333333333343</v>
      </c>
      <c r="H7" s="67">
        <f t="shared" si="1"/>
        <v>220.73333333333335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58.578175706152138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3.887142857142857</v>
      </c>
      <c r="N7" s="13">
        <f>IF('Données projet'!$A$36&gt;35,N6+M7-V6,IF(A7&lt;'Données projet'!$A$36,$K$205^A7,IF(A7='Données projet'!$A$36,'Données projet'!$B$36,N6+M7-V6)))</f>
        <v>15.548571428571428</v>
      </c>
      <c r="O7" s="13">
        <f>N7*VLOOKUP('Données projet'!$B$9,Paramètres!$A$1:$I$89,3,0)*VLOOKUP('Données projet'!$B$9,Paramètres!$A$1:$I$89,5,0)</f>
        <v>15.766251428571428</v>
      </c>
      <c r="P7" s="13">
        <f t="shared" si="33"/>
        <v>5.2706590287965538</v>
      </c>
      <c r="Q7" s="20">
        <f t="shared" si="2"/>
        <v>36.63928571324923</v>
      </c>
      <c r="R7" s="59">
        <f t="shared" si="0"/>
        <v>256.3148188580293</v>
      </c>
      <c r="S7" s="59">
        <f ca="1">AVERAGE(OFFSET($R$3,0,0,'Données projet'!$E$9+1,1))-AVERAGE(OFFSET($H$3,0,0,'Données projet'!$E$9+1,1))</f>
        <v>668.93155285055116</v>
      </c>
      <c r="T7" s="59">
        <f t="shared" si="34"/>
        <v>306.43050420339659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58.578175706152138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3.887142857142857</v>
      </c>
      <c r="AI7" s="13">
        <f>IF('Données projet'!$A$62&gt;35,AI6+AH7-AQ6,IF(A7&lt;'Données projet'!$A$62,$AF$205^A7,IF(A7='Données projet'!$A$62,'Données projet'!$B$62,AI6+AH7-AQ6)))</f>
        <v>15.548571428571428</v>
      </c>
      <c r="AJ7" s="13">
        <f>AI7*VLOOKUP('Données projet'!$B$10,Paramètres!$A$1:$I$89,3,0)*VLOOKUP('Données projet'!$B$10,Paramètres!$A$1:$I$89,5,0)</f>
        <v>15.038578285714285</v>
      </c>
      <c r="AK7" s="13">
        <f t="shared" si="35"/>
        <v>5.0551259019589807</v>
      </c>
      <c r="AL7" s="20">
        <f t="shared" si="4"/>
        <v>34.996534793530941</v>
      </c>
      <c r="AM7" s="59">
        <f t="shared" si="5"/>
        <v>254.67206793831102</v>
      </c>
      <c r="AN7" s="59">
        <f ca="1">AVERAGE(OFFSET($AM$3,0,0,'Données projet'!$E$10+1,1))-AVERAGE(OFFSET($H$3,0,0,'Données projet'!$E$10+1,1))</f>
        <v>641.25537514609562</v>
      </c>
      <c r="AO7" s="59">
        <f t="shared" si="36"/>
        <v>294.69846357521487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58.578175706152138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7.6601960784313725</v>
      </c>
      <c r="BD7" s="12">
        <f>IF('Données projet'!$A$88&gt;35,BD6+BC7-BL6,IF(A7&lt;'Données projet'!$A$88,$BA$205^A7,IF(A7='Données projet'!$A$88,'Données projet'!$B$88,BD6+BC7-BL6)))</f>
        <v>30.64078431372549</v>
      </c>
      <c r="BE7" s="13">
        <f>BD7*VLOOKUP('Données projet'!$B$11,Paramètres!$A$1:$I$89,3,0)*VLOOKUP('Données projet'!$B$11,Paramètres!$A$1:$I$89,5,0)</f>
        <v>14.339887058823528</v>
      </c>
      <c r="BF7" s="13">
        <f t="shared" si="37"/>
        <v>4.8470318404070136</v>
      </c>
      <c r="BG7" s="20">
        <f t="shared" si="7"/>
        <v>33.417217082826525</v>
      </c>
      <c r="BH7" s="59">
        <f t="shared" si="8"/>
        <v>253.09275022760659</v>
      </c>
      <c r="BI7" s="59">
        <f ca="1">AVERAGE(OFFSET($BH$3,0,0,'Données projet'!$E$11+1,1))-AVERAGE(OFFSET($H$3,0,0,'Données projet'!$E$11+1,1))</f>
        <v>351.46787950120347</v>
      </c>
      <c r="BJ7" s="59">
        <f t="shared" si="38"/>
        <v>283.42185695241858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58.578175706152138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58.578175706152138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58.578175706152138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58.578175706152138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58.578175706152138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58.578175706152138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58.578175706152138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2.4500000000000002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8.9833333333333343</v>
      </c>
      <c r="H8" s="67">
        <f t="shared" si="1"/>
        <v>220.73333333333335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58.77631882227675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3.887142857142857</v>
      </c>
      <c r="N8" s="13">
        <f>IF('Données projet'!$A$36&gt;35,N7+M8-V7,IF(A8&lt;'Données projet'!$A$36,$K$205^A8,IF(A8='Données projet'!$A$36,'Données projet'!$B$36,N7+M8-V7)))</f>
        <v>19.435714285714283</v>
      </c>
      <c r="O8" s="13">
        <f>N8*VLOOKUP('Données projet'!$B$9,Paramètres!$A$1:$I$89,3,0)*VLOOKUP('Données projet'!$B$9,Paramètres!$A$1:$I$89,5,0)</f>
        <v>19.707814285714285</v>
      </c>
      <c r="P8" s="13">
        <f t="shared" si="33"/>
        <v>6.4194025304518281</v>
      </c>
      <c r="Q8" s="20">
        <f t="shared" si="2"/>
        <v>45.504902621489315</v>
      </c>
      <c r="R8" s="59">
        <f t="shared" si="0"/>
        <v>267.12918274761518</v>
      </c>
      <c r="S8" s="59">
        <f ca="1">AVERAGE(OFFSET($R$3,0,0,'Données projet'!$E$9+1,1))-AVERAGE(OFFSET($H$3,0,0,'Données projet'!$E$9+1,1))</f>
        <v>668.93155285055116</v>
      </c>
      <c r="T8" s="59">
        <f t="shared" si="34"/>
        <v>306.43050420339659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58.77631882227675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3.887142857142857</v>
      </c>
      <c r="AI8" s="13">
        <f>IF('Données projet'!$A$62&gt;35,AI7+AH8-AQ7,IF(A8&lt;'Données projet'!$A$62,$AF$205^A8,IF(A8='Données projet'!$A$62,'Données projet'!$B$62,AI7+AH8-AQ7)))</f>
        <v>19.435714285714283</v>
      </c>
      <c r="AJ8" s="13">
        <f>AI8*VLOOKUP('Données projet'!$B$10,Paramètres!$A$1:$I$89,3,0)*VLOOKUP('Données projet'!$B$10,Paramètres!$A$1:$I$89,5,0)</f>
        <v>18.798222857142854</v>
      </c>
      <c r="AK8" s="13">
        <f t="shared" si="35"/>
        <v>6.1568938209606667</v>
      </c>
      <c r="AL8" s="20">
        <f t="shared" si="4"/>
        <v>43.4634948810303</v>
      </c>
      <c r="AM8" s="59">
        <f t="shared" si="5"/>
        <v>265.08777500715615</v>
      </c>
      <c r="AN8" s="59">
        <f ca="1">AVERAGE(OFFSET($AM$3,0,0,'Données projet'!$E$10+1,1))-AVERAGE(OFFSET($H$3,0,0,'Données projet'!$E$10+1,1))</f>
        <v>641.25537514609562</v>
      </c>
      <c r="AO8" s="59">
        <f t="shared" si="36"/>
        <v>294.69846357521487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58.77631882227675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7.6601960784313725</v>
      </c>
      <c r="BD8" s="12">
        <f>IF('Données projet'!$A$88&gt;35,BD7+BC8-BL7,IF(A8&lt;'Données projet'!$A$88,$BA$205^A8,IF(A8='Données projet'!$A$88,'Données projet'!$B$88,BD7+BC8-BL7)))</f>
        <v>38.300980392156859</v>
      </c>
      <c r="BE8" s="13">
        <f>BD8*VLOOKUP('Données projet'!$B$11,Paramètres!$A$1:$I$89,3,0)*VLOOKUP('Données projet'!$B$11,Paramètres!$A$1:$I$89,5,0)</f>
        <v>17.924858823529409</v>
      </c>
      <c r="BF8" s="13">
        <f t="shared" si="37"/>
        <v>5.9034455257853864</v>
      </c>
      <c r="BG8" s="20">
        <f t="shared" si="7"/>
        <v>41.500963408389929</v>
      </c>
      <c r="BH8" s="59">
        <f t="shared" si="8"/>
        <v>263.12524353451579</v>
      </c>
      <c r="BI8" s="59">
        <f ca="1">AVERAGE(OFFSET($BH$3,0,0,'Données projet'!$E$11+1,1))-AVERAGE(OFFSET($H$3,0,0,'Données projet'!$E$11+1,1))</f>
        <v>351.46787950120347</v>
      </c>
      <c r="BJ8" s="59">
        <f t="shared" si="38"/>
        <v>283.42185695241858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58.77631882227675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58.77631882227675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58.77631882227675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58.77631882227675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58.77631882227675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58.77631882227675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58.77631882227675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2.4500000000000002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8.9833333333333343</v>
      </c>
      <c r="H9" s="67">
        <f t="shared" si="1"/>
        <v>220.73333333333335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58.971024598318252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3.887142857142857</v>
      </c>
      <c r="N9" s="13">
        <f>IF('Données projet'!$A$36&gt;35,N8+M9-V8,IF(A9&lt;'Données projet'!$A$36,$K$205^A9,IF(A9='Données projet'!$A$36,'Données projet'!$B$36,N8+M9-V8)))</f>
        <v>23.322857142857139</v>
      </c>
      <c r="O9" s="13">
        <f>N9*VLOOKUP('Données projet'!$B$9,Paramètres!$A$1:$I$89,3,0)*VLOOKUP('Données projet'!$B$9,Paramètres!$A$1:$I$89,5,0)</f>
        <v>23.649377142857141</v>
      </c>
      <c r="P9" s="13">
        <f t="shared" si="33"/>
        <v>7.5415247055086745</v>
      </c>
      <c r="Q9" s="20">
        <f t="shared" si="2"/>
        <v>54.324154052570456</v>
      </c>
      <c r="R9" s="59">
        <f t="shared" si="0"/>
        <v>277.88457757973737</v>
      </c>
      <c r="S9" s="59">
        <f ca="1">AVERAGE(OFFSET($R$3,0,0,'Données projet'!$E$9+1,1))-AVERAGE(OFFSET($H$3,0,0,'Données projet'!$E$9+1,1))</f>
        <v>668.93155285055116</v>
      </c>
      <c r="T9" s="59">
        <f t="shared" si="34"/>
        <v>306.43050420339659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58.971024598318252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3.887142857142857</v>
      </c>
      <c r="AI9" s="13">
        <f>IF('Données projet'!$A$62&gt;35,AI8+AH9-AQ8,IF(A9&lt;'Données projet'!$A$62,$AF$205^A9,IF(A9='Données projet'!$A$62,'Données projet'!$B$62,AI8+AH9-AQ8)))</f>
        <v>23.322857142857139</v>
      </c>
      <c r="AJ9" s="13">
        <f>AI9*VLOOKUP('Données projet'!$B$10,Paramètres!$A$1:$I$89,3,0)*VLOOKUP('Données projet'!$B$10,Paramètres!$A$1:$I$89,5,0)</f>
        <v>22.557867428571427</v>
      </c>
      <c r="AK9" s="13">
        <f t="shared" si="35"/>
        <v>7.2331290396118018</v>
      </c>
      <c r="AL9" s="20">
        <f t="shared" si="4"/>
        <v>51.885985515419122</v>
      </c>
      <c r="AM9" s="59">
        <f t="shared" si="5"/>
        <v>275.44640904258603</v>
      </c>
      <c r="AN9" s="59">
        <f ca="1">AVERAGE(OFFSET($AM$3,0,0,'Données projet'!$E$10+1,1))-AVERAGE(OFFSET($H$3,0,0,'Données projet'!$E$10+1,1))</f>
        <v>641.25537514609562</v>
      </c>
      <c r="AO9" s="59">
        <f t="shared" si="36"/>
        <v>294.69846357521487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58.971024598318252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7.6601960784313725</v>
      </c>
      <c r="BD9" s="12">
        <f>IF('Données projet'!$A$88&gt;35,BD8+BC9-BL8,IF(A9&lt;'Données projet'!$A$88,$BA$205^A9,IF(A9='Données projet'!$A$88,'Données projet'!$B$88,BD8+BC9-BL8)))</f>
        <v>45.961176470588228</v>
      </c>
      <c r="BE9" s="13">
        <f>BD9*VLOOKUP('Données projet'!$B$11,Paramètres!$A$1:$I$89,3,0)*VLOOKUP('Données projet'!$B$11,Paramètres!$A$1:$I$89,5,0)</f>
        <v>21.509830588235292</v>
      </c>
      <c r="BF9" s="13">
        <f t="shared" si="37"/>
        <v>6.9353775634321488</v>
      </c>
      <c r="BG9" s="20">
        <f t="shared" si="7"/>
        <v>49.54207086415412</v>
      </c>
      <c r="BH9" s="59">
        <f t="shared" si="8"/>
        <v>273.10249439132104</v>
      </c>
      <c r="BI9" s="59">
        <f ca="1">AVERAGE(OFFSET($BH$3,0,0,'Données projet'!$E$11+1,1))-AVERAGE(OFFSET($H$3,0,0,'Données projet'!$E$11+1,1))</f>
        <v>351.46787950120347</v>
      </c>
      <c r="BJ9" s="59">
        <f t="shared" si="38"/>
        <v>283.42185695241858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58.971024598318252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58.971024598318252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58.971024598318252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58.971024598318252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58.971024598318252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58.971024598318252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58.971024598318252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2.4500000000000002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8.9833333333333343</v>
      </c>
      <c r="H10" s="67">
        <f t="shared" si="1"/>
        <v>220.73333333333335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59.162352664442324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3.887142857142857</v>
      </c>
      <c r="N10" s="13">
        <f>IF('Données projet'!$A$36&gt;35,N9+M10-V9,IF(A10&lt;'Données projet'!$A$36,$K$205^A10,IF(A10='Données projet'!$A$36,'Données projet'!$B$36,N9+M10-V9)))</f>
        <v>27.209999999999994</v>
      </c>
      <c r="O10" s="13">
        <f>N10*VLOOKUP('Données projet'!$B$9,Paramètres!$A$1:$I$89,3,0)*VLOOKUP('Données projet'!$B$9,Paramètres!$A$1:$I$89,5,0)</f>
        <v>27.590939999999993</v>
      </c>
      <c r="P10" s="13">
        <f t="shared" si="33"/>
        <v>8.6419816819814557</v>
      </c>
      <c r="Q10" s="20">
        <f t="shared" si="2"/>
        <v>63.105671929451027</v>
      </c>
      <c r="R10" s="59">
        <f t="shared" si="0"/>
        <v>288.58985392129512</v>
      </c>
      <c r="S10" s="59">
        <f ca="1">AVERAGE(OFFSET($R$3,0,0,'Données projet'!$E$9+1,1))-AVERAGE(OFFSET($H$3,0,0,'Données projet'!$E$9+1,1))</f>
        <v>668.93155285055116</v>
      </c>
      <c r="T10" s="59">
        <f t="shared" si="34"/>
        <v>306.43050420339659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59.162352664442324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3.887142857142857</v>
      </c>
      <c r="AI10" s="13">
        <f>IF('Données projet'!$A$62&gt;35,AI9+AH10-AQ9,IF(A10&lt;'Données projet'!$A$62,$AF$205^A10,IF(A10='Données projet'!$A$62,'Données projet'!$B$62,AI9+AH10-AQ9)))</f>
        <v>27.209999999999994</v>
      </c>
      <c r="AJ10" s="13">
        <f>AI10*VLOOKUP('Données projet'!$B$10,Paramètres!$A$1:$I$89,3,0)*VLOOKUP('Données projet'!$B$10,Paramètres!$A$1:$I$89,5,0)</f>
        <v>26.317511999999997</v>
      </c>
      <c r="AK10" s="13">
        <f t="shared" si="35"/>
        <v>8.288585014920681</v>
      </c>
      <c r="AL10" s="20">
        <f t="shared" si="4"/>
        <v>60.272285634320177</v>
      </c>
      <c r="AM10" s="59">
        <f t="shared" si="5"/>
        <v>285.75646762616429</v>
      </c>
      <c r="AN10" s="59">
        <f ca="1">AVERAGE(OFFSET($AM$3,0,0,'Données projet'!$E$10+1,1))-AVERAGE(OFFSET($H$3,0,0,'Données projet'!$E$10+1,1))</f>
        <v>641.25537514609562</v>
      </c>
      <c r="AO10" s="59">
        <f t="shared" si="36"/>
        <v>294.69846357521487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59.162352664442324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7.6601960784313725</v>
      </c>
      <c r="BD10" s="12">
        <f>IF('Données projet'!$A$88&gt;35,BD9+BC10-BL9,IF(A10&lt;'Données projet'!$A$88,$BA$205^A10,IF(A10='Données projet'!$A$88,'Données projet'!$B$88,BD9+BC10-BL9)))</f>
        <v>53.621372549019597</v>
      </c>
      <c r="BE10" s="13">
        <f>BD10*VLOOKUP('Données projet'!$B$11,Paramètres!$A$1:$I$89,3,0)*VLOOKUP('Données projet'!$B$11,Paramètres!$A$1:$I$89,5,0)</f>
        <v>25.094802352941173</v>
      </c>
      <c r="BF10" s="13">
        <f t="shared" si="37"/>
        <v>7.9473857344823413</v>
      </c>
      <c r="BG10" s="20">
        <f t="shared" si="7"/>
        <v>57.548477585595947</v>
      </c>
      <c r="BH10" s="59">
        <f t="shared" si="8"/>
        <v>283.03265957744009</v>
      </c>
      <c r="BI10" s="59">
        <f ca="1">AVERAGE(OFFSET($BH$3,0,0,'Données projet'!$E$11+1,1))-AVERAGE(OFFSET($H$3,0,0,'Données projet'!$E$11+1,1))</f>
        <v>351.46787950120347</v>
      </c>
      <c r="BJ10" s="59">
        <f t="shared" si="38"/>
        <v>283.42185695241858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59.162352664442324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59.162352664442324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59.162352664442324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59.162352664442324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59.162352664442324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59.162352664442324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59.162352664442324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2.4500000000000002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8.9833333333333343</v>
      </c>
      <c r="H11" s="67">
        <f t="shared" si="1"/>
        <v>220.73333333333335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59.350361616364637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3.887142857142857</v>
      </c>
      <c r="N11" s="13">
        <f>IF('Données projet'!$A$36&gt;35,N10+M11-V10,IF(A11&lt;'Données projet'!$A$36,$K$205^A11,IF(A11='Données projet'!$A$36,'Données projet'!$B$36,N10+M11-V10)))</f>
        <v>31.097142857142849</v>
      </c>
      <c r="O11" s="13">
        <f>N11*VLOOKUP('Données projet'!$B$9,Paramètres!$A$1:$I$89,3,0)*VLOOKUP('Données projet'!$B$9,Paramètres!$A$1:$I$89,5,0)</f>
        <v>31.532502857142852</v>
      </c>
      <c r="P11" s="13">
        <f t="shared" si="33"/>
        <v>9.7242255986999844</v>
      </c>
      <c r="Q11" s="20">
        <f t="shared" si="2"/>
        <v>71.855468727259591</v>
      </c>
      <c r="R11" s="59">
        <f t="shared" si="0"/>
        <v>299.25123909837436</v>
      </c>
      <c r="S11" s="59">
        <f ca="1">AVERAGE(OFFSET($R$3,0,0,'Données projet'!$E$9+1,1))-AVERAGE(OFFSET($H$3,0,0,'Données projet'!$E$9+1,1))</f>
        <v>668.93155285055116</v>
      </c>
      <c r="T11" s="59">
        <f t="shared" si="34"/>
        <v>306.43050420339659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59.350361616364637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3.887142857142857</v>
      </c>
      <c r="AI11" s="13">
        <f>IF('Données projet'!$A$62&gt;35,AI10+AH11-AQ10,IF(A11&lt;'Données projet'!$A$62,$AF$205^A11,IF(A11='Données projet'!$A$62,'Données projet'!$B$62,AI10+AH11-AQ10)))</f>
        <v>31.097142857142849</v>
      </c>
      <c r="AJ11" s="13">
        <f>AI11*VLOOKUP('Données projet'!$B$10,Paramètres!$A$1:$I$89,3,0)*VLOOKUP('Données projet'!$B$10,Paramètres!$A$1:$I$89,5,0)</f>
        <v>30.077156571428564</v>
      </c>
      <c r="AK11" s="13">
        <f t="shared" si="35"/>
        <v>9.3265727173599551</v>
      </c>
      <c r="AL11" s="20">
        <f t="shared" si="4"/>
        <v>68.62816184463999</v>
      </c>
      <c r="AM11" s="59">
        <f t="shared" si="5"/>
        <v>296.02393221575477</v>
      </c>
      <c r="AN11" s="59">
        <f ca="1">AVERAGE(OFFSET($AM$3,0,0,'Données projet'!$E$10+1,1))-AVERAGE(OFFSET($H$3,0,0,'Données projet'!$E$10+1,1))</f>
        <v>641.25537514609562</v>
      </c>
      <c r="AO11" s="59">
        <f t="shared" si="36"/>
        <v>294.69846357521487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59.350361616364637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7.6601960784313725</v>
      </c>
      <c r="BD11" s="12">
        <f>IF('Données projet'!$A$88&gt;35,BD10+BC11-BL10,IF(A11&lt;'Données projet'!$A$88,$BA$205^A11,IF(A11='Données projet'!$A$88,'Données projet'!$B$88,BD10+BC11-BL10)))</f>
        <v>61.281568627450966</v>
      </c>
      <c r="BE11" s="13">
        <f>BD11*VLOOKUP('Données projet'!$B$11,Paramètres!$A$1:$I$89,3,0)*VLOOKUP('Données projet'!$B$11,Paramètres!$A$1:$I$89,5,0)</f>
        <v>28.679774117647053</v>
      </c>
      <c r="BF11" s="13">
        <f t="shared" si="37"/>
        <v>8.942644713437625</v>
      </c>
      <c r="BG11" s="20">
        <f t="shared" si="7"/>
        <v>65.52571279747248</v>
      </c>
      <c r="BH11" s="59">
        <f t="shared" si="8"/>
        <v>292.92148316858726</v>
      </c>
      <c r="BI11" s="59">
        <f ca="1">AVERAGE(OFFSET($BH$3,0,0,'Données projet'!$E$11+1,1))-AVERAGE(OFFSET($H$3,0,0,'Données projet'!$E$11+1,1))</f>
        <v>351.46787950120347</v>
      </c>
      <c r="BJ11" s="59">
        <f t="shared" si="38"/>
        <v>283.42185695241858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59.350361616364637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59.350361616364637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59.350361616364637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59.350361616364637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59.350361616364637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59.350361616364637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59.350361616364637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2.4500000000000002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8.9833333333333343</v>
      </c>
      <c r="H12" s="67">
        <f t="shared" si="1"/>
        <v>220.73333333333335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59.535109033296131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3.887142857142857</v>
      </c>
      <c r="N12" s="13">
        <f>IF('Données projet'!$A$36&gt;35,N11+M12-V11,IF(A12&lt;'Données projet'!$A$36,$K$205^A12,IF(A12='Données projet'!$A$36,'Données projet'!$B$36,N11+M12-V11)))</f>
        <v>34.984285714285704</v>
      </c>
      <c r="O12" s="13">
        <f>N12*VLOOKUP('Données projet'!$B$9,Paramètres!$A$1:$I$89,3,0)*VLOOKUP('Données projet'!$B$9,Paramètres!$A$1:$I$89,5,0)</f>
        <v>35.474065714285707</v>
      </c>
      <c r="P12" s="13">
        <f t="shared" si="33"/>
        <v>10.790793821618898</v>
      </c>
      <c r="Q12" s="20">
        <f t="shared" si="2"/>
        <v>80.577963691700518</v>
      </c>
      <c r="R12" s="59">
        <f t="shared" si="0"/>
        <v>309.87336348045301</v>
      </c>
      <c r="S12" s="59">
        <f ca="1">AVERAGE(OFFSET($R$3,0,0,'Données projet'!$E$9+1,1))-AVERAGE(OFFSET($H$3,0,0,'Données projet'!$E$9+1,1))</f>
        <v>668.93155285055116</v>
      </c>
      <c r="T12" s="59">
        <f t="shared" si="34"/>
        <v>306.43050420339659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59.535109033296131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3.887142857142857</v>
      </c>
      <c r="AI12" s="13">
        <f>IF('Données projet'!$A$62&gt;35,AI11+AH12-AQ11,IF(A12&lt;'Données projet'!$A$62,$AF$205^A12,IF(A12='Données projet'!$A$62,'Données projet'!$B$62,AI11+AH12-AQ11)))</f>
        <v>34.984285714285704</v>
      </c>
      <c r="AJ12" s="13">
        <f>AI12*VLOOKUP('Données projet'!$B$10,Paramètres!$A$1:$I$89,3,0)*VLOOKUP('Données projet'!$B$10,Paramètres!$A$1:$I$89,5,0)</f>
        <v>33.836801142857134</v>
      </c>
      <c r="AK12" s="13">
        <f t="shared" si="35"/>
        <v>10.349525752345953</v>
      </c>
      <c r="AL12" s="20">
        <f t="shared" si="4"/>
        <v>76.957852675812049</v>
      </c>
      <c r="AM12" s="59">
        <f t="shared" si="5"/>
        <v>306.25325246456453</v>
      </c>
      <c r="AN12" s="59">
        <f ca="1">AVERAGE(OFFSET($AM$3,0,0,'Données projet'!$E$10+1,1))-AVERAGE(OFFSET($H$3,0,0,'Données projet'!$E$10+1,1))</f>
        <v>641.25537514609562</v>
      </c>
      <c r="AO12" s="59">
        <f t="shared" si="36"/>
        <v>294.69846357521487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59.535109033296131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7.6601960784313725</v>
      </c>
      <c r="BD12" s="12">
        <f>IF('Données projet'!$A$88&gt;35,BD11+BC12-BL11,IF(A12&lt;'Données projet'!$A$88,$BA$205^A12,IF(A12='Données projet'!$A$88,'Données projet'!$B$88,BD11+BC12-BL11)))</f>
        <v>68.941764705882335</v>
      </c>
      <c r="BE12" s="13">
        <f>BD12*VLOOKUP('Données projet'!$B$11,Paramètres!$A$1:$I$89,3,0)*VLOOKUP('Données projet'!$B$11,Paramètres!$A$1:$I$89,5,0)</f>
        <v>32.264745882352933</v>
      </c>
      <c r="BF12" s="13">
        <f t="shared" si="37"/>
        <v>9.9234879264418083</v>
      </c>
      <c r="BG12" s="20">
        <f t="shared" si="7"/>
        <v>73.477840550317495</v>
      </c>
      <c r="BH12" s="59">
        <f t="shared" si="8"/>
        <v>302.77324033906996</v>
      </c>
      <c r="BI12" s="59">
        <f ca="1">AVERAGE(OFFSET($BH$3,0,0,'Données projet'!$E$11+1,1))-AVERAGE(OFFSET($H$3,0,0,'Données projet'!$E$11+1,1))</f>
        <v>351.46787950120347</v>
      </c>
      <c r="BJ12" s="59">
        <f t="shared" si="38"/>
        <v>283.42185695241858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59.535109033296131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59.535109033296131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59.535109033296131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59.535109033296131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59.535109033296131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59.535109033296131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59.535109033296131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2.4500000000000002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8.9833333333333343</v>
      </c>
      <c r="H13" s="67">
        <f t="shared" si="1"/>
        <v>220.73333333333335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59.71665149557721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3.887142857142857</v>
      </c>
      <c r="N13" s="13">
        <f>IF('Données projet'!$A$36&gt;35,N12+M13-V12,IF(A13&lt;'Données projet'!$A$36,$K$205^A13,IF(A13='Données projet'!$A$36,'Données projet'!$B$36,N12+M13-V12)))</f>
        <v>38.871428571428559</v>
      </c>
      <c r="O13" s="13">
        <f>N13*VLOOKUP('Données projet'!$B$9,Paramètres!$A$1:$I$89,3,0)*VLOOKUP('Données projet'!$B$9,Paramètres!$A$1:$I$89,5,0)</f>
        <v>39.415628571428563</v>
      </c>
      <c r="P13" s="13">
        <f t="shared" si="33"/>
        <v>11.843626778724154</v>
      </c>
      <c r="Q13" s="20">
        <f t="shared" si="2"/>
        <v>89.276536401515969</v>
      </c>
      <c r="R13" s="59">
        <f t="shared" si="0"/>
        <v>320.45981410752131</v>
      </c>
      <c r="S13" s="59">
        <f ca="1">AVERAGE(OFFSET($R$3,0,0,'Données projet'!$E$9+1,1))-AVERAGE(OFFSET($H$3,0,0,'Données projet'!$E$9+1,1))</f>
        <v>668.93155285055116</v>
      </c>
      <c r="T13" s="59">
        <f t="shared" si="34"/>
        <v>306.43050420339659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59.71665149557721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3.887142857142857</v>
      </c>
      <c r="AI13" s="13">
        <f>IF('Données projet'!$A$62&gt;35,AI12+AH13-AQ12,IF(A13&lt;'Données projet'!$A$62,$AF$205^A13,IF(A13='Données projet'!$A$62,'Données projet'!$B$62,AI12+AH13-AQ12)))</f>
        <v>38.871428571428559</v>
      </c>
      <c r="AJ13" s="13">
        <f>AI13*VLOOKUP('Données projet'!$B$10,Paramètres!$A$1:$I$89,3,0)*VLOOKUP('Données projet'!$B$10,Paramètres!$A$1:$I$89,5,0)</f>
        <v>37.596445714285707</v>
      </c>
      <c r="AK13" s="13">
        <f t="shared" si="35"/>
        <v>11.359305197918257</v>
      </c>
      <c r="AL13" s="20">
        <f t="shared" si="4"/>
        <v>85.264599505421899</v>
      </c>
      <c r="AM13" s="59">
        <f t="shared" si="5"/>
        <v>316.44787721142723</v>
      </c>
      <c r="AN13" s="59">
        <f ca="1">AVERAGE(OFFSET($AM$3,0,0,'Données projet'!$E$10+1,1))-AVERAGE(OFFSET($H$3,0,0,'Données projet'!$E$10+1,1))</f>
        <v>641.25537514609562</v>
      </c>
      <c r="AO13" s="59">
        <f t="shared" si="36"/>
        <v>294.69846357521487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59.71665149557721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7.6601960784313725</v>
      </c>
      <c r="BD13" s="12">
        <f>IF('Données projet'!$A$88&gt;35,BD12+BC13-BL12,IF(A13&lt;'Données projet'!$A$88,$BA$205^A13,IF(A13='Données projet'!$A$88,'Données projet'!$B$88,BD12+BC13-BL12)))</f>
        <v>76.601960784313704</v>
      </c>
      <c r="BE13" s="13">
        <f>BD13*VLOOKUP('Données projet'!$B$11,Paramètres!$A$1:$I$89,3,0)*VLOOKUP('Données projet'!$B$11,Paramètres!$A$1:$I$89,5,0)</f>
        <v>35.84971764705881</v>
      </c>
      <c r="BF13" s="13">
        <f t="shared" si="37"/>
        <v>10.891699840329213</v>
      </c>
      <c r="BG13" s="20">
        <f t="shared" si="7"/>
        <v>81.407968790534127</v>
      </c>
      <c r="BH13" s="59">
        <f t="shared" si="8"/>
        <v>312.59124649653944</v>
      </c>
      <c r="BI13" s="59">
        <f ca="1">AVERAGE(OFFSET($BH$3,0,0,'Données projet'!$E$11+1,1))-AVERAGE(OFFSET($H$3,0,0,'Données projet'!$E$11+1,1))</f>
        <v>351.46787950120347</v>
      </c>
      <c r="BJ13" s="59">
        <f t="shared" si="38"/>
        <v>283.42185695241858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59.71665149557721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59.71665149557721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59.71665149557721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59.71665149557721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59.71665149557721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59.71665149557721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59.71665149557721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2.4500000000000002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8.9833333333333343</v>
      </c>
      <c r="H14" s="67">
        <f t="shared" si="1"/>
        <v>220.73333333333335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59.895044602005868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3.887142857142857</v>
      </c>
      <c r="N14" s="13">
        <f>IF('Données projet'!$A$36&gt;35,N13+M14-V13,IF(A14&lt;'Données projet'!$A$36,$K$205^A14,IF(A14='Données projet'!$A$36,'Données projet'!$B$36,N13+M14-V13)))</f>
        <v>42.758571428571415</v>
      </c>
      <c r="O14" s="13">
        <f>N14*VLOOKUP('Données projet'!$B$9,Paramètres!$A$1:$I$89,3,0)*VLOOKUP('Données projet'!$B$9,Paramètres!$A$1:$I$89,5,0)</f>
        <v>43.357191428571419</v>
      </c>
      <c r="P14" s="13">
        <f t="shared" si="33"/>
        <v>12.884254354928219</v>
      </c>
      <c r="Q14" s="20">
        <f t="shared" si="2"/>
        <v>97.953851406261848</v>
      </c>
      <c r="R14" s="59">
        <f t="shared" si="0"/>
        <v>331.01345939139446</v>
      </c>
      <c r="S14" s="59">
        <f ca="1">AVERAGE(OFFSET($R$3,0,0,'Données projet'!$E$9+1,1))-AVERAGE(OFFSET($H$3,0,0,'Données projet'!$E$9+1,1))</f>
        <v>668.93155285055116</v>
      </c>
      <c r="T14" s="59">
        <f t="shared" si="34"/>
        <v>306.43050420339659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59.895044602005868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3.887142857142857</v>
      </c>
      <c r="AI14" s="13">
        <f>IF('Données projet'!$A$62&gt;35,AI13+AH14-AQ13,IF(A14&lt;'Données projet'!$A$62,$AF$205^A14,IF(A14='Données projet'!$A$62,'Données projet'!$B$62,AI13+AH14-AQ13)))</f>
        <v>42.758571428571415</v>
      </c>
      <c r="AJ14" s="13">
        <f>AI14*VLOOKUP('Données projet'!$B$10,Paramètres!$A$1:$I$89,3,0)*VLOOKUP('Données projet'!$B$10,Paramètres!$A$1:$I$89,5,0)</f>
        <v>41.356090285714274</v>
      </c>
      <c r="AK14" s="13">
        <f t="shared" si="35"/>
        <v>12.357378377386118</v>
      </c>
      <c r="AL14" s="20">
        <f t="shared" si="4"/>
        <v>93.550957921566507</v>
      </c>
      <c r="AM14" s="59">
        <f t="shared" si="5"/>
        <v>326.61056590669915</v>
      </c>
      <c r="AN14" s="59">
        <f ca="1">AVERAGE(OFFSET($AM$3,0,0,'Données projet'!$E$10+1,1))-AVERAGE(OFFSET($H$3,0,0,'Données projet'!$E$10+1,1))</f>
        <v>641.25537514609562</v>
      </c>
      <c r="AO14" s="59">
        <f t="shared" si="36"/>
        <v>294.69846357521487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59.895044602005868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7.6601960784313725</v>
      </c>
      <c r="BD14" s="12">
        <f>IF('Données projet'!$A$88&gt;35,BD13+BC14-BL13,IF(A14&lt;'Données projet'!$A$88,$BA$205^A14,IF(A14='Données projet'!$A$88,'Données projet'!$B$88,BD13+BC14-BL13)))</f>
        <v>84.262156862745073</v>
      </c>
      <c r="BE14" s="13">
        <f>BD14*VLOOKUP('Données projet'!$B$11,Paramètres!$A$1:$I$89,3,0)*VLOOKUP('Données projet'!$B$11,Paramètres!$A$1:$I$89,5,0)</f>
        <v>39.434689411764694</v>
      </c>
      <c r="BF14" s="13">
        <f t="shared" si="37"/>
        <v>11.848687376102017</v>
      </c>
      <c r="BG14" s="20">
        <f t="shared" si="7"/>
        <v>89.318547905534516</v>
      </c>
      <c r="BH14" s="59">
        <f t="shared" si="8"/>
        <v>322.37815589066713</v>
      </c>
      <c r="BI14" s="59">
        <f ca="1">AVERAGE(OFFSET($BH$3,0,0,'Données projet'!$E$11+1,1))-AVERAGE(OFFSET($H$3,0,0,'Données projet'!$E$11+1,1))</f>
        <v>351.46787950120347</v>
      </c>
      <c r="BJ14" s="59">
        <f t="shared" si="38"/>
        <v>283.42185695241858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59.895044602005868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59.895044602005868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59.895044602005868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59.895044602005868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59.895044602005868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59.895044602005868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59.895044602005868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2.4500000000000002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8.9833333333333343</v>
      </c>
      <c r="H15" s="67">
        <f t="shared" si="1"/>
        <v>220.73333333333335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60.070342986865214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3.887142857142857</v>
      </c>
      <c r="N15" s="13">
        <f>IF('Données projet'!$A$36&gt;35,N14+M15-V14,IF(A15&lt;'Données projet'!$A$36,$K$205^A15,IF(A15='Données projet'!$A$36,'Données projet'!$B$36,N14+M15-V14)))</f>
        <v>46.64571428571427</v>
      </c>
      <c r="O15" s="13">
        <f>N15*VLOOKUP('Données projet'!$B$9,Paramètres!$A$1:$I$89,3,0)*VLOOKUP('Données projet'!$B$9,Paramètres!$A$1:$I$89,5,0)</f>
        <v>47.298754285714274</v>
      </c>
      <c r="P15" s="13">
        <f t="shared" si="33"/>
        <v>13.913912319856609</v>
      </c>
      <c r="Q15" s="20">
        <f t="shared" si="2"/>
        <v>106.6120610047026</v>
      </c>
      <c r="R15" s="59">
        <f t="shared" si="0"/>
        <v>341.53665195654173</v>
      </c>
      <c r="S15" s="59">
        <f ca="1">AVERAGE(OFFSET($R$3,0,0,'Données projet'!$E$9+1,1))-AVERAGE(OFFSET($H$3,0,0,'Données projet'!$E$9+1,1))</f>
        <v>668.93155285055116</v>
      </c>
      <c r="T15" s="59">
        <f t="shared" si="34"/>
        <v>306.43050420339659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60.070342986865214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3.887142857142857</v>
      </c>
      <c r="AI15" s="13">
        <f>IF('Données projet'!$A$62&gt;35,AI14+AH15-AQ14,IF(A15&lt;'Données projet'!$A$62,$AF$205^A15,IF(A15='Données projet'!$A$62,'Données projet'!$B$62,AI14+AH15-AQ14)))</f>
        <v>46.64571428571427</v>
      </c>
      <c r="AJ15" s="13">
        <f>AI15*VLOOKUP('Données projet'!$B$10,Paramètres!$A$1:$I$89,3,0)*VLOOKUP('Données projet'!$B$10,Paramètres!$A$1:$I$89,5,0)</f>
        <v>45.115734857142847</v>
      </c>
      <c r="AK15" s="13">
        <f t="shared" si="35"/>
        <v>13.344930526032003</v>
      </c>
      <c r="AL15" s="20">
        <f t="shared" si="4"/>
        <v>101.81899220902953</v>
      </c>
      <c r="AM15" s="59">
        <f t="shared" si="5"/>
        <v>336.74358316086864</v>
      </c>
      <c r="AN15" s="59">
        <f ca="1">AVERAGE(OFFSET($AM$3,0,0,'Données projet'!$E$10+1,1))-AVERAGE(OFFSET($H$3,0,0,'Données projet'!$E$10+1,1))</f>
        <v>641.25537514609562</v>
      </c>
      <c r="AO15" s="59">
        <f t="shared" si="36"/>
        <v>294.69846357521487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60.070342986865214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7.6601960784313725</v>
      </c>
      <c r="BD15" s="12">
        <f>IF('Données projet'!$A$88&gt;35,BD14+BC15-BL14,IF(A15&lt;'Données projet'!$A$88,$BA$205^A15,IF(A15='Données projet'!$A$88,'Données projet'!$B$88,BD14+BC15-BL14)))</f>
        <v>91.922352941176442</v>
      </c>
      <c r="BE15" s="13">
        <f>BD15*VLOOKUP('Données projet'!$B$11,Paramètres!$A$1:$I$89,3,0)*VLOOKUP('Données projet'!$B$11,Paramètres!$A$1:$I$89,5,0)</f>
        <v>43.019661176470578</v>
      </c>
      <c r="BF15" s="13">
        <f t="shared" si="37"/>
        <v>12.795586978878276</v>
      </c>
      <c r="BG15" s="20">
        <f t="shared" si="7"/>
        <v>97.211557203899247</v>
      </c>
      <c r="BH15" s="59">
        <f t="shared" si="8"/>
        <v>332.1361481557384</v>
      </c>
      <c r="BI15" s="59">
        <f ca="1">AVERAGE(OFFSET($BH$3,0,0,'Données projet'!$E$11+1,1))-AVERAGE(OFFSET($H$3,0,0,'Données projet'!$E$11+1,1))</f>
        <v>351.46787950120347</v>
      </c>
      <c r="BJ15" s="59">
        <f t="shared" si="38"/>
        <v>283.42185695241858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60.070342986865214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60.070342986865214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60.070342986865214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60.070342986865214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60.070342986865214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60.070342986865214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60.070342986865214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2.4500000000000002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8.9833333333333343</v>
      </c>
      <c r="H16" s="67">
        <f t="shared" si="1"/>
        <v>220.73333333333335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60.242600336655727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3.887142857142857</v>
      </c>
      <c r="N16" s="13">
        <f>IF('Données projet'!$A$36&gt;35,N15+M16-V15,IF(A16&lt;'Données projet'!$A$36,$K$205^A16,IF(A16='Données projet'!$A$36,'Données projet'!$B$36,N15+M16-V15)))</f>
        <v>50.532857142857125</v>
      </c>
      <c r="O16" s="13">
        <f>N16*VLOOKUP('Données projet'!$B$9,Paramètres!$A$1:$I$89,3,0)*VLOOKUP('Données projet'!$B$9,Paramètres!$A$1:$I$89,5,0)</f>
        <v>51.240317142857123</v>
      </c>
      <c r="P16" s="13">
        <f t="shared" si="33"/>
        <v>14.933618736730883</v>
      </c>
      <c r="Q16" s="20">
        <f t="shared" si="2"/>
        <v>115.25293832361577</v>
      </c>
      <c r="R16" s="59">
        <f t="shared" si="0"/>
        <v>352.03136178024232</v>
      </c>
      <c r="S16" s="59">
        <f ca="1">AVERAGE(OFFSET($R$3,0,0,'Données projet'!$E$9+1,1))-AVERAGE(OFFSET($H$3,0,0,'Données projet'!$E$9+1,1))</f>
        <v>668.93155285055116</v>
      </c>
      <c r="T16" s="59">
        <f t="shared" si="34"/>
        <v>306.43050420339659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60.242600336655727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3.887142857142857</v>
      </c>
      <c r="AI16" s="13">
        <f>IF('Données projet'!$A$62&gt;35,AI15+AH16-AQ15,IF(A16&lt;'Données projet'!$A$62,$AF$205^A16,IF(A16='Données projet'!$A$62,'Données projet'!$B$62,AI15+AH16-AQ15)))</f>
        <v>50.532857142857125</v>
      </c>
      <c r="AJ16" s="13">
        <f>AI16*VLOOKUP('Données projet'!$B$10,Paramètres!$A$1:$I$89,3,0)*VLOOKUP('Données projet'!$B$10,Paramètres!$A$1:$I$89,5,0)</f>
        <v>48.875379428571414</v>
      </c>
      <c r="AK16" s="13">
        <f t="shared" si="35"/>
        <v>14.322938075405181</v>
      </c>
      <c r="AL16" s="20">
        <f t="shared" si="4"/>
        <v>110.07040298609256</v>
      </c>
      <c r="AM16" s="59">
        <f t="shared" si="5"/>
        <v>346.84882644271909</v>
      </c>
      <c r="AN16" s="59">
        <f ca="1">AVERAGE(OFFSET($AM$3,0,0,'Données projet'!$E$10+1,1))-AVERAGE(OFFSET($H$3,0,0,'Données projet'!$E$10+1,1))</f>
        <v>641.25537514609562</v>
      </c>
      <c r="AO16" s="59">
        <f t="shared" si="36"/>
        <v>294.69846357521487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60.242600336655727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7.6601960784313725</v>
      </c>
      <c r="BD16" s="12">
        <f>IF('Données projet'!$A$88&gt;35,BD15+BC16-BL15,IF(A16&lt;'Données projet'!$A$88,$BA$205^A16,IF(A16='Données projet'!$A$88,'Données projet'!$B$88,BD15+BC16-BL15)))</f>
        <v>99.582549019607811</v>
      </c>
      <c r="BE16" s="13">
        <f>BD16*VLOOKUP('Données projet'!$B$11,Paramètres!$A$1:$I$89,3,0)*VLOOKUP('Données projet'!$B$11,Paramètres!$A$1:$I$89,5,0)</f>
        <v>46.604632941176455</v>
      </c>
      <c r="BF16" s="13">
        <f t="shared" si="37"/>
        <v>13.733334885440446</v>
      </c>
      <c r="BG16" s="20">
        <f t="shared" si="7"/>
        <v>105.08862729802443</v>
      </c>
      <c r="BH16" s="59">
        <f t="shared" si="8"/>
        <v>341.86705075465096</v>
      </c>
      <c r="BI16" s="59">
        <f ca="1">AVERAGE(OFFSET($BH$3,0,0,'Données projet'!$E$11+1,1))-AVERAGE(OFFSET($H$3,0,0,'Données projet'!$E$11+1,1))</f>
        <v>351.46787950120347</v>
      </c>
      <c r="BJ16" s="59">
        <f t="shared" si="38"/>
        <v>283.42185695241858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60.242600336655727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60.242600336655727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60.242600336655727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60.242600336655727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60.242600336655727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60.242600336655727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60.242600336655727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2.4500000000000002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8.9833333333333343</v>
      </c>
      <c r="H17" s="67">
        <f t="shared" si="1"/>
        <v>220.73333333333335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60.411869406537122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3.887142857142857</v>
      </c>
      <c r="N17" s="13">
        <f>IF('Données projet'!$A$36&gt;35,N16+M17-V16,IF(A17&lt;'Données projet'!$A$36,$K$205^A17,IF(A17='Données projet'!$A$36,'Données projet'!$B$36,N16+M17-V16)))</f>
        <v>54.41999999999998</v>
      </c>
      <c r="O17" s="13">
        <f>N17*VLOOKUP('Données projet'!$B$9,Paramètres!$A$1:$I$89,3,0)*VLOOKUP('Données projet'!$B$9,Paramètres!$A$1:$I$89,5,0)</f>
        <v>55.181879999999985</v>
      </c>
      <c r="P17" s="13">
        <f t="shared" si="33"/>
        <v>15.944226146347479</v>
      </c>
      <c r="Q17" s="20">
        <f t="shared" si="2"/>
        <v>123.87796820488852</v>
      </c>
      <c r="R17" s="59">
        <f t="shared" si="0"/>
        <v>362.49926713996905</v>
      </c>
      <c r="S17" s="59">
        <f ca="1">AVERAGE(OFFSET($R$3,0,0,'Données projet'!$E$9+1,1))-AVERAGE(OFFSET($H$3,0,0,'Données projet'!$E$9+1,1))</f>
        <v>668.93155285055116</v>
      </c>
      <c r="T17" s="59">
        <f t="shared" si="34"/>
        <v>306.43050420339659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60.411869406537122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3.887142857142857</v>
      </c>
      <c r="AI17" s="13">
        <f>IF('Données projet'!$A$62&gt;35,AI16+AH17-AQ16,IF(A17&lt;'Données projet'!$A$62,$AF$205^A17,IF(A17='Données projet'!$A$62,'Données projet'!$B$62,AI16+AH17-AQ16)))</f>
        <v>54.41999999999998</v>
      </c>
      <c r="AJ17" s="13">
        <f>AI17*VLOOKUP('Données projet'!$B$10,Paramètres!$A$1:$I$89,3,0)*VLOOKUP('Données projet'!$B$10,Paramètres!$A$1:$I$89,5,0)</f>
        <v>52.63502399999998</v>
      </c>
      <c r="AK17" s="13">
        <f t="shared" si="35"/>
        <v>15.292218703340431</v>
      </c>
      <c r="AL17" s="20">
        <f t="shared" si="4"/>
        <v>118.30661437498453</v>
      </c>
      <c r="AM17" s="59">
        <f t="shared" si="5"/>
        <v>356.92791331006509</v>
      </c>
      <c r="AN17" s="59">
        <f ca="1">AVERAGE(OFFSET($AM$3,0,0,'Données projet'!$E$10+1,1))-AVERAGE(OFFSET($H$3,0,0,'Données projet'!$E$10+1,1))</f>
        <v>641.25537514609562</v>
      </c>
      <c r="AO17" s="59">
        <f t="shared" si="36"/>
        <v>294.69846357521487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60.411869406537122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7.6601960784313725</v>
      </c>
      <c r="BD17" s="12">
        <f>IF('Données projet'!$A$88&gt;35,BD16+BC17-BL16,IF(A17&lt;'Données projet'!$A$88,$BA$205^A17,IF(A17='Données projet'!$A$88,'Données projet'!$B$88,BD16+BC17-BL16)))</f>
        <v>107.24274509803918</v>
      </c>
      <c r="BE17" s="13">
        <f>BD17*VLOOKUP('Données projet'!$B$11,Paramètres!$A$1:$I$89,3,0)*VLOOKUP('Données projet'!$B$11,Paramètres!$A$1:$I$89,5,0)</f>
        <v>50.189604705882338</v>
      </c>
      <c r="BF17" s="13">
        <f t="shared" si="37"/>
        <v>14.66271511394697</v>
      </c>
      <c r="BG17" s="20">
        <f t="shared" si="7"/>
        <v>112.95112368620271</v>
      </c>
      <c r="BH17" s="59">
        <f t="shared" si="8"/>
        <v>351.57242262128324</v>
      </c>
      <c r="BI17" s="59">
        <f ca="1">AVERAGE(OFFSET($BH$3,0,0,'Données projet'!$E$11+1,1))-AVERAGE(OFFSET($H$3,0,0,'Données projet'!$E$11+1,1))</f>
        <v>351.46787950120347</v>
      </c>
      <c r="BJ17" s="59">
        <f t="shared" si="38"/>
        <v>283.42185695241858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60.411869406537122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60.411869406537122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60.411869406537122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60.411869406537122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60.411869406537122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60.411869406537122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60.411869406537122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2.4500000000000002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8.9833333333333343</v>
      </c>
      <c r="H18" s="67">
        <f t="shared" si="1"/>
        <v>220.73333333333335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60.57820203648501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3.887142857142857</v>
      </c>
      <c r="N18" s="13">
        <f>IF('Données projet'!$A$36&gt;35,N17+M18-V17,IF(A18&lt;'Données projet'!$A$36,$K$205^A18,IF(A18='Données projet'!$A$36,'Données projet'!$B$36,N17+M18-V17)))</f>
        <v>58.307142857142836</v>
      </c>
      <c r="O18" s="13">
        <f>N18*VLOOKUP('Données projet'!$B$9,Paramètres!$A$1:$I$89,3,0)*VLOOKUP('Données projet'!$B$9,Paramètres!$A$1:$I$89,5,0)</f>
        <v>59.123442857142841</v>
      </c>
      <c r="P18" s="13">
        <f t="shared" si="33"/>
        <v>16.946458396677293</v>
      </c>
      <c r="Q18" s="20">
        <f t="shared" si="2"/>
        <v>132.4884113504034</v>
      </c>
      <c r="R18" s="59">
        <f t="shared" si="0"/>
        <v>372.94181881751513</v>
      </c>
      <c r="S18" s="59">
        <f ca="1">AVERAGE(OFFSET($R$3,0,0,'Données projet'!$E$9+1,1))-AVERAGE(OFFSET($H$3,0,0,'Données projet'!$E$9+1,1))</f>
        <v>668.93155285055116</v>
      </c>
      <c r="T18" s="59">
        <f t="shared" si="34"/>
        <v>306.43050420339659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60.57820203648501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3.887142857142857</v>
      </c>
      <c r="AI18" s="13">
        <f>IF('Données projet'!$A$62&gt;35,AI17+AH18-AQ17,IF(A18&lt;'Données projet'!$A$62,$AF$205^A18,IF(A18='Données projet'!$A$62,'Données projet'!$B$62,AI17+AH18-AQ17)))</f>
        <v>58.307142857142836</v>
      </c>
      <c r="AJ18" s="13">
        <f>AI18*VLOOKUP('Données projet'!$B$10,Paramètres!$A$1:$I$89,3,0)*VLOOKUP('Données projet'!$B$10,Paramètres!$A$1:$I$89,5,0)</f>
        <v>56.394668571428546</v>
      </c>
      <c r="AK18" s="13">
        <f t="shared" si="35"/>
        <v>16.253466657484363</v>
      </c>
      <c r="AL18" s="20">
        <f t="shared" si="4"/>
        <v>126.52883552368996</v>
      </c>
      <c r="AM18" s="59">
        <f t="shared" si="5"/>
        <v>366.98224299080164</v>
      </c>
      <c r="AN18" s="59">
        <f ca="1">AVERAGE(OFFSET($AM$3,0,0,'Données projet'!$E$10+1,1))-AVERAGE(OFFSET($H$3,0,0,'Données projet'!$E$10+1,1))</f>
        <v>641.25537514609562</v>
      </c>
      <c r="AO18" s="59">
        <f t="shared" si="36"/>
        <v>294.69846357521487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60.57820203648501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7.6601960784313725</v>
      </c>
      <c r="BD18" s="12">
        <f>IF('Données projet'!$A$88&gt;35,BD17+BC18-BL17,IF(A18&lt;'Données projet'!$A$88,$BA$205^A18,IF(A18='Données projet'!$A$88,'Données projet'!$B$88,BD17+BC18-BL17)))</f>
        <v>114.90294117647055</v>
      </c>
      <c r="BE18" s="13">
        <f>BD18*VLOOKUP('Données projet'!$B$11,Paramètres!$A$1:$I$89,3,0)*VLOOKUP('Données projet'!$B$11,Paramètres!$A$1:$I$89,5,0)</f>
        <v>53.774576470588215</v>
      </c>
      <c r="BF18" s="13">
        <f t="shared" si="37"/>
        <v>15.584393333367014</v>
      </c>
      <c r="BG18" s="20">
        <f t="shared" si="7"/>
        <v>120.80020574188869</v>
      </c>
      <c r="BH18" s="59">
        <f t="shared" si="8"/>
        <v>361.25361320900038</v>
      </c>
      <c r="BI18" s="59">
        <f ca="1">AVERAGE(OFFSET($BH$3,0,0,'Données projet'!$E$11+1,1))-AVERAGE(OFFSET($H$3,0,0,'Données projet'!$E$11+1,1))</f>
        <v>351.46787950120347</v>
      </c>
      <c r="BJ18" s="59">
        <f t="shared" si="38"/>
        <v>283.42185695241858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60.57820203648501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60.57820203648501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60.57820203648501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60.57820203648501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60.57820203648501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60.57820203648501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60.57820203648501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2.4500000000000002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8.9833333333333343</v>
      </c>
      <c r="H19" s="67">
        <f t="shared" si="1"/>
        <v>220.73333333333335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60.741649167167367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3.887142857142857</v>
      </c>
      <c r="N19" s="13">
        <f>IF('Données projet'!$A$36&gt;35,N18+M19-V18,IF(A19&lt;'Données projet'!$A$36,$K$205^A19,IF(A19='Données projet'!$A$36,'Données projet'!$B$36,N18+M19-V18)))</f>
        <v>62.194285714285691</v>
      </c>
      <c r="O19" s="13">
        <f>N19*VLOOKUP('Données projet'!$B$9,Paramètres!$A$1:$I$89,3,0)*VLOOKUP('Données projet'!$B$9,Paramètres!$A$1:$I$89,5,0)</f>
        <v>63.065005714285689</v>
      </c>
      <c r="P19" s="13">
        <f t="shared" si="33"/>
        <v>17.940937362438909</v>
      </c>
      <c r="Q19" s="20">
        <f t="shared" si="2"/>
        <v>141.08535085862869</v>
      </c>
      <c r="R19" s="59">
        <f t="shared" si="0"/>
        <v>383.36028669379789</v>
      </c>
      <c r="S19" s="59">
        <f ca="1">AVERAGE(OFFSET($R$3,0,0,'Données projet'!$E$9+1,1))-AVERAGE(OFFSET($H$3,0,0,'Données projet'!$E$9+1,1))</f>
        <v>668.93155285055116</v>
      </c>
      <c r="T19" s="59">
        <f t="shared" si="34"/>
        <v>306.43050420339659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60.741649167167367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3.887142857142857</v>
      </c>
      <c r="AI19" s="13">
        <f>IF('Données projet'!$A$62&gt;35,AI18+AH19-AQ18,IF(A19&lt;'Données projet'!$A$62,$AF$205^A19,IF(A19='Données projet'!$A$62,'Données projet'!$B$62,AI18+AH19-AQ18)))</f>
        <v>62.194285714285691</v>
      </c>
      <c r="AJ19" s="13">
        <f>AI19*VLOOKUP('Données projet'!$B$10,Paramètres!$A$1:$I$89,3,0)*VLOOKUP('Données projet'!$B$10,Paramètres!$A$1:$I$89,5,0)</f>
        <v>60.15431314285712</v>
      </c>
      <c r="AK19" s="13">
        <f t="shared" si="35"/>
        <v>17.207278382224739</v>
      </c>
      <c r="AL19" s="20">
        <f t="shared" si="4"/>
        <v>134.73810523951758</v>
      </c>
      <c r="AM19" s="59">
        <f t="shared" si="5"/>
        <v>377.01304107468684</v>
      </c>
      <c r="AN19" s="59">
        <f ca="1">AVERAGE(OFFSET($AM$3,0,0,'Données projet'!$E$10+1,1))-AVERAGE(OFFSET($H$3,0,0,'Données projet'!$E$10+1,1))</f>
        <v>641.25537514609562</v>
      </c>
      <c r="AO19" s="59">
        <f t="shared" si="36"/>
        <v>294.69846357521487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60.741649167167367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7.6601960784313725</v>
      </c>
      <c r="BD19" s="12">
        <f>IF('Données projet'!$A$88&gt;35,BD18+BC19-BL18,IF(A19&lt;'Données projet'!$A$88,$BA$205^A19,IF(A19='Données projet'!$A$88,'Données projet'!$B$88,BD18+BC19-BL18)))</f>
        <v>122.56313725490192</v>
      </c>
      <c r="BE19" s="13">
        <f>BD19*VLOOKUP('Données projet'!$B$11,Paramètres!$A$1:$I$89,3,0)*VLOOKUP('Données projet'!$B$11,Paramètres!$A$1:$I$89,5,0)</f>
        <v>57.359548235294099</v>
      </c>
      <c r="BF19" s="13">
        <f t="shared" si="37"/>
        <v>16.49894143547829</v>
      </c>
      <c r="BG19" s="20">
        <f t="shared" si="7"/>
        <v>128.63686950992857</v>
      </c>
      <c r="BH19" s="59">
        <f t="shared" si="8"/>
        <v>370.91180534509783</v>
      </c>
      <c r="BI19" s="59">
        <f ca="1">AVERAGE(OFFSET($BH$3,0,0,'Données projet'!$E$11+1,1))-AVERAGE(OFFSET($H$3,0,0,'Données projet'!$E$11+1,1))</f>
        <v>351.46787950120347</v>
      </c>
      <c r="BJ19" s="59">
        <f t="shared" si="38"/>
        <v>283.42185695241858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60.741649167167367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60.741649167167367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60.741649167167367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60.741649167167367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60.741649167167367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60.741649167167367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60.741649167167367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2.4500000000000002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8.9833333333333343</v>
      </c>
      <c r="H20" s="67">
        <f t="shared" si="1"/>
        <v>220.73333333333335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60.902260855545421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3.887142857142857</v>
      </c>
      <c r="N20" s="13">
        <f>IF('Données projet'!$A$36&gt;35,N19+M20-V19,IF(A20&lt;'Données projet'!$A$36,$K$205^A20,IF(A20='Données projet'!$A$36,'Données projet'!$B$36,N19+M20-V19)))</f>
        <v>66.081428571428546</v>
      </c>
      <c r="O20" s="13">
        <f>N20*VLOOKUP('Données projet'!$B$9,Paramètres!$A$1:$I$89,3,0)*VLOOKUP('Données projet'!$B$9,Paramètres!$A$1:$I$89,5,0)</f>
        <v>67.006568571428559</v>
      </c>
      <c r="P20" s="13">
        <f t="shared" si="33"/>
        <v>18.928202790452044</v>
      </c>
      <c r="Q20" s="20">
        <f t="shared" si="2"/>
        <v>149.66972678860873</v>
      </c>
      <c r="R20" s="59">
        <f t="shared" si="0"/>
        <v>393.75579437005308</v>
      </c>
      <c r="S20" s="59">
        <f ca="1">AVERAGE(OFFSET($R$3,0,0,'Données projet'!$E$9+1,1))-AVERAGE(OFFSET($H$3,0,0,'Données projet'!$E$9+1,1))</f>
        <v>668.93155285055116</v>
      </c>
      <c r="T20" s="59">
        <f t="shared" si="34"/>
        <v>306.43050420339659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60.902260855545421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3.887142857142857</v>
      </c>
      <c r="AI20" s="13">
        <f>IF('Données projet'!$A$62&gt;35,AI19+AH20-AQ19,IF(A20&lt;'Données projet'!$A$62,$AF$205^A20,IF(A20='Données projet'!$A$62,'Données projet'!$B$62,AI19+AH20-AQ19)))</f>
        <v>66.081428571428546</v>
      </c>
      <c r="AJ20" s="13">
        <f>AI20*VLOOKUP('Données projet'!$B$10,Paramètres!$A$1:$I$89,3,0)*VLOOKUP('Données projet'!$B$10,Paramètres!$A$1:$I$89,5,0)</f>
        <v>63.913957714285694</v>
      </c>
      <c r="AK20" s="13">
        <f t="shared" si="35"/>
        <v>18.154171552507719</v>
      </c>
      <c r="AL20" s="20">
        <f t="shared" si="4"/>
        <v>142.9353251396652</v>
      </c>
      <c r="AM20" s="59">
        <f t="shared" si="5"/>
        <v>387.02139272110958</v>
      </c>
      <c r="AN20" s="59">
        <f ca="1">AVERAGE(OFFSET($AM$3,0,0,'Données projet'!$E$10+1,1))-AVERAGE(OFFSET($H$3,0,0,'Données projet'!$E$10+1,1))</f>
        <v>641.25537514609562</v>
      </c>
      <c r="AO20" s="59">
        <f t="shared" si="36"/>
        <v>294.69846357521487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60.902260855545421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7.6601960784313725</v>
      </c>
      <c r="BD20" s="12">
        <f>IF('Données projet'!$A$88&gt;35,BD19+BC20-BL19,IF(A20&lt;'Données projet'!$A$88,$BA$205^A20,IF(A20='Données projet'!$A$88,'Données projet'!$B$88,BD19+BC20-BL19)))</f>
        <v>130.2233333333333</v>
      </c>
      <c r="BE20" s="13">
        <f>BD20*VLOOKUP('Données projet'!$B$11,Paramètres!$A$1:$I$89,3,0)*VLOOKUP('Données projet'!$B$11,Paramètres!$A$1:$I$89,5,0)</f>
        <v>60.944519999999983</v>
      </c>
      <c r="BF20" s="13">
        <f t="shared" si="37"/>
        <v>17.406855785157887</v>
      </c>
      <c r="BG20" s="20">
        <f t="shared" si="7"/>
        <v>136.46197949248327</v>
      </c>
      <c r="BH20" s="59">
        <f t="shared" si="8"/>
        <v>380.54804707392759</v>
      </c>
      <c r="BI20" s="59">
        <f ca="1">AVERAGE(OFFSET($BH$3,0,0,'Données projet'!$E$11+1,1))-AVERAGE(OFFSET($H$3,0,0,'Données projet'!$E$11+1,1))</f>
        <v>351.46787950120347</v>
      </c>
      <c r="BJ20" s="59">
        <f t="shared" si="38"/>
        <v>283.42185695241858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60.902260855545421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60.902260855545421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60.902260855545421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60.902260855545421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60.902260855545421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60.902260855545421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60.902260855545421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2.4500000000000002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8.9833333333333343</v>
      </c>
      <c r="H21" s="67">
        <f t="shared" si="1"/>
        <v>220.73333333333335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61.060086290204055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3.887142857142857</v>
      </c>
      <c r="N21" s="13">
        <f>IF('Données projet'!$A$36&gt;35,N20+M21-V20,IF(A21&lt;'Données projet'!$A$36,$K$205^A21,IF(A21='Données projet'!$A$36,'Données projet'!$B$36,N20+M21-V20)))</f>
        <v>69.968571428571408</v>
      </c>
      <c r="O21" s="13">
        <f>N21*VLOOKUP('Données projet'!$B$9,Paramètres!$A$1:$I$89,3,0)*VLOOKUP('Données projet'!$B$9,Paramètres!$A$1:$I$89,5,0)</f>
        <v>70.948131428571415</v>
      </c>
      <c r="P21" s="13">
        <f t="shared" si="33"/>
        <v>19.908727340770373</v>
      </c>
      <c r="Q21" s="20">
        <f t="shared" si="2"/>
        <v>158.24236235660359</v>
      </c>
      <c r="R21" s="59">
        <f t="shared" si="0"/>
        <v>404.12934542068513</v>
      </c>
      <c r="S21" s="59">
        <f ca="1">AVERAGE(OFFSET($R$3,0,0,'Données projet'!$E$9+1,1))-AVERAGE(OFFSET($H$3,0,0,'Données projet'!$E$9+1,1))</f>
        <v>668.93155285055116</v>
      </c>
      <c r="T21" s="59">
        <f t="shared" si="34"/>
        <v>306.43050420339659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61.060086290204055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3.887142857142857</v>
      </c>
      <c r="AI21" s="13">
        <f>IF('Données projet'!$A$62&gt;35,AI20+AH21-AQ20,IF(A21&lt;'Données projet'!$A$62,$AF$205^A21,IF(A21='Données projet'!$A$62,'Données projet'!$B$62,AI20+AH21-AQ20)))</f>
        <v>69.968571428571408</v>
      </c>
      <c r="AJ21" s="13">
        <f>AI21*VLOOKUP('Données projet'!$B$10,Paramètres!$A$1:$I$89,3,0)*VLOOKUP('Données projet'!$B$10,Paramètres!$A$1:$I$89,5,0)</f>
        <v>67.673602285714267</v>
      </c>
      <c r="AK21" s="13">
        <f t="shared" si="35"/>
        <v>19.094599499893381</v>
      </c>
      <c r="AL21" s="20">
        <f t="shared" si="4"/>
        <v>151.12128477659996</v>
      </c>
      <c r="AM21" s="59">
        <f t="shared" si="5"/>
        <v>397.00826784068147</v>
      </c>
      <c r="AN21" s="59">
        <f ca="1">AVERAGE(OFFSET($AM$3,0,0,'Données projet'!$E$10+1,1))-AVERAGE(OFFSET($H$3,0,0,'Données projet'!$E$10+1,1))</f>
        <v>641.25537514609562</v>
      </c>
      <c r="AO21" s="59">
        <f t="shared" si="36"/>
        <v>294.69846357521487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61.060086290204055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7.6601960784313725</v>
      </c>
      <c r="BD21" s="12">
        <f>IF('Données projet'!$A$88&gt;35,BD20+BC21-BL20,IF(A21&lt;'Données projet'!$A$88,$BA$205^A21,IF(A21='Données projet'!$A$88,'Données projet'!$B$88,BD20+BC21-BL20)))</f>
        <v>137.88352941176467</v>
      </c>
      <c r="BE21" s="13">
        <f>BD21*VLOOKUP('Données projet'!$B$11,Paramètres!$A$1:$I$89,3,0)*VLOOKUP('Données projet'!$B$11,Paramètres!$A$1:$I$89,5,0)</f>
        <v>64.529491764705867</v>
      </c>
      <c r="BF21" s="13">
        <f t="shared" si="37"/>
        <v>18.308571052589809</v>
      </c>
      <c r="BG21" s="20">
        <f t="shared" si="7"/>
        <v>144.2762927401233</v>
      </c>
      <c r="BH21" s="59">
        <f t="shared" si="8"/>
        <v>390.16327580420483</v>
      </c>
      <c r="BI21" s="59">
        <f ca="1">AVERAGE(OFFSET($BH$3,0,0,'Données projet'!$E$11+1,1))-AVERAGE(OFFSET($H$3,0,0,'Données projet'!$E$11+1,1))</f>
        <v>351.46787950120347</v>
      </c>
      <c r="BJ21" s="59">
        <f t="shared" si="38"/>
        <v>283.42185695241858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61.060086290204055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61.060086290204055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61.060086290204055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61.060086290204055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61.060086290204055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61.060086290204055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61.060086290204055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2.4500000000000002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8.9833333333333343</v>
      </c>
      <c r="H22" s="67">
        <f t="shared" si="1"/>
        <v>220.73333333333335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61.215173806416175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3.887142857142857</v>
      </c>
      <c r="N22" s="13">
        <f>IF('Données projet'!$A$36&gt;35,N21+M22-V21,IF(A22&lt;'Données projet'!$A$36,$K$205^A22,IF(A22='Données projet'!$A$36,'Données projet'!$B$36,N21+M22-V21)))</f>
        <v>73.855714285714271</v>
      </c>
      <c r="O22" s="13">
        <f>N22*VLOOKUP('Données projet'!$B$9,Paramètres!$A$1:$I$89,3,0)*VLOOKUP('Données projet'!$B$9,Paramètres!$A$1:$I$89,5,0)</f>
        <v>74.889694285714285</v>
      </c>
      <c r="P22" s="13">
        <f t="shared" si="33"/>
        <v>20.882928189514811</v>
      </c>
      <c r="Q22" s="20">
        <f t="shared" si="2"/>
        <v>166.80398414435732</v>
      </c>
      <c r="R22" s="59">
        <f t="shared" si="0"/>
        <v>414.48184365677218</v>
      </c>
      <c r="S22" s="59">
        <f ca="1">AVERAGE(OFFSET($R$3,0,0,'Données projet'!$E$9+1,1))-AVERAGE(OFFSET($H$3,0,0,'Données projet'!$E$9+1,1))</f>
        <v>668.93155285055116</v>
      </c>
      <c r="T22" s="59">
        <f t="shared" si="34"/>
        <v>306.43050420339659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61.215173806416175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3.887142857142857</v>
      </c>
      <c r="AI22" s="13">
        <f>IF('Données projet'!$A$62&gt;35,AI21+AH22-AQ21,IF(A22&lt;'Données projet'!$A$62,$AF$205^A22,IF(A22='Données projet'!$A$62,'Données projet'!$B$62,AI21+AH22-AQ21)))</f>
        <v>73.855714285714271</v>
      </c>
      <c r="AJ22" s="13">
        <f>AI22*VLOOKUP('Données projet'!$B$10,Paramètres!$A$1:$I$89,3,0)*VLOOKUP('Données projet'!$B$10,Paramètres!$A$1:$I$89,5,0)</f>
        <v>71.433246857142848</v>
      </c>
      <c r="AK22" s="13">
        <f t="shared" si="35"/>
        <v>20.02896234091423</v>
      </c>
      <c r="AL22" s="20">
        <f t="shared" si="4"/>
        <v>159.2966810199494</v>
      </c>
      <c r="AM22" s="59">
        <f t="shared" si="5"/>
        <v>406.97454053236424</v>
      </c>
      <c r="AN22" s="59">
        <f ca="1">AVERAGE(OFFSET($AM$3,0,0,'Données projet'!$E$10+1,1))-AVERAGE(OFFSET($H$3,0,0,'Données projet'!$E$10+1,1))</f>
        <v>641.25537514609562</v>
      </c>
      <c r="AO22" s="59">
        <f t="shared" si="36"/>
        <v>294.69846357521487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61.215173806416175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7.6601960784313725</v>
      </c>
      <c r="BD22" s="12">
        <f>IF('Données projet'!$A$88&gt;35,BD21+BC22-BL21,IF(A22&lt;'Données projet'!$A$88,$BA$205^A22,IF(A22='Données projet'!$A$88,'Données projet'!$B$88,BD21+BC22-BL21)))</f>
        <v>145.54372549019604</v>
      </c>
      <c r="BE22" s="13">
        <f>BD22*VLOOKUP('Données projet'!$B$11,Paramètres!$A$1:$I$89,3,0)*VLOOKUP('Données projet'!$B$11,Paramètres!$A$1:$I$89,5,0)</f>
        <v>68.114463529411751</v>
      </c>
      <c r="BF22" s="13">
        <f t="shared" si="37"/>
        <v>19.204470883524991</v>
      </c>
      <c r="BG22" s="20">
        <f t="shared" si="7"/>
        <v>152.08047743586482</v>
      </c>
      <c r="BH22" s="59">
        <f t="shared" si="8"/>
        <v>399.75833694827969</v>
      </c>
      <c r="BI22" s="59">
        <f ca="1">AVERAGE(OFFSET($BH$3,0,0,'Données projet'!$E$11+1,1))-AVERAGE(OFFSET($H$3,0,0,'Données projet'!$E$11+1,1))</f>
        <v>351.46787950120347</v>
      </c>
      <c r="BJ22" s="59">
        <f t="shared" si="38"/>
        <v>283.42185695241858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61.215173806416175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61.215173806416175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61.215173806416175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61.215173806416175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61.215173806416175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61.215173806416175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61.215173806416175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2.4500000000000002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8.9833333333333343</v>
      </c>
      <c r="H23" s="67">
        <f t="shared" si="1"/>
        <v>220.73333333333335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61.367570900945765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3.887142857142857</v>
      </c>
      <c r="N23" s="13">
        <f>IF('Données projet'!$A$36&gt;35,N22+M23-V22,IF(A23&lt;'Données projet'!$A$36,$K$205^A23,IF(A23='Données projet'!$A$36,'Données projet'!$B$36,N22+M23-V22)))</f>
        <v>77.742857142857133</v>
      </c>
      <c r="O23" s="13">
        <f>N23*VLOOKUP('Données projet'!$B$9,Paramètres!$A$1:$I$89,3,0)*VLOOKUP('Données projet'!$B$9,Paramètres!$A$1:$I$89,5,0)</f>
        <v>78.83125714285714</v>
      </c>
      <c r="P23" s="13">
        <f t="shared" si="33"/>
        <v>21.851176119320101</v>
      </c>
      <c r="Q23" s="20">
        <f t="shared" si="2"/>
        <v>175.35523793162534</v>
      </c>
      <c r="R23" s="59">
        <f t="shared" si="0"/>
        <v>424.81410901287092</v>
      </c>
      <c r="S23" s="59">
        <f ca="1">AVERAGE(OFFSET($R$3,0,0,'Données projet'!$E$9+1,1))-AVERAGE(OFFSET($H$3,0,0,'Données projet'!$E$9+1,1))</f>
        <v>668.93155285055116</v>
      </c>
      <c r="T23" s="59">
        <f t="shared" si="34"/>
        <v>306.43050420339659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61.367570900945765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3.887142857142857</v>
      </c>
      <c r="AI23" s="13">
        <f>IF('Données projet'!$A$62&gt;35,AI22+AH23-AQ22,IF(A23&lt;'Données projet'!$A$62,$AF$205^A23,IF(A23='Données projet'!$A$62,'Données projet'!$B$62,AI22+AH23-AQ22)))</f>
        <v>77.742857142857133</v>
      </c>
      <c r="AJ23" s="13">
        <f>AI23*VLOOKUP('Données projet'!$B$10,Paramètres!$A$1:$I$89,3,0)*VLOOKUP('Données projet'!$B$10,Paramètres!$A$1:$I$89,5,0)</f>
        <v>75.192891428571414</v>
      </c>
      <c r="AK23" s="13">
        <f t="shared" si="35"/>
        <v>20.957615695785943</v>
      </c>
      <c r="AL23" s="20">
        <f t="shared" si="4"/>
        <v>167.46213324158907</v>
      </c>
      <c r="AM23" s="59">
        <f t="shared" si="5"/>
        <v>416.92100432283462</v>
      </c>
      <c r="AN23" s="59">
        <f ca="1">AVERAGE(OFFSET($AM$3,0,0,'Données projet'!$E$10+1,1))-AVERAGE(OFFSET($H$3,0,0,'Données projet'!$E$10+1,1))</f>
        <v>641.25537514609562</v>
      </c>
      <c r="AO23" s="59">
        <f t="shared" si="36"/>
        <v>294.69846357521487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61.367570900945765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7.6601960784313725</v>
      </c>
      <c r="BD23" s="12">
        <f>IF('Données projet'!$A$88&gt;35,BD22+BC23-BL22,IF(A23&lt;'Données projet'!$A$88,$BA$205^A23,IF(A23='Données projet'!$A$88,'Données projet'!$B$88,BD22+BC23-BL22)))</f>
        <v>153.20392156862741</v>
      </c>
      <c r="BE23" s="13">
        <f>BD23*VLOOKUP('Données projet'!$B$11,Paramètres!$A$1:$I$89,3,0)*VLOOKUP('Données projet'!$B$11,Paramètres!$A$1:$I$89,5,0)</f>
        <v>71.69943529411762</v>
      </c>
      <c r="BF23" s="13">
        <f t="shared" si="37"/>
        <v>20.094896259086788</v>
      </c>
      <c r="BG23" s="20">
        <f t="shared" si="7"/>
        <v>159.87512745516435</v>
      </c>
      <c r="BH23" s="59">
        <f t="shared" si="8"/>
        <v>409.33399853640992</v>
      </c>
      <c r="BI23" s="59">
        <f ca="1">AVERAGE(OFFSET($BH$3,0,0,'Données projet'!$E$11+1,1))-AVERAGE(OFFSET($H$3,0,0,'Données projet'!$E$11+1,1))</f>
        <v>351.46787950120347</v>
      </c>
      <c r="BJ23" s="59">
        <f t="shared" si="38"/>
        <v>283.42185695241858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61.367570900945765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61.367570900945765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61.367570900945765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61.367570900945765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61.367570900945765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61.367570900945765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61.367570900945765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2.4500000000000002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8.9833333333333343</v>
      </c>
      <c r="H24" s="67">
        <f t="shared" si="1"/>
        <v>220.73333333333335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61.517324246594121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3.887142857142857</v>
      </c>
      <c r="N24" s="13">
        <f>IF('Données projet'!$A$36&gt;35,N23+M24-V23,IF(A24&lt;'Données projet'!$A$36,$K$205^A24,IF(A24='Données projet'!$A$36,'Données projet'!$B$36,N23+M24-V23)))</f>
        <v>81.63</v>
      </c>
      <c r="O24" s="13">
        <f>N24*VLOOKUP('Données projet'!$B$9,Paramètres!$A$1:$I$89,3,0)*VLOOKUP('Données projet'!$B$9,Paramètres!$A$1:$I$89,5,0)</f>
        <v>82.772819999999996</v>
      </c>
      <c r="P24" s="13">
        <f t="shared" si="33"/>
        <v>22.813802740025121</v>
      </c>
      <c r="Q24" s="20">
        <f t="shared" si="2"/>
        <v>183.89670127221041</v>
      </c>
      <c r="R24" s="59">
        <f t="shared" si="0"/>
        <v>435.12689017638877</v>
      </c>
      <c r="S24" s="59">
        <f ca="1">AVERAGE(OFFSET($R$3,0,0,'Données projet'!$E$9+1,1))-AVERAGE(OFFSET($H$3,0,0,'Données projet'!$E$9+1,1))</f>
        <v>668.93155285055116</v>
      </c>
      <c r="T24" s="59">
        <f t="shared" si="34"/>
        <v>306.43050420339659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61.517324246594121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3.887142857142857</v>
      </c>
      <c r="AI24" s="13">
        <f>IF('Données projet'!$A$62&gt;35,AI23+AH24-AQ23,IF(A24&lt;'Données projet'!$A$62,$AF$205^A24,IF(A24='Données projet'!$A$62,'Données projet'!$B$62,AI23+AH24-AQ23)))</f>
        <v>81.63</v>
      </c>
      <c r="AJ24" s="13">
        <f>AI24*VLOOKUP('Données projet'!$B$10,Paramètres!$A$1:$I$89,3,0)*VLOOKUP('Données projet'!$B$10,Paramètres!$A$1:$I$89,5,0)</f>
        <v>78.952535999999995</v>
      </c>
      <c r="AK24" s="13">
        <f t="shared" si="35"/>
        <v>21.880877613822086</v>
      </c>
      <c r="AL24" s="20">
        <f t="shared" si="4"/>
        <v>175.61819537740678</v>
      </c>
      <c r="AM24" s="59">
        <f t="shared" si="5"/>
        <v>426.84838428158514</v>
      </c>
      <c r="AN24" s="59">
        <f ca="1">AVERAGE(OFFSET($AM$3,0,0,'Données projet'!$E$10+1,1))-AVERAGE(OFFSET($H$3,0,0,'Données projet'!$E$10+1,1))</f>
        <v>641.25537514609562</v>
      </c>
      <c r="AO24" s="59">
        <f t="shared" si="36"/>
        <v>294.69846357521487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61.517324246594121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7.6601960784313725</v>
      </c>
      <c r="BD24" s="12">
        <f>IF('Données projet'!$A$88&gt;35,BD23+BC24-BL23,IF(A24&lt;'Données projet'!$A$88,$BA$205^A24,IF(A24='Données projet'!$A$88,'Données projet'!$B$88,BD23+BC24-BL23)))</f>
        <v>160.86411764705878</v>
      </c>
      <c r="BE24" s="13">
        <f>BD24*VLOOKUP('Données projet'!$B$11,Paramètres!$A$1:$I$89,3,0)*VLOOKUP('Données projet'!$B$11,Paramètres!$A$1:$I$89,5,0)</f>
        <v>75.284407058823504</v>
      </c>
      <c r="BF24" s="13">
        <f t="shared" si="37"/>
        <v>20.980152136101097</v>
      </c>
      <c r="BG24" s="20">
        <f t="shared" si="7"/>
        <v>167.66077393116035</v>
      </c>
      <c r="BH24" s="59">
        <f t="shared" si="8"/>
        <v>418.89096283533877</v>
      </c>
      <c r="BI24" s="59">
        <f ca="1">AVERAGE(OFFSET($BH$3,0,0,'Données projet'!$E$11+1,1))-AVERAGE(OFFSET($H$3,0,0,'Données projet'!$E$11+1,1))</f>
        <v>351.46787950120347</v>
      </c>
      <c r="BJ24" s="59">
        <f t="shared" si="38"/>
        <v>283.42185695241858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61.517324246594121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61.517324246594121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61.517324246594121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61.517324246594121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61.517324246594121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61.517324246594121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61.517324246594121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2.4500000000000002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8.9833333333333343</v>
      </c>
      <c r="H25" s="67">
        <f t="shared" si="1"/>
        <v>220.73333333333335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61.664479706493807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3.887142857142857</v>
      </c>
      <c r="N25" s="13">
        <f>IF('Données projet'!$A$36&gt;35,N24+M25-V24,IF(A25&lt;'Données projet'!$A$36,$K$205^A25,IF(A25='Données projet'!$A$36,'Données projet'!$B$36,N24+M25-V24)))</f>
        <v>85.517142857142858</v>
      </c>
      <c r="O25" s="13">
        <f>N25*VLOOKUP('Données projet'!$B$9,Paramètres!$A$1:$I$89,3,0)*VLOOKUP('Données projet'!$B$9,Paramètres!$A$1:$I$89,5,0)</f>
        <v>86.714382857142866</v>
      </c>
      <c r="P25" s="13">
        <f t="shared" si="33"/>
        <v>23.771106295024762</v>
      </c>
      <c r="Q25" s="20">
        <f t="shared" si="2"/>
        <v>192.42889360669196</v>
      </c>
      <c r="R25" s="59">
        <f t="shared" si="0"/>
        <v>445.42087475272479</v>
      </c>
      <c r="S25" s="59">
        <f ca="1">AVERAGE(OFFSET($R$3,0,0,'Données projet'!$E$9+1,1))-AVERAGE(OFFSET($H$3,0,0,'Données projet'!$E$9+1,1))</f>
        <v>668.93155285055116</v>
      </c>
      <c r="T25" s="59">
        <f t="shared" si="34"/>
        <v>306.43050420339659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61.664479706493807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3.887142857142857</v>
      </c>
      <c r="AI25" s="13">
        <f>IF('Données projet'!$A$62&gt;35,AI24+AH25-AQ24,IF(A25&lt;'Données projet'!$A$62,$AF$205^A25,IF(A25='Données projet'!$A$62,'Données projet'!$B$62,AI24+AH25-AQ24)))</f>
        <v>85.517142857142858</v>
      </c>
      <c r="AJ25" s="13">
        <f>AI25*VLOOKUP('Données projet'!$B$10,Paramètres!$A$1:$I$89,3,0)*VLOOKUP('Données projet'!$B$10,Paramètres!$A$1:$I$89,5,0)</f>
        <v>82.712180571428576</v>
      </c>
      <c r="AK25" s="13">
        <f t="shared" si="35"/>
        <v>22.799034142346564</v>
      </c>
      <c r="AL25" s="20">
        <f t="shared" si="4"/>
        <v>183.76536562649167</v>
      </c>
      <c r="AM25" s="59">
        <f t="shared" si="5"/>
        <v>436.7573467725245</v>
      </c>
      <c r="AN25" s="59">
        <f ca="1">AVERAGE(OFFSET($AM$3,0,0,'Données projet'!$E$10+1,1))-AVERAGE(OFFSET($H$3,0,0,'Données projet'!$E$10+1,1))</f>
        <v>641.25537514609562</v>
      </c>
      <c r="AO25" s="59">
        <f t="shared" si="36"/>
        <v>294.69846357521487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61.664479706493807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7.6601960784313725</v>
      </c>
      <c r="BD25" s="12">
        <f>IF('Données projet'!$A$88&gt;35,BD24+BC25-BL24,IF(A25&lt;'Données projet'!$A$88,$BA$205^A25,IF(A25='Données projet'!$A$88,'Données projet'!$B$88,BD24+BC25-BL24)))</f>
        <v>168.52431372549015</v>
      </c>
      <c r="BE25" s="13">
        <f>BD25*VLOOKUP('Données projet'!$B$11,Paramètres!$A$1:$I$89,3,0)*VLOOKUP('Données projet'!$B$11,Paramètres!$A$1:$I$89,5,0)</f>
        <v>78.869378823529388</v>
      </c>
      <c r="BF25" s="13">
        <f t="shared" si="37"/>
        <v>21.860512786764833</v>
      </c>
      <c r="BG25" s="20">
        <f t="shared" si="7"/>
        <v>175.43789455459577</v>
      </c>
      <c r="BH25" s="59">
        <f t="shared" si="8"/>
        <v>428.4298757006286</v>
      </c>
      <c r="BI25" s="59">
        <f ca="1">AVERAGE(OFFSET($BH$3,0,0,'Données projet'!$E$11+1,1))-AVERAGE(OFFSET($H$3,0,0,'Données projet'!$E$11+1,1))</f>
        <v>351.46787950120347</v>
      </c>
      <c r="BJ25" s="59">
        <f t="shared" si="38"/>
        <v>283.42185695241858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61.664479706493807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61.664479706493807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61.664479706493807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61.664479706493807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61.664479706493807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61.664479706493807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61.664479706493807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2.4500000000000002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8.9833333333333343</v>
      </c>
      <c r="H26" s="67">
        <f t="shared" si="1"/>
        <v>220.73333333333335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61.809082348154547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3.887142857142857</v>
      </c>
      <c r="N26" s="13">
        <f>IF('Données projet'!$A$36&gt;35,N25+M26-V25,IF(A26&lt;'Données projet'!$A$36,$K$205^A26,IF(A26='Données projet'!$A$36,'Données projet'!$B$36,N25+M26-V25)))</f>
        <v>89.40428571428572</v>
      </c>
      <c r="O26" s="13">
        <f>N26*VLOOKUP('Données projet'!$B$9,Paramètres!$A$1:$I$89,3,0)*VLOOKUP('Données projet'!$B$9,Paramètres!$A$1:$I$89,5,0)</f>
        <v>90.655945714285721</v>
      </c>
      <c r="P26" s="13">
        <f t="shared" si="33"/>
        <v>24.723356382079128</v>
      </c>
      <c r="Q26" s="20">
        <f t="shared" si="2"/>
        <v>200.95228448450212</v>
      </c>
      <c r="R26" s="59">
        <f t="shared" si="0"/>
        <v>455.69669753884659</v>
      </c>
      <c r="S26" s="59">
        <f ca="1">AVERAGE(OFFSET($R$3,0,0,'Données projet'!$E$9+1,1))-AVERAGE(OFFSET($H$3,0,0,'Données projet'!$E$9+1,1))</f>
        <v>668.93155285055116</v>
      </c>
      <c r="T26" s="59">
        <f t="shared" si="34"/>
        <v>306.43050420339659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61.809082348154547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3.887142857142857</v>
      </c>
      <c r="AI26" s="13">
        <f>IF('Données projet'!$A$62&gt;35,AI25+AH26-AQ25,IF(A26&lt;'Données projet'!$A$62,$AF$205^A26,IF(A26='Données projet'!$A$62,'Données projet'!$B$62,AI25+AH26-AQ25)))</f>
        <v>89.40428571428572</v>
      </c>
      <c r="AJ26" s="13">
        <f>AI26*VLOOKUP('Données projet'!$B$10,Paramètres!$A$1:$I$89,3,0)*VLOOKUP('Données projet'!$B$10,Paramètres!$A$1:$I$89,5,0)</f>
        <v>86.471825142857142</v>
      </c>
      <c r="AK26" s="13">
        <f t="shared" si="35"/>
        <v>23.71234385445489</v>
      </c>
      <c r="AL26" s="20">
        <f t="shared" si="4"/>
        <v>191.90409433698508</v>
      </c>
      <c r="AM26" s="59">
        <f t="shared" si="5"/>
        <v>446.64850739132953</v>
      </c>
      <c r="AN26" s="59">
        <f ca="1">AVERAGE(OFFSET($AM$3,0,0,'Données projet'!$E$10+1,1))-AVERAGE(OFFSET($H$3,0,0,'Données projet'!$E$10+1,1))</f>
        <v>641.25537514609562</v>
      </c>
      <c r="AO26" s="59">
        <f t="shared" si="36"/>
        <v>294.69846357521487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61.809082348154547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7.6601960784313725</v>
      </c>
      <c r="BD26" s="12">
        <f>IF('Données projet'!$A$88&gt;35,BD25+BC26-BL25,IF(A26&lt;'Données projet'!$A$88,$BA$205^A26,IF(A26='Données projet'!$A$88,'Données projet'!$B$88,BD25+BC26-BL25)))</f>
        <v>176.18450980392151</v>
      </c>
      <c r="BE26" s="13">
        <f>BD26*VLOOKUP('Données projet'!$B$11,Paramètres!$A$1:$I$89,3,0)*VLOOKUP('Données projet'!$B$11,Paramètres!$A$1:$I$89,5,0)</f>
        <v>82.454350588235272</v>
      </c>
      <c r="BF26" s="13">
        <f t="shared" si="37"/>
        <v>22.736226140022069</v>
      </c>
      <c r="BG26" s="20">
        <f t="shared" si="7"/>
        <v>183.20692113504819</v>
      </c>
      <c r="BH26" s="59">
        <f t="shared" si="8"/>
        <v>437.9513341893927</v>
      </c>
      <c r="BI26" s="59">
        <f ca="1">AVERAGE(OFFSET($BH$3,0,0,'Données projet'!$E$11+1,1))-AVERAGE(OFFSET($H$3,0,0,'Données projet'!$E$11+1,1))</f>
        <v>351.46787950120347</v>
      </c>
      <c r="BJ26" s="59">
        <f t="shared" si="38"/>
        <v>283.42185695241858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61.809082348154547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61.809082348154547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61.809082348154547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61.809082348154547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61.809082348154547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61.809082348154547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61.809082348154547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2.4500000000000002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8.9833333333333343</v>
      </c>
      <c r="H27" s="67">
        <f t="shared" si="1"/>
        <v>220.73333333333335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61.951176457265561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3.887142857142857</v>
      </c>
      <c r="N27" s="13">
        <f>IF('Données projet'!$A$36&gt;35,N26+M27-V26,IF(A27&lt;'Données projet'!$A$36,$K$205^A27,IF(A27='Données projet'!$A$36,'Données projet'!$B$36,N26+M27-V26)))</f>
        <v>93.291428571428582</v>
      </c>
      <c r="O27" s="13">
        <f>N27*VLOOKUP('Données projet'!$B$9,Paramètres!$A$1:$I$89,3,0)*VLOOKUP('Données projet'!$B$9,Paramètres!$A$1:$I$89,5,0)</f>
        <v>94.597508571428591</v>
      </c>
      <c r="P27" s="13">
        <f t="shared" si="33"/>
        <v>25.670797829946185</v>
      </c>
      <c r="Q27" s="20">
        <f t="shared" si="2"/>
        <v>209.4673003157277</v>
      </c>
      <c r="R27" s="59">
        <f t="shared" si="0"/>
        <v>465.95494732570143</v>
      </c>
      <c r="S27" s="59">
        <f ca="1">AVERAGE(OFFSET($R$3,0,0,'Données projet'!$E$9+1,1))-AVERAGE(OFFSET($H$3,0,0,'Données projet'!$E$9+1,1))</f>
        <v>668.93155285055116</v>
      </c>
      <c r="T27" s="59">
        <f t="shared" si="34"/>
        <v>306.43050420339659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61.951176457265561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3.887142857142857</v>
      </c>
      <c r="AI27" s="13">
        <f>IF('Données projet'!$A$62&gt;35,AI26+AH27-AQ26,IF(A27&lt;'Données projet'!$A$62,$AF$205^A27,IF(A27='Données projet'!$A$62,'Données projet'!$B$62,AI26+AH27-AQ26)))</f>
        <v>93.291428571428582</v>
      </c>
      <c r="AJ27" s="13">
        <f>AI27*VLOOKUP('Données projet'!$B$10,Paramètres!$A$1:$I$89,3,0)*VLOOKUP('Données projet'!$B$10,Paramètres!$A$1:$I$89,5,0)</f>
        <v>90.231469714285723</v>
      </c>
      <c r="AK27" s="13">
        <f t="shared" si="35"/>
        <v>24.621041567119438</v>
      </c>
      <c r="AL27" s="20">
        <f t="shared" si="4"/>
        <v>200.03479048178065</v>
      </c>
      <c r="AM27" s="59">
        <f t="shared" si="5"/>
        <v>456.52243749175437</v>
      </c>
      <c r="AN27" s="59">
        <f ca="1">AVERAGE(OFFSET($AM$3,0,0,'Données projet'!$E$10+1,1))-AVERAGE(OFFSET($H$3,0,0,'Données projet'!$E$10+1,1))</f>
        <v>641.25537514609562</v>
      </c>
      <c r="AO27" s="59">
        <f t="shared" si="36"/>
        <v>294.69846357521487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61.951176457265561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7.6601960784313725</v>
      </c>
      <c r="BD27" s="12">
        <f>IF('Données projet'!$A$88&gt;35,BD26+BC27-BL26,IF(A27&lt;'Données projet'!$A$88,$BA$205^A27,IF(A27='Données projet'!$A$88,'Données projet'!$B$88,BD26+BC27-BL26)))</f>
        <v>183.84470588235288</v>
      </c>
      <c r="BE27" s="13">
        <f>BD27*VLOOKUP('Données projet'!$B$11,Paramètres!$A$1:$I$89,3,0)*VLOOKUP('Données projet'!$B$11,Paramètres!$A$1:$I$89,5,0)</f>
        <v>86.039322352941156</v>
      </c>
      <c r="BF27" s="13">
        <f t="shared" si="37"/>
        <v>23.60751734661363</v>
      </c>
      <c r="BG27" s="20">
        <f t="shared" si="7"/>
        <v>190.96824581005788</v>
      </c>
      <c r="BH27" s="59">
        <f t="shared" si="8"/>
        <v>447.45589282003164</v>
      </c>
      <c r="BI27" s="59">
        <f ca="1">AVERAGE(OFFSET($BH$3,0,0,'Données projet'!$E$11+1,1))-AVERAGE(OFFSET($H$3,0,0,'Données projet'!$E$11+1,1))</f>
        <v>351.46787950120347</v>
      </c>
      <c r="BJ27" s="59">
        <f t="shared" si="38"/>
        <v>283.42185695241858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61.951176457265561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61.951176457265561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61.951176457265561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61.951176457265561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61.951176457265561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61.951176457265561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61.951176457265561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2.4500000000000002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8.9833333333333343</v>
      </c>
      <c r="H28" s="67">
        <f t="shared" si="1"/>
        <v>220.73333333333335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62.090805551258327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3.887142857142857</v>
      </c>
      <c r="N28" s="13">
        <f>IF('Données projet'!$A$36&gt;35,N27+M28-V27,IF(A28&lt;'Données projet'!$A$36,$K$205^A28,IF(A28='Données projet'!$A$36,'Données projet'!$B$36,N27+M28-V27)))</f>
        <v>97.178571428571445</v>
      </c>
      <c r="O28" s="13">
        <f>N28*VLOOKUP('Données projet'!$B$9,Paramètres!$A$1:$I$89,3,0)*VLOOKUP('Données projet'!$B$9,Paramètres!$A$1:$I$89,5,0)</f>
        <v>98.539071428571447</v>
      </c>
      <c r="P28" s="13">
        <f t="shared" si="33"/>
        <v>26.613653910702727</v>
      </c>
      <c r="Q28" s="20">
        <f t="shared" si="2"/>
        <v>217.97432996590248</v>
      </c>
      <c r="R28" s="59">
        <f t="shared" si="0"/>
        <v>476.19617254273857</v>
      </c>
      <c r="S28" s="59">
        <f ca="1">AVERAGE(OFFSET($R$3,0,0,'Données projet'!$E$9+1,1))-AVERAGE(OFFSET($H$3,0,0,'Données projet'!$E$9+1,1))</f>
        <v>668.93155285055116</v>
      </c>
      <c r="T28" s="59">
        <f t="shared" si="34"/>
        <v>306.43050420339659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62.090805551258327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3.887142857142857</v>
      </c>
      <c r="AI28" s="13">
        <f>IF('Données projet'!$A$62&gt;35,AI27+AH28-AQ27,IF(A28&lt;'Données projet'!$A$62,$AF$205^A28,IF(A28='Données projet'!$A$62,'Données projet'!$B$62,AI27+AH28-AQ27)))</f>
        <v>97.178571428571445</v>
      </c>
      <c r="AJ28" s="13">
        <f>AI28*VLOOKUP('Données projet'!$B$10,Paramètres!$A$1:$I$89,3,0)*VLOOKUP('Données projet'!$B$10,Paramètres!$A$1:$I$89,5,0)</f>
        <v>93.991114285714303</v>
      </c>
      <c r="AK28" s="13">
        <f t="shared" si="35"/>
        <v>25.525341422149168</v>
      </c>
      <c r="AL28" s="20">
        <f t="shared" si="4"/>
        <v>208.15782702452887</v>
      </c>
      <c r="AM28" s="59">
        <f t="shared" si="5"/>
        <v>466.37966960136498</v>
      </c>
      <c r="AN28" s="59">
        <f ca="1">AVERAGE(OFFSET($AM$3,0,0,'Données projet'!$E$10+1,1))-AVERAGE(OFFSET($H$3,0,0,'Données projet'!$E$10+1,1))</f>
        <v>641.25537514609562</v>
      </c>
      <c r="AO28" s="59">
        <f t="shared" si="36"/>
        <v>294.69846357521487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62.090805551258327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7.6601960784313725</v>
      </c>
      <c r="BD28" s="12">
        <f>IF('Données projet'!$A$88&gt;35,BD27+BC28-BL27,IF(A28&lt;'Données projet'!$A$88,$BA$205^A28,IF(A28='Données projet'!$A$88,'Données projet'!$B$88,BD27+BC28-BL27)))</f>
        <v>191.50490196078425</v>
      </c>
      <c r="BE28" s="13">
        <f>BD28*VLOOKUP('Données projet'!$B$11,Paramètres!$A$1:$I$89,3,0)*VLOOKUP('Données projet'!$B$11,Paramètres!$A$1:$I$89,5,0)</f>
        <v>89.62429411764704</v>
      </c>
      <c r="BF28" s="13">
        <f t="shared" si="37"/>
        <v>24.474591733209216</v>
      </c>
      <c r="BG28" s="20">
        <f t="shared" si="7"/>
        <v>198.72222619024129</v>
      </c>
      <c r="BH28" s="59">
        <f t="shared" si="8"/>
        <v>456.9440687670774</v>
      </c>
      <c r="BI28" s="59">
        <f ca="1">AVERAGE(OFFSET($BH$3,0,0,'Données projet'!$E$11+1,1))-AVERAGE(OFFSET($H$3,0,0,'Données projet'!$E$11+1,1))</f>
        <v>351.46787950120347</v>
      </c>
      <c r="BJ28" s="59">
        <f t="shared" si="38"/>
        <v>283.42185695241858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62.090805551258327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62.090805551258327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62.090805551258327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62.090805551258327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62.090805551258327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62.090805551258327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62.090805551258327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2.4500000000000002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8.9833333333333343</v>
      </c>
      <c r="H29" s="67">
        <f t="shared" si="1"/>
        <v>220.73333333333335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62.228012392634206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3.887142857142857</v>
      </c>
      <c r="N29" s="13">
        <f>IF('Données projet'!$A$36&gt;35,N28+M29-V28,IF(A29&lt;'Données projet'!$A$36,$K$205^A29,IF(A29='Données projet'!$A$36,'Données projet'!$B$36,N28+M29-V28)))</f>
        <v>101.06571428571431</v>
      </c>
      <c r="O29" s="13">
        <f>N29*VLOOKUP('Données projet'!$B$9,Paramètres!$A$1:$I$89,3,0)*VLOOKUP('Données projet'!$B$9,Paramètres!$A$1:$I$89,5,0)</f>
        <v>102.48063428571432</v>
      </c>
      <c r="P29" s="13">
        <f t="shared" si="33"/>
        <v>27.552129023626446</v>
      </c>
      <c r="Q29" s="20">
        <f t="shared" si="2"/>
        <v>226.47372943043516</v>
      </c>
      <c r="R29" s="59">
        <f t="shared" si="0"/>
        <v>486.42088598120506</v>
      </c>
      <c r="S29" s="59">
        <f ca="1">AVERAGE(OFFSET($R$3,0,0,'Données projet'!$E$9+1,1))-AVERAGE(OFFSET($H$3,0,0,'Données projet'!$E$9+1,1))</f>
        <v>668.93155285055116</v>
      </c>
      <c r="T29" s="59">
        <f t="shared" si="34"/>
        <v>306.43050420339659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62.228012392634206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3.887142857142857</v>
      </c>
      <c r="AI29" s="13">
        <f>IF('Données projet'!$A$62&gt;35,AI28+AH29-AQ28,IF(A29&lt;'Données projet'!$A$62,$AF$205^A29,IF(A29='Données projet'!$A$62,'Données projet'!$B$62,AI28+AH29-AQ28)))</f>
        <v>101.06571428571431</v>
      </c>
      <c r="AJ29" s="13">
        <f>AI29*VLOOKUP('Données projet'!$B$10,Paramètres!$A$1:$I$89,3,0)*VLOOKUP('Données projet'!$B$10,Paramètres!$A$1:$I$89,5,0)</f>
        <v>97.750758857142884</v>
      </c>
      <c r="AK29" s="13">
        <f t="shared" si="35"/>
        <v>26.425439460319531</v>
      </c>
      <c r="AL29" s="20">
        <f t="shared" si="4"/>
        <v>216.2735454029137</v>
      </c>
      <c r="AM29" s="59">
        <f t="shared" si="5"/>
        <v>476.2207019536836</v>
      </c>
      <c r="AN29" s="59">
        <f ca="1">AVERAGE(OFFSET($AM$3,0,0,'Données projet'!$E$10+1,1))-AVERAGE(OFFSET($H$3,0,0,'Données projet'!$E$10+1,1))</f>
        <v>641.25537514609562</v>
      </c>
      <c r="AO29" s="59">
        <f t="shared" si="36"/>
        <v>294.69846357521487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62.228012392634206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7.6601960784313725</v>
      </c>
      <c r="BD29" s="12">
        <f>IF('Données projet'!$A$88&gt;35,BD28+BC29-BL28,IF(A29&lt;'Données projet'!$A$88,$BA$205^A29,IF(A29='Données projet'!$A$88,'Données projet'!$B$88,BD28+BC29-BL28)))</f>
        <v>199.16509803921562</v>
      </c>
      <c r="BE29" s="13">
        <f>BD29*VLOOKUP('Données projet'!$B$11,Paramètres!$A$1:$I$89,3,0)*VLOOKUP('Données projet'!$B$11,Paramètres!$A$1:$I$89,5,0)</f>
        <v>93.209265882352909</v>
      </c>
      <c r="BF29" s="13">
        <f t="shared" si="37"/>
        <v>25.33763727057336</v>
      </c>
      <c r="BG29" s="20">
        <f t="shared" si="7"/>
        <v>206.46918965801322</v>
      </c>
      <c r="BH29" s="59">
        <f t="shared" si="8"/>
        <v>466.41634620878312</v>
      </c>
      <c r="BI29" s="59">
        <f ca="1">AVERAGE(OFFSET($BH$3,0,0,'Données projet'!$E$11+1,1))-AVERAGE(OFFSET($H$3,0,0,'Données projet'!$E$11+1,1))</f>
        <v>351.46787950120347</v>
      </c>
      <c r="BJ29" s="59">
        <f t="shared" si="38"/>
        <v>283.42185695241858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62.228012392634206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62.228012392634206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62.228012392634206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62.228012392634206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62.228012392634206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62.228012392634206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62.228012392634206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2.4500000000000002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8.9833333333333343</v>
      </c>
      <c r="H30" s="67">
        <f t="shared" si="1"/>
        <v>220.73333333333335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62.362839002060767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3.887142857142857</v>
      </c>
      <c r="N30" s="13">
        <f>IF('Données projet'!$A$36&gt;35,N29+M30-V29,IF(A30&lt;'Données projet'!$A$36,$K$205^A30,IF(A30='Données projet'!$A$36,'Données projet'!$B$36,N29+M30-V29)))</f>
        <v>104.95285714285717</v>
      </c>
      <c r="O30" s="13">
        <f>N30*VLOOKUP('Données projet'!$B$9,Paramètres!$A$1:$I$89,3,0)*VLOOKUP('Données projet'!$B$9,Paramètres!$A$1:$I$89,5,0)</f>
        <v>106.42219714285717</v>
      </c>
      <c r="P30" s="13">
        <f t="shared" si="33"/>
        <v>28.486410954559084</v>
      </c>
      <c r="Q30" s="20">
        <f t="shared" si="2"/>
        <v>234.96582576966659</v>
      </c>
      <c r="R30" s="59">
        <f t="shared" si="0"/>
        <v>496.62956877722274</v>
      </c>
      <c r="S30" s="59">
        <f ca="1">AVERAGE(OFFSET($R$3,0,0,'Données projet'!$E$9+1,1))-AVERAGE(OFFSET($H$3,0,0,'Données projet'!$E$9+1,1))</f>
        <v>668.93155285055116</v>
      </c>
      <c r="T30" s="59">
        <f t="shared" si="34"/>
        <v>306.43050420339659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62.362839002060767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3.887142857142857</v>
      </c>
      <c r="AI30" s="13">
        <f>IF('Données projet'!$A$62&gt;35,AI29+AH30-AQ29,IF(A30&lt;'Données projet'!$A$62,$AF$205^A30,IF(A30='Données projet'!$A$62,'Données projet'!$B$62,AI29+AH30-AQ29)))</f>
        <v>104.95285714285717</v>
      </c>
      <c r="AJ30" s="13">
        <f>AI30*VLOOKUP('Données projet'!$B$10,Paramètres!$A$1:$I$89,3,0)*VLOOKUP('Données projet'!$B$10,Paramètres!$A$1:$I$89,5,0)</f>
        <v>101.51040342857146</v>
      </c>
      <c r="AK30" s="13">
        <f t="shared" si="35"/>
        <v>27.32151578834339</v>
      </c>
      <c r="AL30" s="20">
        <f t="shared" si="4"/>
        <v>224.38225930279336</v>
      </c>
      <c r="AM30" s="59">
        <f t="shared" si="5"/>
        <v>486.04600231034954</v>
      </c>
      <c r="AN30" s="59">
        <f ca="1">AVERAGE(OFFSET($AM$3,0,0,'Données projet'!$E$10+1,1))-AVERAGE(OFFSET($H$3,0,0,'Données projet'!$E$10+1,1))</f>
        <v>641.25537514609562</v>
      </c>
      <c r="AO30" s="59">
        <f t="shared" si="36"/>
        <v>294.69846357521487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62.362839002060767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7.6601960784313725</v>
      </c>
      <c r="BD30" s="12">
        <f>IF('Données projet'!$A$88&gt;35,BD29+BC30-BL29,IF(A30&lt;'Données projet'!$A$88,$BA$205^A30,IF(A30='Données projet'!$A$88,'Données projet'!$B$88,BD29+BC30-BL29)))</f>
        <v>206.82529411764699</v>
      </c>
      <c r="BE30" s="13">
        <f>BD30*VLOOKUP('Données projet'!$B$11,Paramètres!$A$1:$I$89,3,0)*VLOOKUP('Données projet'!$B$11,Paramètres!$A$1:$I$89,5,0)</f>
        <v>96.794237647058793</v>
      </c>
      <c r="BF30" s="13">
        <f t="shared" si="37"/>
        <v>26.196826651333119</v>
      </c>
      <c r="BG30" s="20">
        <f t="shared" si="7"/>
        <v>214.20943698636589</v>
      </c>
      <c r="BH30" s="59">
        <f t="shared" si="8"/>
        <v>475.87317999392201</v>
      </c>
      <c r="BI30" s="59">
        <f ca="1">AVERAGE(OFFSET($BH$3,0,0,'Données projet'!$E$11+1,1))-AVERAGE(OFFSET($H$3,0,0,'Données projet'!$E$11+1,1))</f>
        <v>351.46787950120347</v>
      </c>
      <c r="BJ30" s="59">
        <f t="shared" si="38"/>
        <v>283.42185695241858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62.362839002060767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62.362839002060767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62.362839002060767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62.362839002060767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62.362839002060767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62.362839002060767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62.362839002060767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2.4500000000000002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8.9833333333333343</v>
      </c>
      <c r="H31" s="67">
        <f t="shared" si="1"/>
        <v>220.73333333333335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62.495326671240903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3.887142857142857</v>
      </c>
      <c r="N31" s="13">
        <f>IF('Données projet'!$A$36&gt;35,N30+M31-V30,IF(A31&lt;'Données projet'!$A$36,$K$205^A31,IF(A31='Données projet'!$A$36,'Données projet'!$B$36,N30+M31-V30)))</f>
        <v>108.84000000000003</v>
      </c>
      <c r="O31" s="13">
        <f>N31*VLOOKUP('Données projet'!$B$9,Paramètres!$A$1:$I$89,3,0)*VLOOKUP('Données projet'!$B$9,Paramètres!$A$1:$I$89,5,0)</f>
        <v>110.36376000000004</v>
      </c>
      <c r="P31" s="13">
        <f t="shared" si="33"/>
        <v>29.416672791139618</v>
      </c>
      <c r="Q31" s="20">
        <f t="shared" si="2"/>
        <v>243.45092044456825</v>
      </c>
      <c r="R31" s="59">
        <f t="shared" si="0"/>
        <v>506.82267379467373</v>
      </c>
      <c r="S31" s="59">
        <f ca="1">AVERAGE(OFFSET($R$3,0,0,'Données projet'!$E$9+1,1))-AVERAGE(OFFSET($H$3,0,0,'Données projet'!$E$9+1,1))</f>
        <v>668.93155285055116</v>
      </c>
      <c r="T31" s="59">
        <f t="shared" si="34"/>
        <v>306.43050420339659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62.495326671240903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3.887142857142857</v>
      </c>
      <c r="AI31" s="13">
        <f>IF('Données projet'!$A$62&gt;35,AI30+AH31-AQ30,IF(A31&lt;'Données projet'!$A$62,$AF$205^A31,IF(A31='Données projet'!$A$62,'Données projet'!$B$62,AI30+AH31-AQ30)))</f>
        <v>108.84000000000003</v>
      </c>
      <c r="AJ31" s="13">
        <f>AI31*VLOOKUP('Données projet'!$B$10,Paramètres!$A$1:$I$89,3,0)*VLOOKUP('Données projet'!$B$10,Paramètres!$A$1:$I$89,5,0)</f>
        <v>105.27004800000003</v>
      </c>
      <c r="AK31" s="13">
        <f t="shared" si="35"/>
        <v>28.213736415784727</v>
      </c>
      <c r="AL31" s="20">
        <f t="shared" si="4"/>
        <v>232.48425785749177</v>
      </c>
      <c r="AM31" s="59">
        <f t="shared" si="5"/>
        <v>495.85601120759725</v>
      </c>
      <c r="AN31" s="59">
        <f ca="1">AVERAGE(OFFSET($AM$3,0,0,'Données projet'!$E$10+1,1))-AVERAGE(OFFSET($H$3,0,0,'Données projet'!$E$10+1,1))</f>
        <v>641.25537514609562</v>
      </c>
      <c r="AO31" s="59">
        <f t="shared" si="36"/>
        <v>294.69846357521487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62.495326671240903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7.6601960784313725</v>
      </c>
      <c r="BD31" s="12">
        <f>IF('Données projet'!$A$88&gt;35,BD30+BC31-BL30,IF(A31&lt;'Données projet'!$A$88,$BA$205^A31,IF(A31='Données projet'!$A$88,'Données projet'!$B$88,BD30+BC31-BL30)))</f>
        <v>214.48549019607836</v>
      </c>
      <c r="BE31" s="13">
        <f>BD31*VLOOKUP('Données projet'!$B$11,Paramètres!$A$1:$I$89,3,0)*VLOOKUP('Données projet'!$B$11,Paramètres!$A$1:$I$89,5,0)</f>
        <v>100.37920941176468</v>
      </c>
      <c r="BF31" s="13">
        <f t="shared" si="37"/>
        <v>27.052319051275138</v>
      </c>
      <c r="BG31" s="20">
        <f t="shared" si="7"/>
        <v>221.94324540646099</v>
      </c>
      <c r="BH31" s="59">
        <f t="shared" si="8"/>
        <v>485.31499875656652</v>
      </c>
      <c r="BI31" s="59">
        <f ca="1">AVERAGE(OFFSET($BH$3,0,0,'Données projet'!$E$11+1,1))-AVERAGE(OFFSET($H$3,0,0,'Données projet'!$E$11+1,1))</f>
        <v>351.46787950120347</v>
      </c>
      <c r="BJ31" s="59">
        <f t="shared" si="38"/>
        <v>283.42185695241858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62.495326671240903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62.495326671240903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62.495326671240903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62.495326671240903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62.495326671240903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62.495326671240903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62.495326671240903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2.4500000000000002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8.9833333333333343</v>
      </c>
      <c r="H32" s="67">
        <f t="shared" si="1"/>
        <v>220.73333333333335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62.625515975558827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3.887142857142857</v>
      </c>
      <c r="N32" s="13">
        <f>IF('Données projet'!$A$36&gt;35,N31+M32-V31,IF(A32&lt;'Données projet'!$A$36,$K$205^A32,IF(A32='Données projet'!$A$36,'Données projet'!$B$36,N31+M32-V31)))</f>
        <v>112.72714285714289</v>
      </c>
      <c r="O32" s="13">
        <f>N32*VLOOKUP('Données projet'!$B$9,Paramètres!$A$1:$I$89,3,0)*VLOOKUP('Données projet'!$B$9,Paramètres!$A$1:$I$89,5,0)</f>
        <v>114.3053228571429</v>
      </c>
      <c r="P32" s="13">
        <f t="shared" si="33"/>
        <v>30.343074556744043</v>
      </c>
      <c r="Q32" s="20">
        <f t="shared" si="2"/>
        <v>251.92929216251972</v>
      </c>
      <c r="R32" s="59">
        <f t="shared" si="0"/>
        <v>517.00062851734651</v>
      </c>
      <c r="S32" s="59">
        <f ca="1">AVERAGE(OFFSET($R$3,0,0,'Données projet'!$E$9+1,1))-AVERAGE(OFFSET($H$3,0,0,'Données projet'!$E$9+1,1))</f>
        <v>668.93155285055116</v>
      </c>
      <c r="T32" s="59">
        <f t="shared" si="34"/>
        <v>306.43050420339659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62.625515975558827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3.887142857142857</v>
      </c>
      <c r="AI32" s="13">
        <f>IF('Données projet'!$A$62&gt;35,AI31+AH32-AQ31,IF(A32&lt;'Données projet'!$A$62,$AF$205^A32,IF(A32='Données projet'!$A$62,'Données projet'!$B$62,AI31+AH32-AQ31)))</f>
        <v>112.72714285714289</v>
      </c>
      <c r="AJ32" s="13">
        <f>AI32*VLOOKUP('Données projet'!$B$10,Paramètres!$A$1:$I$89,3,0)*VLOOKUP('Données projet'!$B$10,Paramètres!$A$1:$I$89,5,0)</f>
        <v>109.02969257142863</v>
      </c>
      <c r="AK32" s="13">
        <f t="shared" si="35"/>
        <v>29.102254822181546</v>
      </c>
      <c r="AL32" s="20">
        <f t="shared" si="4"/>
        <v>240.57980837720436</v>
      </c>
      <c r="AM32" s="59">
        <f t="shared" si="5"/>
        <v>505.65114473203118</v>
      </c>
      <c r="AN32" s="59">
        <f ca="1">AVERAGE(OFFSET($AM$3,0,0,'Données projet'!$E$10+1,1))-AVERAGE(OFFSET($H$3,0,0,'Données projet'!$E$10+1,1))</f>
        <v>641.25537514609562</v>
      </c>
      <c r="AO32" s="59">
        <f t="shared" si="36"/>
        <v>294.69846357521487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62.625515975558827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7.6601960784313725</v>
      </c>
      <c r="BD32" s="12">
        <f>IF('Données projet'!$A$88&gt;35,BD31+BC32-BL31,IF(A32&lt;'Données projet'!$A$88,$BA$205^A32,IF(A32='Données projet'!$A$88,'Données projet'!$B$88,BD31+BC32-BL31)))</f>
        <v>222.14568627450973</v>
      </c>
      <c r="BE32" s="13">
        <f>BD32*VLOOKUP('Données projet'!$B$11,Paramètres!$A$1:$I$89,3,0)*VLOOKUP('Données projet'!$B$11,Paramètres!$A$1:$I$89,5,0)</f>
        <v>103.96418117647056</v>
      </c>
      <c r="BF32" s="13">
        <f t="shared" si="37"/>
        <v>27.904261631958295</v>
      </c>
      <c r="BG32" s="20">
        <f t="shared" si="7"/>
        <v>229.67087122468024</v>
      </c>
      <c r="BH32" s="59">
        <f t="shared" si="8"/>
        <v>494.74220757950707</v>
      </c>
      <c r="BI32" s="59">
        <f ca="1">AVERAGE(OFFSET($BH$3,0,0,'Données projet'!$E$11+1,1))-AVERAGE(OFFSET($H$3,0,0,'Données projet'!$E$11+1,1))</f>
        <v>351.46787950120347</v>
      </c>
      <c r="BJ32" s="59">
        <f t="shared" si="38"/>
        <v>283.42185695241858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62.625515975558827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62.625515975558827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62.625515975558827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62.625515975558827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62.625515975558827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62.625515975558827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62.625515975558827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2.4500000000000002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8.9833333333333343</v>
      </c>
      <c r="H33" s="67">
        <f t="shared" si="1"/>
        <v>220.73333333333335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62.753446786506515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3.887142857142857</v>
      </c>
      <c r="N33" s="13">
        <f>IF('Données projet'!$A$36&gt;35,N32+M33-V32,IF(A33&lt;'Données projet'!$A$36,$K$205^A33,IF(A33='Données projet'!$A$36,'Données projet'!$B$36,N32+M33-V32)))</f>
        <v>116.61428571428576</v>
      </c>
      <c r="O33" s="13">
        <f>N33*VLOOKUP('Données projet'!$B$9,Paramètres!$A$1:$I$89,3,0)*VLOOKUP('Données projet'!$B$9,Paramètres!$A$1:$I$89,5,0)</f>
        <v>118.24688571428577</v>
      </c>
      <c r="P33" s="13">
        <f t="shared" si="33"/>
        <v>31.265764612722538</v>
      </c>
      <c r="Q33" s="20">
        <f t="shared" si="2"/>
        <v>260.40119931953944</v>
      </c>
      <c r="R33" s="59">
        <f t="shared" si="0"/>
        <v>527.16383753672994</v>
      </c>
      <c r="S33" s="59">
        <f ca="1">AVERAGE(OFFSET($R$3,0,0,'Données projet'!$E$9+1,1))-AVERAGE(OFFSET($H$3,0,0,'Données projet'!$E$9+1,1))</f>
        <v>668.93155285055116</v>
      </c>
      <c r="T33" s="59">
        <f t="shared" si="34"/>
        <v>306.43050420339659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62.753446786506515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3.887142857142857</v>
      </c>
      <c r="AI33" s="13">
        <f>IF('Données projet'!$A$62&gt;35,AI32+AH33-AQ32,IF(A33&lt;'Données projet'!$A$62,$AF$205^A33,IF(A33='Données projet'!$A$62,'Données projet'!$B$62,AI32+AH33-AQ32)))</f>
        <v>116.61428571428576</v>
      </c>
      <c r="AJ33" s="13">
        <f>AI33*VLOOKUP('Données projet'!$B$10,Paramètres!$A$1:$I$89,3,0)*VLOOKUP('Données projet'!$B$10,Paramètres!$A$1:$I$89,5,0)</f>
        <v>112.78933714285719</v>
      </c>
      <c r="AK33" s="13">
        <f t="shared" si="35"/>
        <v>29.987213301941502</v>
      </c>
      <c r="AL33" s="20">
        <f t="shared" si="4"/>
        <v>248.66915869135769</v>
      </c>
      <c r="AM33" s="59">
        <f t="shared" si="5"/>
        <v>515.43179690854822</v>
      </c>
      <c r="AN33" s="59">
        <f ca="1">AVERAGE(OFFSET($AM$3,0,0,'Données projet'!$E$10+1,1))-AVERAGE(OFFSET($H$3,0,0,'Données projet'!$E$10+1,1))</f>
        <v>641.25537514609562</v>
      </c>
      <c r="AO33" s="59">
        <f t="shared" si="36"/>
        <v>294.69846357521487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62.753446786506515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7.6601960784313725</v>
      </c>
      <c r="BD33" s="12">
        <f>IF('Données projet'!$A$88&gt;35,BD32+BC33-BL32,IF(A33&lt;'Données projet'!$A$88,$BA$205^A33,IF(A33='Données projet'!$A$88,'Données projet'!$B$88,BD32+BC33-BL32)))</f>
        <v>229.8058823529411</v>
      </c>
      <c r="BE33" s="13">
        <f>BD33*VLOOKUP('Données projet'!$B$11,Paramètres!$A$1:$I$89,3,0)*VLOOKUP('Données projet'!$B$11,Paramètres!$A$1:$I$89,5,0)</f>
        <v>107.54915294117643</v>
      </c>
      <c r="BF33" s="13">
        <f t="shared" si="37"/>
        <v>28.752790830246401</v>
      </c>
      <c r="BG33" s="20">
        <f t="shared" si="7"/>
        <v>237.3925520685614</v>
      </c>
      <c r="BH33" s="59">
        <f t="shared" si="8"/>
        <v>504.15519028575193</v>
      </c>
      <c r="BI33" s="59">
        <f ca="1">AVERAGE(OFFSET($BH$3,0,0,'Données projet'!$E$11+1,1))-AVERAGE(OFFSET($H$3,0,0,'Données projet'!$E$11+1,1))</f>
        <v>351.46787950120347</v>
      </c>
      <c r="BJ33" s="59">
        <f t="shared" si="38"/>
        <v>283.42185695241858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62.753446786506515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62.753446786506515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62.753446786506515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62.753446786506515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62.753446786506515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62.753446786506515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62.753446786506515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2.4500000000000002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8.9833333333333343</v>
      </c>
      <c r="H34" s="67">
        <f t="shared" si="1"/>
        <v>220.73333333333335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62.879158283894711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3.887142857142857</v>
      </c>
      <c r="N34" s="13">
        <f>IF('Données projet'!$A$36&gt;35,N33+M34-V33,IF(A34&lt;'Données projet'!$A$36,$K$205^A34,IF(A34='Données projet'!$A$36,'Données projet'!$B$36,N33+M34-V33)))</f>
        <v>120.50142857142862</v>
      </c>
      <c r="O34" s="13">
        <f>N34*VLOOKUP('Données projet'!$B$9,Paramètres!$A$1:$I$89,3,0)*VLOOKUP('Données projet'!$B$9,Paramètres!$A$1:$I$89,5,0)</f>
        <v>122.18844857142862</v>
      </c>
      <c r="P34" s="13">
        <f t="shared" si="33"/>
        <v>32.184880868419519</v>
      </c>
      <c r="Q34" s="20">
        <f t="shared" si="2"/>
        <v>268.86688210773553</v>
      </c>
      <c r="R34" s="59">
        <f t="shared" si="0"/>
        <v>536.09046248201616</v>
      </c>
      <c r="S34" s="59">
        <f ca="1">AVERAGE(OFFSET($R$3,0,0,'Données projet'!$E$9+1,1))-AVERAGE(OFFSET($H$3,0,0,'Données projet'!$E$9+1,1))</f>
        <v>668.93155285055116</v>
      </c>
      <c r="T34" s="59">
        <f t="shared" si="34"/>
        <v>306.43050420339659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62.879158283894711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3.887142857142857</v>
      </c>
      <c r="AI34" s="13">
        <f>IF('Données projet'!$A$62&gt;35,AI33+AH34-AQ33,IF(A34&lt;'Données projet'!$A$62,$AF$205^A34,IF(A34='Données projet'!$A$62,'Données projet'!$B$62,AI33+AH34-AQ33)))</f>
        <v>120.50142857142862</v>
      </c>
      <c r="AJ34" s="13">
        <f>AI34*VLOOKUP('Données projet'!$B$10,Paramètres!$A$1:$I$89,3,0)*VLOOKUP('Données projet'!$B$10,Paramètres!$A$1:$I$89,5,0)</f>
        <v>116.54898171428576</v>
      </c>
      <c r="AK34" s="13">
        <f t="shared" si="35"/>
        <v>30.868744124880426</v>
      </c>
      <c r="AL34" s="20">
        <f t="shared" si="4"/>
        <v>256.75253916988112</v>
      </c>
      <c r="AM34" s="59">
        <f t="shared" si="5"/>
        <v>523.97611954416175</v>
      </c>
      <c r="AN34" s="59">
        <f ca="1">AVERAGE(OFFSET($AM$3,0,0,'Données projet'!$E$10+1,1))-AVERAGE(OFFSET($H$3,0,0,'Données projet'!$E$10+1,1))</f>
        <v>641.25537514609562</v>
      </c>
      <c r="AO34" s="59">
        <f t="shared" si="36"/>
        <v>294.69846357521487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62.879158283894711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7.6601960784313725</v>
      </c>
      <c r="BD34" s="12">
        <f>IF('Données projet'!$A$88&gt;35,BD33+BC34-BL33,IF(A34&lt;'Données projet'!$A$88,$BA$205^A34,IF(A34='Données projet'!$A$88,'Données projet'!$B$88,BD33+BC34-BL33)))</f>
        <v>237.46607843137247</v>
      </c>
      <c r="BE34" s="13">
        <f>BD34*VLOOKUP('Données projet'!$B$11,Paramètres!$A$1:$I$89,3,0)*VLOOKUP('Données projet'!$B$11,Paramètres!$A$1:$I$89,5,0)</f>
        <v>111.13412470588231</v>
      </c>
      <c r="BF34" s="13">
        <f t="shared" si="37"/>
        <v>29.59803347107345</v>
      </c>
      <c r="BG34" s="20">
        <f t="shared" si="7"/>
        <v>245.10850882486457</v>
      </c>
      <c r="BH34" s="59">
        <f t="shared" si="8"/>
        <v>512.33208919914523</v>
      </c>
      <c r="BI34" s="59">
        <f ca="1">AVERAGE(OFFSET($BH$3,0,0,'Données projet'!$E$11+1,1))-AVERAGE(OFFSET($H$3,0,0,'Données projet'!$E$11+1,1))</f>
        <v>351.46787950120347</v>
      </c>
      <c r="BJ34" s="59">
        <f t="shared" si="38"/>
        <v>283.42185695241858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62.879158283894711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62.879158283894711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62.879158283894711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62.879158283894711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62.879158283894711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62.879158283894711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62.879158283894711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2.4500000000000002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8.9833333333333343</v>
      </c>
      <c r="H35" s="67">
        <f t="shared" si="1"/>
        <v>220.73333333333335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63.002688967852023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3.887142857142857</v>
      </c>
      <c r="N35" s="13">
        <f>IF('Données projet'!$A$36&gt;35,N34+M35-V34,IF(A35&lt;'Données projet'!$A$36,$K$205^A35,IF(A35='Données projet'!$A$36,'Données projet'!$B$36,N34+M35-V34)))</f>
        <v>124.38857142857148</v>
      </c>
      <c r="O35" s="13">
        <f>N35*VLOOKUP('Données projet'!$B$9,Paramètres!$A$1:$I$89,3,0)*VLOOKUP('Données projet'!$B$9,Paramètres!$A$1:$I$89,5,0)</f>
        <v>126.13001142857149</v>
      </c>
      <c r="P35" s="13">
        <f t="shared" si="33"/>
        <v>33.100551830676153</v>
      </c>
      <c r="Q35" s="20">
        <f t="shared" ref="Q35:Q66" si="53">(O35+P35)*0.475*44/12</f>
        <v>277.32656434318966</v>
      </c>
      <c r="R35" s="59">
        <f t="shared" si="0"/>
        <v>545.00309055864705</v>
      </c>
      <c r="S35" s="59">
        <f ca="1">AVERAGE(OFFSET($R$3,0,0,'Données projet'!$E$9+1,1))-AVERAGE(OFFSET($H$3,0,0,'Données projet'!$E$9+1,1))</f>
        <v>668.93155285055116</v>
      </c>
      <c r="T35" s="59">
        <f t="shared" si="34"/>
        <v>306.43050420339659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63.002688967852023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3.887142857142857</v>
      </c>
      <c r="AI35" s="13">
        <f>IF('Données projet'!$A$62&gt;35,AI34+AH35-AQ34,IF(A35&lt;'Données projet'!$A$62,$AF$205^A35,IF(A35='Données projet'!$A$62,'Données projet'!$B$62,AI34+AH35-AQ34)))</f>
        <v>124.38857142857148</v>
      </c>
      <c r="AJ35" s="13">
        <f>AI35*VLOOKUP('Données projet'!$B$10,Paramètres!$A$1:$I$89,3,0)*VLOOKUP('Données projet'!$B$10,Paramètres!$A$1:$I$89,5,0)</f>
        <v>120.30862628571434</v>
      </c>
      <c r="AK35" s="13">
        <f t="shared" si="35"/>
        <v>31.746970542807571</v>
      </c>
      <c r="AL35" s="20">
        <f t="shared" si="4"/>
        <v>264.8301644763423</v>
      </c>
      <c r="AM35" s="59">
        <f t="shared" si="5"/>
        <v>532.50669069179969</v>
      </c>
      <c r="AN35" s="59">
        <f ca="1">AVERAGE(OFFSET($AM$3,0,0,'Données projet'!$E$10+1,1))-AVERAGE(OFFSET($H$3,0,0,'Données projet'!$E$10+1,1))</f>
        <v>641.25537514609562</v>
      </c>
      <c r="AO35" s="59">
        <f t="shared" si="36"/>
        <v>294.69846357521487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63.002688967852023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7.6601960784313725</v>
      </c>
      <c r="BD35" s="12">
        <f>IF('Données projet'!$A$88&gt;35,BD34+BC35-BL34,IF(A35&lt;'Données projet'!$A$88,$BA$205^A35,IF(A35='Données projet'!$A$88,'Données projet'!$B$88,BD34+BC35-BL34)))</f>
        <v>245.12627450980384</v>
      </c>
      <c r="BE35" s="13">
        <f>BD35*VLOOKUP('Données projet'!$B$11,Paramètres!$A$1:$I$89,3,0)*VLOOKUP('Données projet'!$B$11,Paramètres!$A$1:$I$89,5,0)</f>
        <v>114.7190964705882</v>
      </c>
      <c r="BF35" s="13">
        <f t="shared" si="37"/>
        <v>30.440107732592779</v>
      </c>
      <c r="BG35" s="20">
        <f t="shared" si="7"/>
        <v>252.81894732054016</v>
      </c>
      <c r="BH35" s="59">
        <f t="shared" si="8"/>
        <v>520.49547353599758</v>
      </c>
      <c r="BI35" s="59">
        <f ca="1">AVERAGE(OFFSET($BH$3,0,0,'Données projet'!$E$11+1,1))-AVERAGE(OFFSET($H$3,0,0,'Données projet'!$E$11+1,1))</f>
        <v>351.46787950120347</v>
      </c>
      <c r="BJ35" s="59">
        <f t="shared" si="38"/>
        <v>283.42185695241858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63.002688967852023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63.002688967852023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63.002688967852023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63.002688967852023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63.002688967852023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63.002688967852023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63.002688967852023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2.4500000000000002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8.9833333333333343</v>
      </c>
      <c r="H36" s="67">
        <f t="shared" si="1"/>
        <v>220.73333333333335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63.124076670615906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3.887142857142857</v>
      </c>
      <c r="N36" s="13">
        <f>IF('Données projet'!$A$36&gt;35,N35+M36-V35,IF(A36&lt;'Données projet'!$A$36,$K$205^A36,IF(A36='Données projet'!$A$36,'Données projet'!$B$36,N35+M36-V35)))</f>
        <v>128.27571428571434</v>
      </c>
      <c r="O36" s="13">
        <f>N36*VLOOKUP('Données projet'!$B$9,Paramètres!$A$1:$I$89,3,0)*VLOOKUP('Données projet'!$B$9,Paramètres!$A$1:$I$89,5,0)</f>
        <v>130.07157428571435</v>
      </c>
      <c r="P36" s="13">
        <f t="shared" si="33"/>
        <v>34.012897518459816</v>
      </c>
      <c r="Q36" s="20">
        <f t="shared" si="53"/>
        <v>285.78045505893664</v>
      </c>
      <c r="R36" s="59">
        <f t="shared" si="0"/>
        <v>553.90206951786161</v>
      </c>
      <c r="S36" s="59">
        <f ca="1">AVERAGE(OFFSET($R$3,0,0,'Données projet'!$E$9+1,1))-AVERAGE(OFFSET($H$3,0,0,'Données projet'!$E$9+1,1))</f>
        <v>668.93155285055116</v>
      </c>
      <c r="T36" s="59">
        <f t="shared" si="34"/>
        <v>306.43050420339659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63.124076670615906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3.887142857142857</v>
      </c>
      <c r="AI36" s="13">
        <f>IF('Données projet'!$A$62&gt;35,AI35+AH36-AQ35,IF(A36&lt;'Données projet'!$A$62,$AF$205^A36,IF(A36='Données projet'!$A$62,'Données projet'!$B$62,AI35+AH36-AQ35)))</f>
        <v>128.27571428571434</v>
      </c>
      <c r="AJ36" s="13">
        <f>AI36*VLOOKUP('Données projet'!$B$10,Paramètres!$A$1:$I$89,3,0)*VLOOKUP('Données projet'!$B$10,Paramètres!$A$1:$I$89,5,0)</f>
        <v>124.06827085714291</v>
      </c>
      <c r="AK36" s="13">
        <f t="shared" si="35"/>
        <v>32.622007666753092</v>
      </c>
      <c r="AL36" s="20">
        <f t="shared" si="4"/>
        <v>272.9022350957855</v>
      </c>
      <c r="AM36" s="59">
        <f t="shared" si="5"/>
        <v>541.02384955471052</v>
      </c>
      <c r="AN36" s="59">
        <f ca="1">AVERAGE(OFFSET($AM$3,0,0,'Données projet'!$E$10+1,1))-AVERAGE(OFFSET($H$3,0,0,'Données projet'!$E$10+1,1))</f>
        <v>641.25537514609562</v>
      </c>
      <c r="AO36" s="59">
        <f t="shared" si="36"/>
        <v>294.69846357521487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63.124076670615906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7.6601960784313725</v>
      </c>
      <c r="BD36" s="12">
        <f>IF('Données projet'!$A$88&gt;35,BD35+BC36-BL35,IF(A36&lt;'Données projet'!$A$88,$BA$205^A36,IF(A36='Données projet'!$A$88,'Données projet'!$B$88,BD35+BC36-BL35)))</f>
        <v>252.7864705882352</v>
      </c>
      <c r="BE36" s="13">
        <f>BD36*VLOOKUP('Données projet'!$B$11,Paramètres!$A$1:$I$89,3,0)*VLOOKUP('Données projet'!$B$11,Paramètres!$A$1:$I$89,5,0)</f>
        <v>118.30406823529408</v>
      </c>
      <c r="BF36" s="13">
        <f t="shared" si="37"/>
        <v>31.279123987293506</v>
      </c>
      <c r="BG36" s="20">
        <f t="shared" si="7"/>
        <v>260.52405978767342</v>
      </c>
      <c r="BH36" s="59">
        <f t="shared" si="8"/>
        <v>528.64567424659845</v>
      </c>
      <c r="BI36" s="59">
        <f ca="1">AVERAGE(OFFSET($BH$3,0,0,'Données projet'!$E$11+1,1))-AVERAGE(OFFSET($H$3,0,0,'Données projet'!$E$11+1,1))</f>
        <v>351.46787950120347</v>
      </c>
      <c r="BJ36" s="59">
        <f t="shared" si="38"/>
        <v>283.42185695241858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63.124076670615906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63.124076670615906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63.124076670615906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63.124076670615906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63.124076670615906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63.124076670615906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63.124076670615906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2.4500000000000002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8.9833333333333343</v>
      </c>
      <c r="H37" s="67">
        <f t="shared" si="1"/>
        <v>220.73333333333335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63.243358568119092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3.887142857142857</v>
      </c>
      <c r="N37" s="13">
        <f>IF('Données projet'!$A$36&gt;35,N36+M37-V36,IF(A37&lt;'Données projet'!$A$36,$K$205^A37,IF(A37='Données projet'!$A$36,'Données projet'!$B$36,N36+M37-V36)))</f>
        <v>132.16285714285721</v>
      </c>
      <c r="O37" s="13">
        <f>N37*VLOOKUP('Données projet'!$B$9,Paramètres!$A$1:$I$89,3,0)*VLOOKUP('Données projet'!$B$9,Paramètres!$A$1:$I$89,5,0)</f>
        <v>134.0131371428572</v>
      </c>
      <c r="P37" s="13">
        <f t="shared" si="33"/>
        <v>34.92203026351433</v>
      </c>
      <c r="Q37" s="20">
        <f t="shared" si="53"/>
        <v>294.2287498994304</v>
      </c>
      <c r="R37" s="59">
        <f t="shared" si="0"/>
        <v>562.78773131586706</v>
      </c>
      <c r="S37" s="59">
        <f ca="1">AVERAGE(OFFSET($R$3,0,0,'Données projet'!$E$9+1,1))-AVERAGE(OFFSET($H$3,0,0,'Données projet'!$E$9+1,1))</f>
        <v>668.93155285055116</v>
      </c>
      <c r="T37" s="59">
        <f t="shared" si="34"/>
        <v>306.43050420339659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63.243358568119092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3.887142857142857</v>
      </c>
      <c r="AI37" s="13">
        <f>IF('Données projet'!$A$62&gt;35,AI36+AH37-AQ36,IF(A37&lt;'Données projet'!$A$62,$AF$205^A37,IF(A37='Données projet'!$A$62,'Données projet'!$B$62,AI36+AH37-AQ36)))</f>
        <v>132.16285714285721</v>
      </c>
      <c r="AJ37" s="13">
        <f>AI37*VLOOKUP('Données projet'!$B$10,Paramètres!$A$1:$I$89,3,0)*VLOOKUP('Données projet'!$B$10,Paramètres!$A$1:$I$89,5,0)</f>
        <v>127.8279154285715</v>
      </c>
      <c r="AK37" s="13">
        <f t="shared" si="35"/>
        <v>33.493963234877462</v>
      </c>
      <c r="AL37" s="20">
        <f t="shared" si="4"/>
        <v>280.96893867217358</v>
      </c>
      <c r="AM37" s="59">
        <f t="shared" si="5"/>
        <v>549.52792008861024</v>
      </c>
      <c r="AN37" s="59">
        <f ca="1">AVERAGE(OFFSET($AM$3,0,0,'Données projet'!$E$10+1,1))-AVERAGE(OFFSET($H$3,0,0,'Données projet'!$E$10+1,1))</f>
        <v>641.25537514609562</v>
      </c>
      <c r="AO37" s="59">
        <f t="shared" si="36"/>
        <v>294.69846357521487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63.243358568119092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7.6601960784313725</v>
      </c>
      <c r="BD37" s="12">
        <f>IF('Données projet'!$A$88&gt;35,BD36+BC37-BL36,IF(A37&lt;'Données projet'!$A$88,$BA$205^A37,IF(A37='Données projet'!$A$88,'Données projet'!$B$88,BD36+BC37-BL36)))</f>
        <v>260.4466666666666</v>
      </c>
      <c r="BE37" s="13">
        <f>BD37*VLOOKUP('Données projet'!$B$11,Paramètres!$A$1:$I$89,3,0)*VLOOKUP('Données projet'!$B$11,Paramètres!$A$1:$I$89,5,0)</f>
        <v>121.88903999999997</v>
      </c>
      <c r="BF37" s="13">
        <f t="shared" si="37"/>
        <v>32.115185538298832</v>
      </c>
      <c r="BG37" s="20">
        <f t="shared" si="7"/>
        <v>268.22402614587037</v>
      </c>
      <c r="BH37" s="59">
        <f t="shared" si="8"/>
        <v>536.78300756230703</v>
      </c>
      <c r="BI37" s="59">
        <f ca="1">AVERAGE(OFFSET($BH$3,0,0,'Données projet'!$E$11+1,1))-AVERAGE(OFFSET($H$3,0,0,'Données projet'!$E$11+1,1))</f>
        <v>351.46787950120347</v>
      </c>
      <c r="BJ37" s="59">
        <f t="shared" si="38"/>
        <v>283.42185695241858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63.243358568119092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63.243358568119092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63.243358568119092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63.243358568119092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63.243358568119092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63.243358568119092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63.243358568119092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2.4500000000000002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8.9833333333333343</v>
      </c>
      <c r="H38" s="67">
        <f t="shared" si="1"/>
        <v>220.73333333333335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63.360571191374959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3.887142857142857</v>
      </c>
      <c r="N38" s="13">
        <f>IF('Données projet'!$A$36&gt;35,N37+M38-V37,IF(A38&lt;'Données projet'!$A$36,$K$205^A38,IF(A38='Données projet'!$A$36,'Données projet'!$B$36,N37+M38-V37)))</f>
        <v>136.05000000000007</v>
      </c>
      <c r="O38" s="13">
        <f>N38*VLOOKUP('Données projet'!$B$9,Paramètres!$A$1:$I$89,3,0)*VLOOKUP('Données projet'!$B$9,Paramètres!$A$1:$I$89,5,0)</f>
        <v>137.95470000000009</v>
      </c>
      <c r="P38" s="13">
        <f t="shared" si="33"/>
        <v>35.828055414169384</v>
      </c>
      <c r="Q38" s="20">
        <f t="shared" si="53"/>
        <v>302.67163234634512</v>
      </c>
      <c r="R38" s="59">
        <f t="shared" si="0"/>
        <v>571.66039338138671</v>
      </c>
      <c r="S38" s="59">
        <f ca="1">AVERAGE(OFFSET($R$3,0,0,'Données projet'!$E$9+1,1))-AVERAGE(OFFSET($H$3,0,0,'Données projet'!$E$9+1,1))</f>
        <v>668.93155285055116</v>
      </c>
      <c r="T38" s="59">
        <f t="shared" si="34"/>
        <v>306.43050420339659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63.360571191374959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3.887142857142857</v>
      </c>
      <c r="AI38" s="13">
        <f>IF('Données projet'!$A$62&gt;35,AI37+AH38-AQ37,IF(A38&lt;'Données projet'!$A$62,$AF$205^A38,IF(A38='Données projet'!$A$62,'Données projet'!$B$62,AI37+AH38-AQ37)))</f>
        <v>136.05000000000007</v>
      </c>
      <c r="AJ38" s="13">
        <f>AI38*VLOOKUP('Données projet'!$B$10,Paramètres!$A$1:$I$89,3,0)*VLOOKUP('Données projet'!$B$10,Paramètres!$A$1:$I$89,5,0)</f>
        <v>131.58756000000008</v>
      </c>
      <c r="AK38" s="13">
        <f t="shared" si="35"/>
        <v>34.362938287499752</v>
      </c>
      <c r="AL38" s="20">
        <f t="shared" si="4"/>
        <v>289.0304511840622</v>
      </c>
      <c r="AM38" s="59">
        <f t="shared" si="5"/>
        <v>558.01921221910379</v>
      </c>
      <c r="AN38" s="59">
        <f ca="1">AVERAGE(OFFSET($AM$3,0,0,'Données projet'!$E$10+1,1))-AVERAGE(OFFSET($H$3,0,0,'Données projet'!$E$10+1,1))</f>
        <v>641.25537514609562</v>
      </c>
      <c r="AO38" s="59">
        <f t="shared" si="36"/>
        <v>294.69846357521487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63.360571191374959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7.6601960784313725</v>
      </c>
      <c r="BD38" s="12">
        <f>IF('Données projet'!$A$88&gt;35,BD37+BC38-BL37,IF(A38&lt;'Données projet'!$A$88,$BA$205^A38,IF(A38='Données projet'!$A$88,'Données projet'!$B$88,BD37+BC38-BL37)))</f>
        <v>268.106862745098</v>
      </c>
      <c r="BE38" s="13">
        <f>BD38*VLOOKUP('Données projet'!$B$11,Paramètres!$A$1:$I$89,3,0)*VLOOKUP('Données projet'!$B$11,Paramètres!$A$1:$I$89,5,0)</f>
        <v>125.47401176470586</v>
      </c>
      <c r="BF38" s="13">
        <f t="shared" si="37"/>
        <v>32.948389266607037</v>
      </c>
      <c r="BG38" s="20">
        <f t="shared" si="7"/>
        <v>275.91901512953666</v>
      </c>
      <c r="BH38" s="59">
        <f t="shared" si="8"/>
        <v>544.90777616457819</v>
      </c>
      <c r="BI38" s="59">
        <f ca="1">AVERAGE(OFFSET($BH$3,0,0,'Données projet'!$E$11+1,1))-AVERAGE(OFFSET($H$3,0,0,'Données projet'!$E$11+1,1))</f>
        <v>351.46787950120347</v>
      </c>
      <c r="BJ38" s="59">
        <f t="shared" si="38"/>
        <v>283.42185695241858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63.360571191374959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63.360571191374959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63.360571191374959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63.360571191374959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63.360571191374959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63.360571191374959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63.360571191374959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2.4500000000000002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8.9833333333333343</v>
      </c>
      <c r="H39" s="67">
        <f t="shared" si="1"/>
        <v>220.73333333333335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63.475750437665511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3.887142857142857</v>
      </c>
      <c r="N39" s="13">
        <f>IF('Données projet'!$A$36&gt;35,N38+M39-V38,IF(A39&lt;'Données projet'!$A$36,$K$205^A39,IF(A39='Données projet'!$A$36,'Données projet'!$B$36,N38+M39-V38)))</f>
        <v>139.93714285714293</v>
      </c>
      <c r="O39" s="13">
        <f>N39*VLOOKUP('Données projet'!$B$9,Paramètres!$A$1:$I$89,3,0)*VLOOKUP('Données projet'!$B$9,Paramètres!$A$1:$I$89,5,0)</f>
        <v>141.89626285714294</v>
      </c>
      <c r="P39" s="13">
        <f t="shared" si="33"/>
        <v>36.73107195645354</v>
      </c>
      <c r="Q39" s="20">
        <f t="shared" si="53"/>
        <v>311.10927480034724</v>
      </c>
      <c r="R39" s="59">
        <f t="shared" si="0"/>
        <v>580.52035973845409</v>
      </c>
      <c r="S39" s="59">
        <f ca="1">AVERAGE(OFFSET($R$3,0,0,'Données projet'!$E$9+1,1))-AVERAGE(OFFSET($H$3,0,0,'Données projet'!$E$9+1,1))</f>
        <v>668.93155285055116</v>
      </c>
      <c r="T39" s="59">
        <f t="shared" si="34"/>
        <v>306.43050420339659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63.475750437665511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3.887142857142857</v>
      </c>
      <c r="AI39" s="13">
        <f>IF('Données projet'!$A$62&gt;35,AI38+AH39-AQ38,IF(A39&lt;'Données projet'!$A$62,$AF$205^A39,IF(A39='Données projet'!$A$62,'Données projet'!$B$62,AI38+AH39-AQ38)))</f>
        <v>139.93714285714293</v>
      </c>
      <c r="AJ39" s="13">
        <f>AI39*VLOOKUP('Données projet'!$B$10,Paramètres!$A$1:$I$89,3,0)*VLOOKUP('Données projet'!$B$10,Paramètres!$A$1:$I$89,5,0)</f>
        <v>135.34720457142865</v>
      </c>
      <c r="AK39" s="13">
        <f t="shared" si="35"/>
        <v>35.229027762811612</v>
      </c>
      <c r="AL39" s="20">
        <f t="shared" si="4"/>
        <v>297.08693798213511</v>
      </c>
      <c r="AM39" s="59">
        <f t="shared" si="5"/>
        <v>566.49802292024197</v>
      </c>
      <c r="AN39" s="59">
        <f ca="1">AVERAGE(OFFSET($AM$3,0,0,'Données projet'!$E$10+1,1))-AVERAGE(OFFSET($H$3,0,0,'Données projet'!$E$10+1,1))</f>
        <v>641.25537514609562</v>
      </c>
      <c r="AO39" s="59">
        <f t="shared" si="36"/>
        <v>294.69846357521487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63.475750437665511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7.6601960784313725</v>
      </c>
      <c r="BD39" s="12">
        <f>IF('Données projet'!$A$88&gt;35,BD38+BC39-BL38,IF(A39&lt;'Données projet'!$A$88,$BA$205^A39,IF(A39='Données projet'!$A$88,'Données projet'!$B$88,BD38+BC39-BL38)))</f>
        <v>275.7670588235294</v>
      </c>
      <c r="BE39" s="13">
        <f>BD39*VLOOKUP('Données projet'!$B$11,Paramètres!$A$1:$I$89,3,0)*VLOOKUP('Données projet'!$B$11,Paramètres!$A$1:$I$89,5,0)</f>
        <v>129.05898352941176</v>
      </c>
      <c r="BF39" s="13">
        <f t="shared" si="37"/>
        <v>33.778826202282794</v>
      </c>
      <c r="BG39" s="20">
        <f t="shared" si="7"/>
        <v>283.60918528270133</v>
      </c>
      <c r="BH39" s="59">
        <f t="shared" si="8"/>
        <v>553.02027022080824</v>
      </c>
      <c r="BI39" s="59">
        <f ca="1">AVERAGE(OFFSET($BH$3,0,0,'Données projet'!$E$11+1,1))-AVERAGE(OFFSET($H$3,0,0,'Données projet'!$E$11+1,1))</f>
        <v>351.46787950120347</v>
      </c>
      <c r="BJ39" s="59">
        <f t="shared" si="38"/>
        <v>283.42185695241858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63.475750437665511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63.475750437665511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63.475750437665511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63.475750437665511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63.475750437665511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63.475750437665511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63.475750437665511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2.4500000000000002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8.9833333333333343</v>
      </c>
      <c r="H40" s="67">
        <f t="shared" si="1"/>
        <v>220.73333333333335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63.588931581535135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3.887142857142857</v>
      </c>
      <c r="N40" s="13">
        <f>IF('Données projet'!$A$36&gt;35,N39+M40-V39,IF(A40&lt;'Données projet'!$A$36,$K$205^A40,IF(A40='Données projet'!$A$36,'Données projet'!$B$36,N39+M40-V39)))</f>
        <v>143.82428571428579</v>
      </c>
      <c r="O40" s="13">
        <f>N40*VLOOKUP('Données projet'!$B$9,Paramètres!$A$1:$I$89,3,0)*VLOOKUP('Données projet'!$B$9,Paramètres!$A$1:$I$89,5,0)</f>
        <v>145.8378257142858</v>
      </c>
      <c r="P40" s="13">
        <f t="shared" si="33"/>
        <v>37.631173064254732</v>
      </c>
      <c r="Q40" s="20">
        <f t="shared" si="53"/>
        <v>319.5418395392914</v>
      </c>
      <c r="R40" s="59">
        <f t="shared" si="0"/>
        <v>589.36792200492027</v>
      </c>
      <c r="S40" s="59">
        <f ca="1">AVERAGE(OFFSET($R$3,0,0,'Données projet'!$E$9+1,1))-AVERAGE(OFFSET($H$3,0,0,'Données projet'!$E$9+1,1))</f>
        <v>668.93155285055116</v>
      </c>
      <c r="T40" s="59">
        <f t="shared" si="34"/>
        <v>306.43050420339659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63.588931581535135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3.887142857142857</v>
      </c>
      <c r="AI40" s="13">
        <f>IF('Données projet'!$A$62&gt;35,AI39+AH40-AQ39,IF(A40&lt;'Données projet'!$A$62,$AF$205^A40,IF(A40='Données projet'!$A$62,'Données projet'!$B$62,AI39+AH40-AQ39)))</f>
        <v>143.82428571428579</v>
      </c>
      <c r="AJ40" s="13">
        <f>AI40*VLOOKUP('Données projet'!$B$10,Paramètres!$A$1:$I$89,3,0)*VLOOKUP('Données projet'!$B$10,Paramètres!$A$1:$I$89,5,0)</f>
        <v>139.10684914285721</v>
      </c>
      <c r="AK40" s="13">
        <f t="shared" si="35"/>
        <v>36.092321024539963</v>
      </c>
      <c r="AL40" s="20">
        <f t="shared" si="4"/>
        <v>305.13855470821676</v>
      </c>
      <c r="AM40" s="59">
        <f t="shared" si="5"/>
        <v>574.96463717384563</v>
      </c>
      <c r="AN40" s="59">
        <f ca="1">AVERAGE(OFFSET($AM$3,0,0,'Données projet'!$E$10+1,1))-AVERAGE(OFFSET($H$3,0,0,'Données projet'!$E$10+1,1))</f>
        <v>641.25537514609562</v>
      </c>
      <c r="AO40" s="59">
        <f t="shared" si="36"/>
        <v>294.69846357521487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63.588931581535135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7.6601960784313725</v>
      </c>
      <c r="BD40" s="12">
        <f>IF('Données projet'!$A$88&gt;35,BD39+BC40-BL39,IF(A40&lt;'Données projet'!$A$88,$BA$205^A40,IF(A40='Données projet'!$A$88,'Données projet'!$B$88,BD39+BC40-BL39)))</f>
        <v>283.42725490196079</v>
      </c>
      <c r="BE40" s="13">
        <f>BD40*VLOOKUP('Données projet'!$B$11,Paramètres!$A$1:$I$89,3,0)*VLOOKUP('Données projet'!$B$11,Paramètres!$A$1:$I$89,5,0)</f>
        <v>132.64395529411766</v>
      </c>
      <c r="BF40" s="13">
        <f t="shared" si="37"/>
        <v>34.606582030398712</v>
      </c>
      <c r="BG40" s="20">
        <f t="shared" si="7"/>
        <v>291.29468584019929</v>
      </c>
      <c r="BH40" s="59">
        <f t="shared" si="8"/>
        <v>561.12076830582805</v>
      </c>
      <c r="BI40" s="59">
        <f ca="1">AVERAGE(OFFSET($BH$3,0,0,'Données projet'!$E$11+1,1))-AVERAGE(OFFSET($H$3,0,0,'Données projet'!$E$11+1,1))</f>
        <v>351.46787950120347</v>
      </c>
      <c r="BJ40" s="59">
        <f t="shared" si="38"/>
        <v>283.42185695241858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63.588931581535135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63.588931581535135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63.588931581535135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63.588931581535135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63.588931581535135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63.588931581535135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63.588931581535135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2.4500000000000002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8.9833333333333343</v>
      </c>
      <c r="H41" s="67">
        <f t="shared" si="1"/>
        <v>220.73333333333335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63.70014928559376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3.887142857142857</v>
      </c>
      <c r="N41" s="13">
        <f>IF('Données projet'!$A$36&gt;35,N40+M41-V40,IF(A41&lt;'Données projet'!$A$36,$K$205^A41,IF(A41='Données projet'!$A$36,'Données projet'!$B$36,N40+M41-V40)))</f>
        <v>147.71142857142866</v>
      </c>
      <c r="O41" s="13">
        <f>N41*VLOOKUP('Données projet'!$B$9,Paramètres!$A$1:$I$89,3,0)*VLOOKUP('Données projet'!$B$9,Paramètres!$A$1:$I$89,5,0)</f>
        <v>149.77938857142865</v>
      </c>
      <c r="P41" s="13">
        <f t="shared" si="33"/>
        <v>38.528446588331214</v>
      </c>
      <c r="Q41" s="20">
        <f t="shared" si="53"/>
        <v>327.96947956991511</v>
      </c>
      <c r="R41" s="59">
        <f t="shared" si="0"/>
        <v>598.20336028375891</v>
      </c>
      <c r="S41" s="59">
        <f ca="1">AVERAGE(OFFSET($R$3,0,0,'Données projet'!$E$9+1,1))-AVERAGE(OFFSET($H$3,0,0,'Données projet'!$E$9+1,1))</f>
        <v>668.93155285055116</v>
      </c>
      <c r="T41" s="59">
        <f t="shared" si="34"/>
        <v>306.43050420339659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63.70014928559376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3.887142857142857</v>
      </c>
      <c r="AI41" s="13">
        <f>IF('Données projet'!$A$62&gt;35,AI40+AH41-AQ40,IF(A41&lt;'Données projet'!$A$62,$AF$205^A41,IF(A41='Données projet'!$A$62,'Données projet'!$B$62,AI40+AH41-AQ40)))</f>
        <v>147.71142857142866</v>
      </c>
      <c r="AJ41" s="13">
        <f>AI41*VLOOKUP('Données projet'!$B$10,Paramètres!$A$1:$I$89,3,0)*VLOOKUP('Données projet'!$B$10,Paramètres!$A$1:$I$89,5,0)</f>
        <v>142.86649371428578</v>
      </c>
      <c r="AK41" s="13">
        <f t="shared" si="35"/>
        <v>36.952902330960896</v>
      </c>
      <c r="AL41" s="20">
        <f t="shared" si="4"/>
        <v>313.18544811213798</v>
      </c>
      <c r="AM41" s="59">
        <f t="shared" si="5"/>
        <v>583.41932882598178</v>
      </c>
      <c r="AN41" s="59">
        <f ca="1">AVERAGE(OFFSET($AM$3,0,0,'Données projet'!$E$10+1,1))-AVERAGE(OFFSET($H$3,0,0,'Données projet'!$E$10+1,1))</f>
        <v>641.25537514609562</v>
      </c>
      <c r="AO41" s="59">
        <f t="shared" si="36"/>
        <v>294.69846357521487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63.70014928559376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7.6601960784313725</v>
      </c>
      <c r="BD41" s="12">
        <f>IF('Données projet'!$A$88&gt;35,BD40+BC41-BL40,IF(A41&lt;'Données projet'!$A$88,$BA$205^A41,IF(A41='Données projet'!$A$88,'Données projet'!$B$88,BD40+BC41-BL40)))</f>
        <v>291.08745098039219</v>
      </c>
      <c r="BE41" s="13">
        <f>BD41*VLOOKUP('Données projet'!$B$11,Paramètres!$A$1:$I$89,3,0)*VLOOKUP('Données projet'!$B$11,Paramètres!$A$1:$I$89,5,0)</f>
        <v>136.22892705882356</v>
      </c>
      <c r="BF41" s="13">
        <f t="shared" si="37"/>
        <v>35.431737540742127</v>
      </c>
      <c r="BG41" s="20">
        <f t="shared" si="7"/>
        <v>298.9756575109102</v>
      </c>
      <c r="BH41" s="59">
        <f t="shared" si="8"/>
        <v>569.20953822475394</v>
      </c>
      <c r="BI41" s="59">
        <f ca="1">AVERAGE(OFFSET($BH$3,0,0,'Données projet'!$E$11+1,1))-AVERAGE(OFFSET($H$3,0,0,'Données projet'!$E$11+1,1))</f>
        <v>351.46787950120347</v>
      </c>
      <c r="BJ41" s="59">
        <f t="shared" si="38"/>
        <v>283.42185695241858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63.70014928559376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63.70014928559376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63.70014928559376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63.70014928559376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63.70014928559376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63.70014928559376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63.70014928559376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2.4500000000000002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8.9833333333333343</v>
      </c>
      <c r="H42" s="67">
        <f t="shared" si="1"/>
        <v>220.73333333333335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63.809437611132502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3.887142857142857</v>
      </c>
      <c r="N42" s="13">
        <f>IF('Données projet'!$A$36&gt;35,N41+M42-V41,IF(A42&lt;'Données projet'!$A$36,$K$205^A42,IF(A42='Données projet'!$A$36,'Données projet'!$B$36,N41+M42-V41)))</f>
        <v>151.59857142857152</v>
      </c>
      <c r="O42" s="13">
        <f>N42*VLOOKUP('Données projet'!$B$9,Paramètres!$A$1:$I$89,3,0)*VLOOKUP('Données projet'!$B$9,Paramètres!$A$1:$I$89,5,0)</f>
        <v>153.72095142857154</v>
      </c>
      <c r="P42" s="13">
        <f t="shared" si="33"/>
        <v>39.422975492399672</v>
      </c>
      <c r="Q42" s="20">
        <f t="shared" si="53"/>
        <v>336.39233938735816</v>
      </c>
      <c r="R42" s="59">
        <f t="shared" si="0"/>
        <v>607.0269439615106</v>
      </c>
      <c r="S42" s="59">
        <f ca="1">AVERAGE(OFFSET($R$3,0,0,'Données projet'!$E$9+1,1))-AVERAGE(OFFSET($H$3,0,0,'Données projet'!$E$9+1,1))</f>
        <v>668.93155285055116</v>
      </c>
      <c r="T42" s="59">
        <f t="shared" si="34"/>
        <v>306.43050420339659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63.809437611132502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3.887142857142857</v>
      </c>
      <c r="AI42" s="13">
        <f>IF('Données projet'!$A$62&gt;35,AI41+AH42-AQ41,IF(A42&lt;'Données projet'!$A$62,$AF$205^A42,IF(A42='Données projet'!$A$62,'Données projet'!$B$62,AI41+AH42-AQ41)))</f>
        <v>151.59857142857152</v>
      </c>
      <c r="AJ42" s="13">
        <f>AI42*VLOOKUP('Données projet'!$B$10,Paramètres!$A$1:$I$89,3,0)*VLOOKUP('Données projet'!$B$10,Paramètres!$A$1:$I$89,5,0)</f>
        <v>146.62613828571438</v>
      </c>
      <c r="AK42" s="13">
        <f t="shared" si="35"/>
        <v>37.810851253154773</v>
      </c>
      <c r="AL42" s="20">
        <f t="shared" si="4"/>
        <v>321.22775678019707</v>
      </c>
      <c r="AM42" s="59">
        <f t="shared" si="5"/>
        <v>591.86236135434956</v>
      </c>
      <c r="AN42" s="59">
        <f ca="1">AVERAGE(OFFSET($AM$3,0,0,'Données projet'!$E$10+1,1))-AVERAGE(OFFSET($H$3,0,0,'Données projet'!$E$10+1,1))</f>
        <v>641.25537514609562</v>
      </c>
      <c r="AO42" s="59">
        <f t="shared" si="36"/>
        <v>294.69846357521487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63.809437611132502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7.6601960784313725</v>
      </c>
      <c r="BD42" s="12">
        <f>IF('Données projet'!$A$88&gt;35,BD41+BC42-BL41,IF(A42&lt;'Données projet'!$A$88,$BA$205^A42,IF(A42='Données projet'!$A$88,'Données projet'!$B$88,BD41+BC42-BL41)))</f>
        <v>298.74764705882359</v>
      </c>
      <c r="BE42" s="13">
        <f>BD42*VLOOKUP('Données projet'!$B$11,Paramètres!$A$1:$I$89,3,0)*VLOOKUP('Données projet'!$B$11,Paramètres!$A$1:$I$89,5,0)</f>
        <v>139.81389882352943</v>
      </c>
      <c r="BF42" s="13">
        <f t="shared" si="37"/>
        <v>36.254369028853056</v>
      </c>
      <c r="BG42" s="20">
        <f t="shared" si="7"/>
        <v>306.65223317623287</v>
      </c>
      <c r="BH42" s="59">
        <f t="shared" si="8"/>
        <v>577.2868377503853</v>
      </c>
      <c r="BI42" s="59">
        <f ca="1">AVERAGE(OFFSET($BH$3,0,0,'Données projet'!$E$11+1,1))-AVERAGE(OFFSET($H$3,0,0,'Données projet'!$E$11+1,1))</f>
        <v>351.46787950120347</v>
      </c>
      <c r="BJ42" s="59">
        <f t="shared" si="38"/>
        <v>283.42185695241858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63.809437611132502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63.809437611132502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63.809437611132502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63.809437611132502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63.809437611132502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63.809437611132502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63.809437611132502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2.4500000000000002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8.9833333333333343</v>
      </c>
      <c r="H43" s="67">
        <f t="shared" si="1"/>
        <v>220.73333333333335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63.916830028555239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3.887142857142857</v>
      </c>
      <c r="N43" s="13">
        <f>IF('Données projet'!$A$36&gt;35,N42+M43-V42,IF(A43&lt;'Données projet'!$A$36,$K$205^A43,IF(A43='Données projet'!$A$36,'Données projet'!$B$36,N42+M43-V42)))</f>
        <v>155.48571428571438</v>
      </c>
      <c r="O43" s="13">
        <f>N43*VLOOKUP('Données projet'!$B$9,Paramètres!$A$1:$I$89,3,0)*VLOOKUP('Données projet'!$B$9,Paramètres!$A$1:$I$89,5,0)</f>
        <v>157.66251428571439</v>
      </c>
      <c r="P43" s="13">
        <f t="shared" si="33"/>
        <v>40.314838243237894</v>
      </c>
      <c r="Q43" s="20">
        <f t="shared" si="53"/>
        <v>344.81055565459184</v>
      </c>
      <c r="R43" s="59">
        <f t="shared" si="0"/>
        <v>615.83893242596105</v>
      </c>
      <c r="S43" s="59">
        <f ca="1">AVERAGE(OFFSET($R$3,0,0,'Données projet'!$E$9+1,1))-AVERAGE(OFFSET($H$3,0,0,'Données projet'!$E$9+1,1))</f>
        <v>668.93155285055116</v>
      </c>
      <c r="T43" s="59">
        <f t="shared" si="34"/>
        <v>306.43050420339659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63.916830028555239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3.887142857142857</v>
      </c>
      <c r="AI43" s="13">
        <f>IF('Données projet'!$A$62&gt;35,AI42+AH43-AQ42,IF(A43&lt;'Données projet'!$A$62,$AF$205^A43,IF(A43='Données projet'!$A$62,'Données projet'!$B$62,AI42+AH43-AQ42)))</f>
        <v>155.48571428571438</v>
      </c>
      <c r="AJ43" s="13">
        <f>AI43*VLOOKUP('Données projet'!$B$10,Paramètres!$A$1:$I$89,3,0)*VLOOKUP('Données projet'!$B$10,Paramètres!$A$1:$I$89,5,0)</f>
        <v>150.38578285714294</v>
      </c>
      <c r="AK43" s="13">
        <f t="shared" si="35"/>
        <v>38.666243049156442</v>
      </c>
      <c r="AL43" s="20">
        <f t="shared" si="4"/>
        <v>329.26561178680475</v>
      </c>
      <c r="AM43" s="59">
        <f t="shared" si="5"/>
        <v>600.29398855817396</v>
      </c>
      <c r="AN43" s="59">
        <f ca="1">AVERAGE(OFFSET($AM$3,0,0,'Données projet'!$E$10+1,1))-AVERAGE(OFFSET($H$3,0,0,'Données projet'!$E$10+1,1))</f>
        <v>641.25537514609562</v>
      </c>
      <c r="AO43" s="59">
        <f t="shared" si="36"/>
        <v>294.69846357521487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63.916830028555239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7.6601960784313725</v>
      </c>
      <c r="BD43" s="12">
        <f>IF('Données projet'!$A$88&gt;35,BD42+BC43-BL42,IF(A43&lt;'Données projet'!$A$88,$BA$205^A43,IF(A43='Données projet'!$A$88,'Données projet'!$B$88,BD42+BC43-BL42)))</f>
        <v>306.40784313725499</v>
      </c>
      <c r="BE43" s="13">
        <f>BD43*VLOOKUP('Données projet'!$B$11,Paramètres!$A$1:$I$89,3,0)*VLOOKUP('Données projet'!$B$11,Paramètres!$A$1:$I$89,5,0)</f>
        <v>143.39887058823533</v>
      </c>
      <c r="BF43" s="13">
        <f t="shared" si="37"/>
        <v>37.074548654772258</v>
      </c>
      <c r="BG43" s="20">
        <f t="shared" si="7"/>
        <v>314.32453851490487</v>
      </c>
      <c r="BH43" s="59">
        <f t="shared" si="8"/>
        <v>585.35291528627408</v>
      </c>
      <c r="BI43" s="59">
        <f ca="1">AVERAGE(OFFSET($BH$3,0,0,'Données projet'!$E$11+1,1))-AVERAGE(OFFSET($H$3,0,0,'Données projet'!$E$11+1,1))</f>
        <v>351.46787950120347</v>
      </c>
      <c r="BJ43" s="59">
        <f t="shared" si="38"/>
        <v>283.42185695241858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63.916830028555239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63.916830028555239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63.916830028555239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63.916830028555239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63.916830028555239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63.916830028555239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63.916830028555239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2.4500000000000002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8.9833333333333343</v>
      </c>
      <c r="H44" s="67">
        <f t="shared" si="1"/>
        <v>220.73333333333335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64.022359427629169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3.887142857142857</v>
      </c>
      <c r="N44" s="13">
        <f>IF('Données projet'!$A$36&gt;35,N43+M44-V43,IF(A44&lt;'Données projet'!$A$36,$K$205^A44,IF(A44='Données projet'!$A$36,'Données projet'!$B$36,N43+M44-V43)))</f>
        <v>159.37285714285724</v>
      </c>
      <c r="O44" s="13">
        <f>N44*VLOOKUP('Données projet'!$B$9,Paramètres!$A$1:$I$89,3,0)*VLOOKUP('Données projet'!$B$9,Paramètres!$A$1:$I$89,5,0)</f>
        <v>161.60407714285725</v>
      </c>
      <c r="P44" s="13">
        <f t="shared" si="33"/>
        <v>41.204109160679089</v>
      </c>
      <c r="Q44" s="20">
        <f t="shared" si="53"/>
        <v>353.2242578119924</v>
      </c>
      <c r="R44" s="59">
        <f t="shared" si="0"/>
        <v>624.63957571329934</v>
      </c>
      <c r="S44" s="59">
        <f ca="1">AVERAGE(OFFSET($R$3,0,0,'Données projet'!$E$9+1,1))-AVERAGE(OFFSET($H$3,0,0,'Données projet'!$E$9+1,1))</f>
        <v>668.93155285055116</v>
      </c>
      <c r="T44" s="59">
        <f t="shared" si="34"/>
        <v>306.43050420339659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64.022359427629169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3.887142857142857</v>
      </c>
      <c r="AI44" s="13">
        <f>IF('Données projet'!$A$62&gt;35,AI43+AH44-AQ43,IF(A44&lt;'Données projet'!$A$62,$AF$205^A44,IF(A44='Données projet'!$A$62,'Données projet'!$B$62,AI43+AH44-AQ43)))</f>
        <v>159.37285714285724</v>
      </c>
      <c r="AJ44" s="13">
        <f>AI44*VLOOKUP('Données projet'!$B$10,Paramètres!$A$1:$I$89,3,0)*VLOOKUP('Données projet'!$B$10,Paramètres!$A$1:$I$89,5,0)</f>
        <v>154.14542742857151</v>
      </c>
      <c r="AK44" s="13">
        <f t="shared" si="35"/>
        <v>39.519148999637181</v>
      </c>
      <c r="AL44" s="20">
        <f t="shared" si="4"/>
        <v>337.29913727913015</v>
      </c>
      <c r="AM44" s="59">
        <f t="shared" si="5"/>
        <v>608.71445518043708</v>
      </c>
      <c r="AN44" s="59">
        <f ca="1">AVERAGE(OFFSET($AM$3,0,0,'Données projet'!$E$10+1,1))-AVERAGE(OFFSET($H$3,0,0,'Données projet'!$E$10+1,1))</f>
        <v>641.25537514609562</v>
      </c>
      <c r="AO44" s="59">
        <f t="shared" si="36"/>
        <v>294.69846357521487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64.022359427629169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7.6601960784313725</v>
      </c>
      <c r="BD44" s="12">
        <f>IF('Données projet'!$A$88&gt;35,BD43+BC44-BL43,IF(A44&lt;'Données projet'!$A$88,$BA$205^A44,IF(A44='Données projet'!$A$88,'Données projet'!$B$88,BD43+BC44-BL43)))</f>
        <v>314.06803921568638</v>
      </c>
      <c r="BE44" s="13">
        <f>BD44*VLOOKUP('Données projet'!$B$11,Paramètres!$A$1:$I$89,3,0)*VLOOKUP('Données projet'!$B$11,Paramètres!$A$1:$I$89,5,0)</f>
        <v>146.98384235294122</v>
      </c>
      <c r="BF44" s="13">
        <f t="shared" si="37"/>
        <v>37.892344764904891</v>
      </c>
      <c r="BG44" s="20">
        <f t="shared" si="7"/>
        <v>321.99269256358195</v>
      </c>
      <c r="BH44" s="59">
        <f t="shared" si="8"/>
        <v>593.40801046488889</v>
      </c>
      <c r="BI44" s="59">
        <f ca="1">AVERAGE(OFFSET($BH$3,0,0,'Données projet'!$E$11+1,1))-AVERAGE(OFFSET($H$3,0,0,'Données projet'!$E$11+1,1))</f>
        <v>351.46787950120347</v>
      </c>
      <c r="BJ44" s="59">
        <f t="shared" si="38"/>
        <v>283.42185695241858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64.022359427629169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64.022359427629169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64.022359427629169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64.022359427629169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64.022359427629169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64.022359427629169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64.022359427629169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2.4500000000000002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8.9833333333333343</v>
      </c>
      <c r="H45" s="67">
        <f t="shared" si="1"/>
        <v>220.73333333333335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64.126058127557542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163.26</v>
      </c>
      <c r="L45" s="12">
        <f>VLOOKUP(A45,'Données projet'!$A$35:$I$55,9,0)</f>
        <v>3.887142857142857</v>
      </c>
      <c r="M45" s="12">
        <f t="array" ref="M45">INDEX(L:L,MIN(IF(ISNUMBER(L45:L241),ROW(L45:L241),"")))</f>
        <v>3.887142857142857</v>
      </c>
      <c r="N45" s="13">
        <f>IF('Données projet'!$A$36&gt;35,N44+M45-V44,IF(A45&lt;'Données projet'!$A$36,$K$205^A45,IF(A45='Données projet'!$A$36,'Données projet'!$B$36,N44+M45-V44)))</f>
        <v>163.2600000000001</v>
      </c>
      <c r="O45" s="13">
        <f>N45*VLOOKUP('Données projet'!$B$9,Paramètres!$A$1:$I$89,3,0)*VLOOKUP('Données projet'!$B$9,Paramètres!$A$1:$I$89,5,0)</f>
        <v>165.54564000000011</v>
      </c>
      <c r="P45" s="13">
        <f t="shared" si="33"/>
        <v>42.090858732498674</v>
      </c>
      <c r="Q45" s="20">
        <f t="shared" si="53"/>
        <v>361.6335686257687</v>
      </c>
      <c r="R45" s="59">
        <f t="shared" si="0"/>
        <v>633.4291150934796</v>
      </c>
      <c r="S45" s="59">
        <f ca="1">AVERAGE(OFFSET($R$3,0,0,'Données projet'!$E$9+1,1))-AVERAGE(OFFSET($H$3,0,0,'Données projet'!$E$9+1,1))</f>
        <v>668.93155285055116</v>
      </c>
      <c r="T45" s="59">
        <f t="shared" si="34"/>
        <v>306.43050420339659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43.21</v>
      </c>
      <c r="W45" s="16">
        <f>IF(ISNA(VLOOKUP(A45,'Données projet'!$A$35:$I$55,5,0)),0%,VLOOKUP(A45,'Données projet'!$A$35:$I$55,5,0)*VLOOKUP('Données projet'!$B$9,Paramètres!$A$1:$I$89,7,0))</f>
        <v>0.129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6.2482592672807336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6.2482592672807336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64.126058127557542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163.26</v>
      </c>
      <c r="AG45" s="12">
        <f>VLOOKUP(A45,'Données projet'!$A$61:$I$81,9,0)</f>
        <v>3.887142857142857</v>
      </c>
      <c r="AH45" s="12">
        <f t="array" ref="AH45">INDEX(AG:AG,MIN(IF(ISNUMBER(AG45:AG241),ROW(AG45:AG241),"")))</f>
        <v>3.887142857142857</v>
      </c>
      <c r="AI45" s="13">
        <f>IF('Données projet'!$A$62&gt;35,AI44+AH45-AQ44,IF(A45&lt;'Données projet'!$A$62,$AF$205^A45,IF(A45='Données projet'!$A$62,'Données projet'!$B$62,AI44+AH45-AQ44)))</f>
        <v>163.2600000000001</v>
      </c>
      <c r="AJ45" s="13">
        <f>AI45*VLOOKUP('Données projet'!$B$10,Paramètres!$A$1:$I$89,3,0)*VLOOKUP('Données projet'!$B$10,Paramètres!$A$1:$I$89,5,0)</f>
        <v>157.9050720000001</v>
      </c>
      <c r="AK45" s="13">
        <f t="shared" si="35"/>
        <v>40.369636709915028</v>
      </c>
      <c r="AL45" s="20">
        <f t="shared" si="4"/>
        <v>345.32845100310215</v>
      </c>
      <c r="AM45" s="59">
        <f t="shared" si="5"/>
        <v>617.12399747081304</v>
      </c>
      <c r="AN45" s="59">
        <f ca="1">AVERAGE(OFFSET($AM$3,0,0,'Données projet'!$E$10+1,1))-AVERAGE(OFFSET($H$3,0,0,'Données projet'!$E$10+1,1))</f>
        <v>641.25537514609562</v>
      </c>
      <c r="AO45" s="59">
        <f t="shared" si="36"/>
        <v>294.69846357521487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0.129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5.9598780703293146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5.9598780703293146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64.126058127557542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7.6601960784313725</v>
      </c>
      <c r="BD45" s="12">
        <f>IF('Données projet'!$A$88&gt;35,BD44+BC45-BL44,IF(A45&lt;'Données projet'!$A$88,$BA$205^A45,IF(A45='Données projet'!$A$88,'Données projet'!$B$88,BD44+BC45-BL44)))</f>
        <v>321.72823529411778</v>
      </c>
      <c r="BE45" s="13">
        <f>BD45*VLOOKUP('Données projet'!$B$11,Paramètres!$A$1:$I$89,3,0)*VLOOKUP('Données projet'!$B$11,Paramètres!$A$1:$I$89,5,0)</f>
        <v>150.56881411764712</v>
      </c>
      <c r="BF45" s="13">
        <f t="shared" si="37"/>
        <v>38.707822181598679</v>
      </c>
      <c r="BG45" s="20">
        <f t="shared" si="7"/>
        <v>329.6568082211864</v>
      </c>
      <c r="BH45" s="59">
        <f t="shared" si="8"/>
        <v>601.45235468889734</v>
      </c>
      <c r="BI45" s="59">
        <f ca="1">AVERAGE(OFFSET($BH$3,0,0,'Données projet'!$E$11+1,1))-AVERAGE(OFFSET($H$3,0,0,'Données projet'!$E$11+1,1))</f>
        <v>351.46787950120347</v>
      </c>
      <c r="BJ45" s="59">
        <f t="shared" si="38"/>
        <v>283.42185695241858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64.126058127557542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64.126058127557542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64.126058127557542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64.126058127557542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64.126058127557542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64.126058127557542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64.126058127557542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2.4500000000000002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8.9833333333333343</v>
      </c>
      <c r="H46" s="67">
        <f t="shared" si="1"/>
        <v>220.73333333333335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64.227957886877732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9.3712500000000034</v>
      </c>
      <c r="N46" s="13">
        <f>IF('Données projet'!$A$36&gt;35,N45+M46-V45,IF(A46&lt;'Données projet'!$A$36,$K$205^A46,IF(A46='Données projet'!$A$36,'Données projet'!$B$36,N45+M46-V45)))</f>
        <v>129.4212500000001</v>
      </c>
      <c r="O46" s="13">
        <f>N46*VLOOKUP('Données projet'!$B$9,Paramètres!$A$1:$I$89,3,0)*VLOOKUP('Données projet'!$B$9,Paramètres!$A$1:$I$89,5,0)</f>
        <v>131.23314750000011</v>
      </c>
      <c r="P46" s="13">
        <f t="shared" si="33"/>
        <v>34.281146756704409</v>
      </c>
      <c r="Q46" s="20">
        <f t="shared" si="53"/>
        <v>288.27072916376034</v>
      </c>
      <c r="R46" s="59">
        <f t="shared" si="0"/>
        <v>560.43990808231206</v>
      </c>
      <c r="S46" s="59">
        <f ca="1">AVERAGE(OFFSET($R$3,0,0,'Données projet'!$E$9+1,1))-AVERAGE(OFFSET($H$3,0,0,'Données projet'!$E$9+1,1))</f>
        <v>668.93155285055116</v>
      </c>
      <c r="T46" s="59">
        <f t="shared" si="34"/>
        <v>306.43050420339659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6.1257347141112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6.1257347141112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64.227957886877732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9.3712500000000034</v>
      </c>
      <c r="AI46" s="13">
        <f>IF('Données projet'!$A$62&gt;35,AI45+AH46-AQ45,IF(A46&lt;'Données projet'!$A$62,$AF$205^A46,IF(A46='Données projet'!$A$62,'Données projet'!$B$62,AI45+AH46-AQ45)))</f>
        <v>129.4212500000001</v>
      </c>
      <c r="AJ46" s="13">
        <f>AI46*VLOOKUP('Données projet'!$B$10,Paramètres!$A$1:$I$89,3,0)*VLOOKUP('Données projet'!$B$10,Paramètres!$A$1:$I$89,5,0)</f>
        <v>125.1762330000001</v>
      </c>
      <c r="AK46" s="13">
        <f t="shared" si="35"/>
        <v>32.879287385479394</v>
      </c>
      <c r="AL46" s="20">
        <f t="shared" si="4"/>
        <v>275.28003133804344</v>
      </c>
      <c r="AM46" s="59">
        <f t="shared" si="5"/>
        <v>547.44921025659517</v>
      </c>
      <c r="AN46" s="59">
        <f ca="1">AVERAGE(OFFSET($AM$3,0,0,'Données projet'!$E$10+1,1))-AVERAGE(OFFSET($H$3,0,0,'Données projet'!$E$10+1,1))</f>
        <v>641.25537514609562</v>
      </c>
      <c r="AO46" s="59">
        <f t="shared" si="36"/>
        <v>294.69846357521487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5.8430084965368367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5.8430084965368367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64.227957886877732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7.6601960784313725</v>
      </c>
      <c r="BD46" s="12">
        <f>IF('Données projet'!$A$88&gt;35,BD45+BC46-BL45,IF(A46&lt;'Données projet'!$A$88,$BA$205^A46,IF(A46='Données projet'!$A$88,'Données projet'!$B$88,BD45+BC46-BL45)))</f>
        <v>329.38843137254918</v>
      </c>
      <c r="BE46" s="13">
        <f>BD46*VLOOKUP('Données projet'!$B$11,Paramètres!$A$1:$I$89,3,0)*VLOOKUP('Données projet'!$B$11,Paramètres!$A$1:$I$89,5,0)</f>
        <v>154.15378588235302</v>
      </c>
      <c r="BF46" s="13">
        <f t="shared" si="37"/>
        <v>39.521042464366339</v>
      </c>
      <c r="BG46" s="20">
        <f t="shared" si="7"/>
        <v>337.31699270386952</v>
      </c>
      <c r="BH46" s="59">
        <f t="shared" si="8"/>
        <v>609.48617162242124</v>
      </c>
      <c r="BI46" s="59">
        <f ca="1">AVERAGE(OFFSET($BH$3,0,0,'Données projet'!$E$11+1,1))-AVERAGE(OFFSET($H$3,0,0,'Données projet'!$E$11+1,1))</f>
        <v>351.46787950120347</v>
      </c>
      <c r="BJ46" s="59">
        <f t="shared" si="38"/>
        <v>283.42185695241858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64.227957886877732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64.227957886877732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64.227957886877732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64.227957886877732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64.227957886877732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64.227957886877732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64.227957886877732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2.4500000000000002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8.9833333333333343</v>
      </c>
      <c r="H47" s="67">
        <f t="shared" si="1"/>
        <v>220.73333333333335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64.328089913187455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9.3712500000000034</v>
      </c>
      <c r="N47" s="13">
        <f>IF('Données projet'!$A$36&gt;35,N46+M47-V46,IF(A47&lt;'Données projet'!$A$36,$K$205^A47,IF(A47='Données projet'!$A$36,'Données projet'!$B$36,N46+M47-V46)))</f>
        <v>138.7925000000001</v>
      </c>
      <c r="O47" s="13">
        <f>N47*VLOOKUP('Données projet'!$B$9,Paramètres!$A$1:$I$89,3,0)*VLOOKUP('Données projet'!$B$9,Paramètres!$A$1:$I$89,5,0)</f>
        <v>140.7355950000001</v>
      </c>
      <c r="P47" s="13">
        <f t="shared" si="33"/>
        <v>36.465468549139587</v>
      </c>
      <c r="Q47" s="20">
        <f t="shared" si="53"/>
        <v>308.62518568141826</v>
      </c>
      <c r="R47" s="59">
        <f t="shared" si="0"/>
        <v>581.16151536310554</v>
      </c>
      <c r="S47" s="59">
        <f ca="1">AVERAGE(OFFSET($R$3,0,0,'Données projet'!$E$9+1,1))-AVERAGE(OFFSET($H$3,0,0,'Données projet'!$E$9+1,1))</f>
        <v>668.93155285055116</v>
      </c>
      <c r="T47" s="59">
        <f t="shared" si="34"/>
        <v>306.43050420339659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6.0056127926967227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6.0056127926967227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64.328089913187455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9.3712500000000034</v>
      </c>
      <c r="AI47" s="13">
        <f>IF('Données projet'!$A$62&gt;35,AI46+AH47-AQ46,IF(A47&lt;'Données projet'!$A$62,$AF$205^A47,IF(A47='Données projet'!$A$62,'Données projet'!$B$62,AI46+AH47-AQ46)))</f>
        <v>138.7925000000001</v>
      </c>
      <c r="AJ47" s="13">
        <f>AI47*VLOOKUP('Données projet'!$B$10,Paramètres!$A$1:$I$89,3,0)*VLOOKUP('Données projet'!$B$10,Paramètres!$A$1:$I$89,5,0)</f>
        <v>134.24010600000011</v>
      </c>
      <c r="AK47" s="13">
        <f t="shared" si="35"/>
        <v>34.974285679017981</v>
      </c>
      <c r="AL47" s="20">
        <f t="shared" si="4"/>
        <v>294.71506550762314</v>
      </c>
      <c r="AM47" s="59">
        <f t="shared" si="5"/>
        <v>567.25139518931041</v>
      </c>
      <c r="AN47" s="59">
        <f ca="1">AVERAGE(OFFSET($AM$3,0,0,'Données projet'!$E$10+1,1))-AVERAGE(OFFSET($H$3,0,0,'Données projet'!$E$10+1,1))</f>
        <v>641.25537514609562</v>
      </c>
      <c r="AO47" s="59">
        <f t="shared" si="36"/>
        <v>294.69846357521487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5.728430663803028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5.728430663803028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64.328089913187455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7.6601960784313725</v>
      </c>
      <c r="BD47" s="12">
        <f>IF('Données projet'!$A$88&gt;35,BD46+BC47-BL46,IF(A47&lt;'Données projet'!$A$88,$BA$205^A47,IF(A47='Données projet'!$A$88,'Données projet'!$B$88,BD46+BC47-BL46)))</f>
        <v>337.04862745098058</v>
      </c>
      <c r="BE47" s="13">
        <f>BD47*VLOOKUP('Données projet'!$B$11,Paramètres!$A$1:$I$89,3,0)*VLOOKUP('Données projet'!$B$11,Paramètres!$A$1:$I$89,5,0)</f>
        <v>157.73875764705892</v>
      </c>
      <c r="BF47" s="13">
        <f t="shared" si="37"/>
        <v>40.332064146123422</v>
      </c>
      <c r="BG47" s="20">
        <f t="shared" si="7"/>
        <v>344.97334795645929</v>
      </c>
      <c r="BH47" s="59">
        <f t="shared" si="8"/>
        <v>617.50967763814663</v>
      </c>
      <c r="BI47" s="59">
        <f ca="1">AVERAGE(OFFSET($BH$3,0,0,'Données projet'!$E$11+1,1))-AVERAGE(OFFSET($H$3,0,0,'Données projet'!$E$11+1,1))</f>
        <v>351.46787950120347</v>
      </c>
      <c r="BJ47" s="59">
        <f t="shared" si="38"/>
        <v>283.42185695241858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64.328089913187455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64.328089913187455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64.328089913187455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64.328089913187455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64.328089913187455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64.328089913187455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64.328089913187455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2.4500000000000002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8.9833333333333343</v>
      </c>
      <c r="H48" s="67">
        <f t="shared" si="1"/>
        <v>220.73333333333335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64.426484872702375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9.3712500000000034</v>
      </c>
      <c r="N48" s="13">
        <f>IF('Données projet'!$A$36&gt;35,N47+M48-V47,IF(A48&lt;'Données projet'!$A$36,$K$205^A48,IF(A48='Données projet'!$A$36,'Données projet'!$B$36,N47+M48-V47)))</f>
        <v>148.16375000000011</v>
      </c>
      <c r="O48" s="13">
        <f>N48*VLOOKUP('Données projet'!$B$9,Paramètres!$A$1:$I$89,3,0)*VLOOKUP('Données projet'!$B$9,Paramètres!$A$1:$I$89,5,0)</f>
        <v>150.23804250000012</v>
      </c>
      <c r="P48" s="13">
        <f t="shared" si="33"/>
        <v>38.632676639775759</v>
      </c>
      <c r="Q48" s="20">
        <f t="shared" si="53"/>
        <v>328.94983583510964</v>
      </c>
      <c r="R48" s="59">
        <f t="shared" si="0"/>
        <v>601.84694703501827</v>
      </c>
      <c r="S48" s="59">
        <f ca="1">AVERAGE(OFFSET($R$3,0,0,'Données projet'!$E$9+1,1))-AVERAGE(OFFSET($H$3,0,0,'Données projet'!$E$9+1,1))</f>
        <v>668.93155285055116</v>
      </c>
      <c r="T48" s="59">
        <f t="shared" si="34"/>
        <v>306.43050420339659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5.8878463888940464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5.8878463888940464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64.426484872702375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9.3712500000000034</v>
      </c>
      <c r="AI48" s="13">
        <f>IF('Données projet'!$A$62&gt;35,AI47+AH48-AQ47,IF(A48&lt;'Données projet'!$A$62,$AF$205^A48,IF(A48='Données projet'!$A$62,'Données projet'!$B$62,AI47+AH48-AQ47)))</f>
        <v>148.16375000000011</v>
      </c>
      <c r="AJ48" s="13">
        <f>AI48*VLOOKUP('Données projet'!$B$10,Paramètres!$A$1:$I$89,3,0)*VLOOKUP('Données projet'!$B$10,Paramètres!$A$1:$I$89,5,0)</f>
        <v>143.30397900000011</v>
      </c>
      <c r="AK48" s="13">
        <f t="shared" si="35"/>
        <v>37.052870101583345</v>
      </c>
      <c r="AL48" s="20">
        <f t="shared" si="4"/>
        <v>314.12151218525787</v>
      </c>
      <c r="AM48" s="59">
        <f t="shared" si="5"/>
        <v>587.01862338516662</v>
      </c>
      <c r="AN48" s="59">
        <f ca="1">AVERAGE(OFFSET($AM$3,0,0,'Données projet'!$E$10+1,1))-AVERAGE(OFFSET($H$3,0,0,'Données projet'!$E$10+1,1))</f>
        <v>641.25537514609562</v>
      </c>
      <c r="AO48" s="59">
        <f t="shared" si="36"/>
        <v>294.69846357521487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5.6160996324835519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5.6160996324835519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64.426484872702375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7.6601960784313725</v>
      </c>
      <c r="BD48" s="12">
        <f>IF('Données projet'!$A$88&gt;35,BD47+BC48-BL47,IF(A48&lt;'Données projet'!$A$88,$BA$205^A48,IF(A48='Données projet'!$A$88,'Données projet'!$B$88,BD47+BC48-BL47)))</f>
        <v>344.70882352941197</v>
      </c>
      <c r="BE48" s="13">
        <f>BD48*VLOOKUP('Données projet'!$B$11,Paramètres!$A$1:$I$89,3,0)*VLOOKUP('Données projet'!$B$11,Paramètres!$A$1:$I$89,5,0)</f>
        <v>161.32372941176479</v>
      </c>
      <c r="BF48" s="13">
        <f t="shared" si="37"/>
        <v>41.140942947344818</v>
      </c>
      <c r="BG48" s="20">
        <f t="shared" si="7"/>
        <v>352.62597102544919</v>
      </c>
      <c r="BH48" s="59">
        <f t="shared" si="8"/>
        <v>625.52308222535794</v>
      </c>
      <c r="BI48" s="59">
        <f ca="1">AVERAGE(OFFSET($BH$3,0,0,'Données projet'!$E$11+1,1))-AVERAGE(OFFSET($H$3,0,0,'Données projet'!$E$11+1,1))</f>
        <v>351.46787950120347</v>
      </c>
      <c r="BJ48" s="59">
        <f t="shared" si="38"/>
        <v>283.42185695241858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64.426484872702375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64.426484872702375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64.426484872702375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64.426484872702375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64.426484872702375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64.426484872702375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64.426484872702375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2.4500000000000002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8.9833333333333343</v>
      </c>
      <c r="H49" s="67">
        <f t="shared" si="1"/>
        <v>220.73333333333335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64.523172899647889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9.3712500000000034</v>
      </c>
      <c r="N49" s="13">
        <f>IF('Données projet'!$A$36&gt;35,N48+M49-V48,IF(A49&lt;'Données projet'!$A$36,$K$205^A49,IF(A49='Données projet'!$A$36,'Données projet'!$B$36,N48+M49-V48)))</f>
        <v>157.53500000000011</v>
      </c>
      <c r="O49" s="13">
        <f>N49*VLOOKUP('Données projet'!$B$9,Paramètres!$A$1:$I$89,3,0)*VLOOKUP('Données projet'!$B$9,Paramètres!$A$1:$I$89,5,0)</f>
        <v>159.74049000000011</v>
      </c>
      <c r="P49" s="13">
        <f t="shared" si="33"/>
        <v>40.783976673134042</v>
      </c>
      <c r="Q49" s="20">
        <f t="shared" si="53"/>
        <v>349.24677945570858</v>
      </c>
      <c r="R49" s="59">
        <f t="shared" si="0"/>
        <v>622.49841342108414</v>
      </c>
      <c r="S49" s="59">
        <f ca="1">AVERAGE(OFFSET($R$3,0,0,'Données projet'!$E$9+1,1))-AVERAGE(OFFSET($H$3,0,0,'Données projet'!$E$9+1,1))</f>
        <v>668.93155285055116</v>
      </c>
      <c r="T49" s="59">
        <f t="shared" si="34"/>
        <v>306.43050420339659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5.7723893124395271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5.7723893124395271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64.523172899647889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9.3712500000000034</v>
      </c>
      <c r="AI49" s="13">
        <f>IF('Données projet'!$A$62&gt;35,AI48+AH49-AQ48,IF(A49&lt;'Données projet'!$A$62,$AF$205^A49,IF(A49='Données projet'!$A$62,'Données projet'!$B$62,AI48+AH49-AQ48)))</f>
        <v>157.53500000000011</v>
      </c>
      <c r="AJ49" s="13">
        <f>AI49*VLOOKUP('Données projet'!$B$10,Paramètres!$A$1:$I$89,3,0)*VLOOKUP('Données projet'!$B$10,Paramètres!$A$1:$I$89,5,0)</f>
        <v>152.36785200000011</v>
      </c>
      <c r="AK49" s="13">
        <f t="shared" si="35"/>
        <v>39.116196995259784</v>
      </c>
      <c r="AL49" s="20">
        <f t="shared" si="4"/>
        <v>333.50138533341101</v>
      </c>
      <c r="AM49" s="59">
        <f t="shared" si="5"/>
        <v>606.75301929878651</v>
      </c>
      <c r="AN49" s="59">
        <f ca="1">AVERAGE(OFFSET($AM$3,0,0,'Données projet'!$E$10+1,1))-AVERAGE(OFFSET($H$3,0,0,'Données projet'!$E$10+1,1))</f>
        <v>641.25537514609562</v>
      </c>
      <c r="AO49" s="59">
        <f t="shared" si="36"/>
        <v>294.69846357521487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5.5059713441730871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5.5059713441730871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64.523172899647889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7.6601960784313725</v>
      </c>
      <c r="BD49" s="12">
        <f>IF('Données projet'!$A$88&gt;35,BD48+BC49-BL48,IF(A49&lt;'Données projet'!$A$88,$BA$205^A49,IF(A49='Données projet'!$A$88,'Données projet'!$B$88,BD48+BC49-BL48)))</f>
        <v>352.36901960784337</v>
      </c>
      <c r="BE49" s="13">
        <f>BD49*VLOOKUP('Données projet'!$B$11,Paramètres!$A$1:$I$89,3,0)*VLOOKUP('Données projet'!$B$11,Paramètres!$A$1:$I$89,5,0)</f>
        <v>164.90870117647071</v>
      </c>
      <c r="BF49" s="13">
        <f t="shared" si="37"/>
        <v>41.947731970648171</v>
      </c>
      <c r="BG49" s="20">
        <f t="shared" si="7"/>
        <v>360.27495439789868</v>
      </c>
      <c r="BH49" s="59">
        <f t="shared" si="8"/>
        <v>633.52658836327419</v>
      </c>
      <c r="BI49" s="59">
        <f ca="1">AVERAGE(OFFSET($BH$3,0,0,'Données projet'!$E$11+1,1))-AVERAGE(OFFSET($H$3,0,0,'Données projet'!$E$11+1,1))</f>
        <v>351.46787950120347</v>
      </c>
      <c r="BJ49" s="59">
        <f t="shared" si="38"/>
        <v>283.42185695241858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64.523172899647889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64.523172899647889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64.523172899647889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64.523172899647889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64.523172899647889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64.523172899647889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64.523172899647889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2.4500000000000002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8.9833333333333343</v>
      </c>
      <c r="H50" s="67">
        <f t="shared" si="1"/>
        <v>220.73333333333335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64.618183605487928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9.3712500000000034</v>
      </c>
      <c r="N50" s="13">
        <f>IF('Données projet'!$A$36&gt;35,N49+M50-V49,IF(A50&lt;'Données projet'!$A$36,$K$205^A50,IF(A50='Données projet'!$A$36,'Données projet'!$B$36,N49+M50-V49)))</f>
        <v>166.90625000000011</v>
      </c>
      <c r="O50" s="13">
        <f>N50*VLOOKUP('Données projet'!$B$9,Paramètres!$A$1:$I$89,3,0)*VLOOKUP('Données projet'!$B$9,Paramètres!$A$1:$I$89,5,0)</f>
        <v>169.24293750000012</v>
      </c>
      <c r="P50" s="13">
        <f t="shared" si="33"/>
        <v>42.920422750313541</v>
      </c>
      <c r="Q50" s="20">
        <f t="shared" si="53"/>
        <v>369.51785243596299</v>
      </c>
      <c r="R50" s="59">
        <f t="shared" si="0"/>
        <v>643.11785898941866</v>
      </c>
      <c r="S50" s="59">
        <f ca="1">AVERAGE(OFFSET($R$3,0,0,'Données projet'!$E$9+1,1))-AVERAGE(OFFSET($H$3,0,0,'Données projet'!$E$9+1,1))</f>
        <v>668.93155285055116</v>
      </c>
      <c r="T50" s="59">
        <f t="shared" si="34"/>
        <v>306.43050420339659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5.6591962788324173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5.6591962788324173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64.618183605487928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9.3712500000000034</v>
      </c>
      <c r="AI50" s="13">
        <f>IF('Données projet'!$A$62&gt;35,AI49+AH50-AQ49,IF(A50&lt;'Données projet'!$A$62,$AF$205^A50,IF(A50='Données projet'!$A$62,'Données projet'!$B$62,AI49+AH50-AQ49)))</f>
        <v>166.90625000000011</v>
      </c>
      <c r="AJ50" s="13">
        <f>AI50*VLOOKUP('Données projet'!$B$10,Paramètres!$A$1:$I$89,3,0)*VLOOKUP('Données projet'!$B$10,Paramètres!$A$1:$I$89,5,0)</f>
        <v>161.43172500000011</v>
      </c>
      <c r="AK50" s="13">
        <f t="shared" si="35"/>
        <v>41.165277355776809</v>
      </c>
      <c r="AL50" s="20">
        <f t="shared" si="4"/>
        <v>352.85644576964478</v>
      </c>
      <c r="AM50" s="59">
        <f t="shared" si="5"/>
        <v>626.45645232310051</v>
      </c>
      <c r="AN50" s="59">
        <f ca="1">AVERAGE(OFFSET($AM$3,0,0,'Données projet'!$E$10+1,1))-AVERAGE(OFFSET($H$3,0,0,'Données projet'!$E$10+1,1))</f>
        <v>641.25537514609562</v>
      </c>
      <c r="AO50" s="59">
        <f t="shared" si="36"/>
        <v>294.69846357521487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5.3980026044247671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5.3980026044247671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64.618183605487928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7.6601960784313725</v>
      </c>
      <c r="BD50" s="12">
        <f>IF('Données projet'!$A$88&gt;35,BD49+BC50-BL49,IF(A50&lt;'Données projet'!$A$88,$BA$205^A50,IF(A50='Données projet'!$A$88,'Données projet'!$B$88,BD49+BC50-BL49)))</f>
        <v>360.02921568627477</v>
      </c>
      <c r="BE50" s="13">
        <f>BD50*VLOOKUP('Données projet'!$B$11,Paramètres!$A$1:$I$89,3,0)*VLOOKUP('Données projet'!$B$11,Paramètres!$A$1:$I$89,5,0)</f>
        <v>168.49367294117658</v>
      </c>
      <c r="BF50" s="13">
        <f t="shared" si="37"/>
        <v>42.752481877979932</v>
      </c>
      <c r="BG50" s="20">
        <f t="shared" si="7"/>
        <v>367.92038631003089</v>
      </c>
      <c r="BH50" s="59">
        <f t="shared" si="8"/>
        <v>641.52039286348668</v>
      </c>
      <c r="BI50" s="59">
        <f ca="1">AVERAGE(OFFSET($BH$3,0,0,'Données projet'!$E$11+1,1))-AVERAGE(OFFSET($H$3,0,0,'Données projet'!$E$11+1,1))</f>
        <v>351.46787950120347</v>
      </c>
      <c r="BJ50" s="59">
        <f t="shared" si="38"/>
        <v>283.42185695241858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64.618183605487928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64.618183605487928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64.618183605487928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64.618183605487928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64.618183605487928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64.618183605487928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64.618183605487928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2.4500000000000002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8.9833333333333343</v>
      </c>
      <c r="H51" s="67">
        <f t="shared" si="1"/>
        <v>220.73333333333335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64.711546087993781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9.3712500000000034</v>
      </c>
      <c r="N51" s="13">
        <f>IF('Données projet'!$A$36&gt;35,N50+M51-V50,IF(A51&lt;'Données projet'!$A$36,$K$205^A51,IF(A51='Données projet'!$A$36,'Données projet'!$B$36,N50+M51-V50)))</f>
        <v>176.27750000000012</v>
      </c>
      <c r="O51" s="13">
        <f>N51*VLOOKUP('Données projet'!$B$9,Paramètres!$A$1:$I$89,3,0)*VLOOKUP('Données projet'!$B$9,Paramètres!$A$1:$I$89,5,0)</f>
        <v>178.74538500000011</v>
      </c>
      <c r="P51" s="13">
        <f t="shared" si="33"/>
        <v>45.042943918150705</v>
      </c>
      <c r="Q51" s="20">
        <f t="shared" si="53"/>
        <v>389.76467286577935</v>
      </c>
      <c r="R51" s="59">
        <f t="shared" si="0"/>
        <v>663.70700852175651</v>
      </c>
      <c r="S51" s="59">
        <f ca="1">AVERAGE(OFFSET($R$3,0,0,'Données projet'!$E$9+1,1))-AVERAGE(OFFSET($H$3,0,0,'Données projet'!$E$9+1,1))</f>
        <v>668.93155285055116</v>
      </c>
      <c r="T51" s="59">
        <f t="shared" si="34"/>
        <v>306.43050420339659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5.5482228915734098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5.5482228915734098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64.711546087993781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9.3712500000000034</v>
      </c>
      <c r="AI51" s="13">
        <f>IF('Données projet'!$A$62&gt;35,AI50+AH51-AQ50,IF(A51&lt;'Données projet'!$A$62,$AF$205^A51,IF(A51='Données projet'!$A$62,'Données projet'!$B$62,AI50+AH51-AQ50)))</f>
        <v>176.27750000000012</v>
      </c>
      <c r="AJ51" s="13">
        <f>AI51*VLOOKUP('Données projet'!$B$10,Paramètres!$A$1:$I$89,3,0)*VLOOKUP('Données projet'!$B$10,Paramètres!$A$1:$I$89,5,0)</f>
        <v>170.49559800000011</v>
      </c>
      <c r="AK51" s="13">
        <f t="shared" si="35"/>
        <v>43.201002238446733</v>
      </c>
      <c r="AL51" s="20">
        <f t="shared" si="4"/>
        <v>372.18824541529494</v>
      </c>
      <c r="AM51" s="59">
        <f t="shared" si="5"/>
        <v>646.1305810712721</v>
      </c>
      <c r="AN51" s="59">
        <f ca="1">AVERAGE(OFFSET($AM$3,0,0,'Données projet'!$E$10+1,1))-AVERAGE(OFFSET($H$3,0,0,'Données projet'!$E$10+1,1))</f>
        <v>641.25537514609562</v>
      </c>
      <c r="AO51" s="59">
        <f t="shared" si="36"/>
        <v>294.69846357521487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5.2921510658084827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5.2921510658084827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64.711546087993781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7.6601960784313725</v>
      </c>
      <c r="BD51" s="12">
        <f>IF('Données projet'!$A$88&gt;35,BD50+BC51-BL50,IF(A51&lt;'Données projet'!$A$88,$BA$205^A51,IF(A51='Données projet'!$A$88,'Données projet'!$B$88,BD50+BC51-BL50)))</f>
        <v>367.68941176470616</v>
      </c>
      <c r="BE51" s="13">
        <f>BD51*VLOOKUP('Données projet'!$B$11,Paramètres!$A$1:$I$89,3,0)*VLOOKUP('Données projet'!$B$11,Paramètres!$A$1:$I$89,5,0)</f>
        <v>172.07864470588248</v>
      </c>
      <c r="BF51" s="13">
        <f t="shared" si="37"/>
        <v>43.555241052296047</v>
      </c>
      <c r="BG51" s="20">
        <f t="shared" si="7"/>
        <v>375.56235102882761</v>
      </c>
      <c r="BH51" s="59">
        <f t="shared" si="8"/>
        <v>649.50468668480471</v>
      </c>
      <c r="BI51" s="59">
        <f ca="1">AVERAGE(OFFSET($BH$3,0,0,'Données projet'!$E$11+1,1))-AVERAGE(OFFSET($H$3,0,0,'Données projet'!$E$11+1,1))</f>
        <v>351.46787950120347</v>
      </c>
      <c r="BJ51" s="59">
        <f t="shared" si="38"/>
        <v>283.42185695241858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64.711546087993781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64.711546087993781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64.711546087993781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64.711546087993781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64.711546087993781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64.711546087993781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64.711546087993781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2.4500000000000002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8.9833333333333343</v>
      </c>
      <c r="H52" s="67">
        <f t="shared" si="1"/>
        <v>220.73333333333335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64.803288940155383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9.3712500000000034</v>
      </c>
      <c r="N52" s="13">
        <f>IF('Données projet'!$A$36&gt;35,N51+M52-V51,IF(A52&lt;'Données projet'!$A$36,$K$205^A52,IF(A52='Données projet'!$A$36,'Données projet'!$B$36,N51+M52-V51)))</f>
        <v>185.64875000000012</v>
      </c>
      <c r="O52" s="13">
        <f>N52*VLOOKUP('Données projet'!$B$9,Paramètres!$A$1:$I$89,3,0)*VLOOKUP('Données projet'!$B$9,Paramètres!$A$1:$I$89,5,0)</f>
        <v>188.24783250000013</v>
      </c>
      <c r="P52" s="13">
        <f t="shared" si="33"/>
        <v>47.152364864692288</v>
      </c>
      <c r="Q52" s="20">
        <f t="shared" si="53"/>
        <v>409.98867707683922</v>
      </c>
      <c r="R52" s="59">
        <f t="shared" si="0"/>
        <v>684.26740319074224</v>
      </c>
      <c r="S52" s="59">
        <f ca="1">AVERAGE(OFFSET($R$3,0,0,'Données projet'!$E$9+1,1))-AVERAGE(OFFSET($H$3,0,0,'Données projet'!$E$9+1,1))</f>
        <v>668.93155285055116</v>
      </c>
      <c r="T52" s="59">
        <f t="shared" si="34"/>
        <v>306.43050420339659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5.4394256247514683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5.4394256247514683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64.803288940155383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9.3712500000000034</v>
      </c>
      <c r="AI52" s="13">
        <f>IF('Données projet'!$A$62&gt;35,AI51+AH52-AQ51,IF(A52&lt;'Données projet'!$A$62,$AF$205^A52,IF(A52='Données projet'!$A$62,'Données projet'!$B$62,AI51+AH52-AQ51)))</f>
        <v>185.64875000000012</v>
      </c>
      <c r="AJ52" s="13">
        <f>AI52*VLOOKUP('Données projet'!$B$10,Paramètres!$A$1:$I$89,3,0)*VLOOKUP('Données projet'!$B$10,Paramètres!$A$1:$I$89,5,0)</f>
        <v>179.55947100000012</v>
      </c>
      <c r="AK52" s="13">
        <f t="shared" si="35"/>
        <v>45.224162607337405</v>
      </c>
      <c r="AL52" s="20">
        <f t="shared" si="4"/>
        <v>391.49816186611287</v>
      </c>
      <c r="AM52" s="59">
        <f t="shared" si="5"/>
        <v>665.776887980016</v>
      </c>
      <c r="AN52" s="59">
        <f ca="1">AVERAGE(OFFSET($AM$3,0,0,'Données projet'!$E$10+1,1))-AVERAGE(OFFSET($H$3,0,0,'Données projet'!$E$10+1,1))</f>
        <v>641.25537514609562</v>
      </c>
      <c r="AO52" s="59">
        <f t="shared" si="36"/>
        <v>294.69846357521487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5.1883752113014001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5.1883752113014001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64.803288940155383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7.6601960784313725</v>
      </c>
      <c r="BD52" s="12">
        <f>IF('Données projet'!$A$88&gt;35,BD51+BC52-BL51,IF(A52&lt;'Données projet'!$A$88,$BA$205^A52,IF(A52='Données projet'!$A$88,'Données projet'!$B$88,BD51+BC52-BL51)))</f>
        <v>375.34960784313756</v>
      </c>
      <c r="BE52" s="13">
        <f>BD52*VLOOKUP('Données projet'!$B$11,Paramètres!$A$1:$I$89,3,0)*VLOOKUP('Données projet'!$B$11,Paramètres!$A$1:$I$89,5,0)</f>
        <v>175.66361647058838</v>
      </c>
      <c r="BF52" s="13">
        <f t="shared" si="37"/>
        <v>44.356055745389057</v>
      </c>
      <c r="BG52" s="20">
        <f t="shared" si="7"/>
        <v>383.20092910949398</v>
      </c>
      <c r="BH52" s="59">
        <f t="shared" si="8"/>
        <v>657.479655223397</v>
      </c>
      <c r="BI52" s="59">
        <f ca="1">AVERAGE(OFFSET($BH$3,0,0,'Données projet'!$E$11+1,1))-AVERAGE(OFFSET($H$3,0,0,'Données projet'!$E$11+1,1))</f>
        <v>351.46787950120347</v>
      </c>
      <c r="BJ52" s="59">
        <f t="shared" si="38"/>
        <v>283.42185695241858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64.803288940155383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64.803288940155383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64.803288940155383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64.803288940155383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64.803288940155383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64.803288940155383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64.803288940155383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2.4500000000000002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8.9833333333333343</v>
      </c>
      <c r="H53" s="67">
        <f t="shared" si="1"/>
        <v>220.73333333333335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64.893440258938284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195.02</v>
      </c>
      <c r="L53" s="12">
        <f>VLOOKUP(A53,'Données projet'!$A$35:$I$55,9,0)</f>
        <v>9.3712500000000034</v>
      </c>
      <c r="M53" s="12">
        <f t="array" ref="M53">INDEX(L:L,MIN(IF(ISNUMBER(L53:L249),ROW(L53:L249),"")))</f>
        <v>9.3712500000000034</v>
      </c>
      <c r="N53" s="13">
        <f>IF('Données projet'!$A$36&gt;35,N52+M53-V52,IF(A53&lt;'Données projet'!$A$36,$K$205^A53,IF(A53='Données projet'!$A$36,'Données projet'!$B$36,N52+M53-V52)))</f>
        <v>195.02000000000012</v>
      </c>
      <c r="O53" s="13">
        <f>N53*VLOOKUP('Données projet'!$B$9,Paramètres!$A$1:$I$89,3,0)*VLOOKUP('Données projet'!$B$9,Paramètres!$A$1:$I$89,5,0)</f>
        <v>197.75028000000015</v>
      </c>
      <c r="P53" s="13">
        <f t="shared" si="33"/>
        <v>49.24942231714175</v>
      </c>
      <c r="Q53" s="20">
        <f t="shared" si="53"/>
        <v>430.19114820235546</v>
      </c>
      <c r="R53" s="59">
        <f t="shared" si="0"/>
        <v>704.80042915179581</v>
      </c>
      <c r="S53" s="59">
        <f ca="1">AVERAGE(OFFSET($R$3,0,0,'Données projet'!$E$9+1,1))-AVERAGE(OFFSET($H$3,0,0,'Données projet'!$E$9+1,1))</f>
        <v>668.93155285055116</v>
      </c>
      <c r="T53" s="59">
        <f t="shared" si="34"/>
        <v>306.43050420339659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35.58</v>
      </c>
      <c r="W53" s="16">
        <f>IF(ISNA(VLOOKUP(A53,'Données projet'!$A$35:$I$55,5,0)),0%,VLOOKUP(A53,'Données projet'!$A$35:$I$55,5,0)*VLOOKUP('Données projet'!$B$9,Paramètres!$A$1:$I$89,7,0))</f>
        <v>0.129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10.477706604163481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10.477706604163481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64.893440258938284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195.02</v>
      </c>
      <c r="AG53" s="12">
        <f>VLOOKUP(A53,'Données projet'!$A$61:$I$81,9,0)</f>
        <v>9.3712500000000034</v>
      </c>
      <c r="AH53" s="12">
        <f t="array" ref="AH53">INDEX(AG:AG,MIN(IF(ISNUMBER(AG53:AG249),ROW(AG53:AG249),"")))</f>
        <v>9.3712500000000034</v>
      </c>
      <c r="AI53" s="13">
        <f>IF('Données projet'!$A$62&gt;35,AI52+AH53-AQ52,IF(A53&lt;'Données projet'!$A$62,$AF$205^A53,IF(A53='Données projet'!$A$62,'Données projet'!$B$62,AI52+AH53-AQ52)))</f>
        <v>195.02000000000012</v>
      </c>
      <c r="AJ53" s="13">
        <f>AI53*VLOOKUP('Données projet'!$B$10,Paramètres!$A$1:$I$89,3,0)*VLOOKUP('Données projet'!$B$10,Paramètres!$A$1:$I$89,5,0)</f>
        <v>188.62334400000012</v>
      </c>
      <c r="AK53" s="13">
        <f t="shared" si="35"/>
        <v>47.235465062657511</v>
      </c>
      <c r="AL53" s="20">
        <f t="shared" si="4"/>
        <v>410.78742578412863</v>
      </c>
      <c r="AM53" s="59">
        <f t="shared" si="5"/>
        <v>685.39670673356898</v>
      </c>
      <c r="AN53" s="59">
        <f ca="1">AVERAGE(OFFSET($AM$3,0,0,'Données projet'!$E$10+1,1))-AVERAGE(OFFSET($H$3,0,0,'Données projet'!$E$10+1,1))</f>
        <v>641.25537514609562</v>
      </c>
      <c r="AO53" s="59">
        <f t="shared" si="36"/>
        <v>294.69846357521487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0.129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9.9941201455097826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9.9941201455097826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64.893440258938284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7.6601960784313725</v>
      </c>
      <c r="BD53" s="12">
        <f>IF('Données projet'!$A$88&gt;35,BD52+BC53-BL52,IF(A53&lt;'Données projet'!$A$88,$BA$205^A53,IF(A53='Données projet'!$A$88,'Données projet'!$B$88,BD52+BC53-BL52)))</f>
        <v>383.00980392156896</v>
      </c>
      <c r="BE53" s="13">
        <f>BD53*VLOOKUP('Données projet'!$B$11,Paramètres!$A$1:$I$89,3,0)*VLOOKUP('Données projet'!$B$11,Paramètres!$A$1:$I$89,5,0)</f>
        <v>179.24858823529425</v>
      </c>
      <c r="BF53" s="13">
        <f t="shared" si="37"/>
        <v>45.154970213306711</v>
      </c>
      <c r="BG53" s="20">
        <f t="shared" si="7"/>
        <v>390.83619763131333</v>
      </c>
      <c r="BH53" s="59">
        <f t="shared" si="8"/>
        <v>665.44547858075362</v>
      </c>
      <c r="BI53" s="59">
        <f ca="1">AVERAGE(OFFSET($BH$3,0,0,'Données projet'!$E$11+1,1))-AVERAGE(OFFSET($H$3,0,0,'Données projet'!$E$11+1,1))</f>
        <v>351.46787950120347</v>
      </c>
      <c r="BJ53" s="59">
        <f t="shared" si="38"/>
        <v>283.42185695241858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64.893440258938284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64.893440258938284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64.893440258938284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64.893440258938284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64.893440258938284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64.893440258938284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64.893440258938284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2.4500000000000002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8.9833333333333343</v>
      </c>
      <c r="H54" s="67">
        <f t="shared" si="1"/>
        <v>220.73333333333335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64.982027653888437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9.5537500000000009</v>
      </c>
      <c r="N54" s="13">
        <f>IF('Données projet'!$A$36&gt;35,N53+M54-V53,IF(A54&lt;'Données projet'!$A$36,$K$205^A54,IF(A54='Données projet'!$A$36,'Données projet'!$B$36,N53+M54-V53)))</f>
        <v>168.99375000000015</v>
      </c>
      <c r="O54" s="13">
        <f>N54*VLOOKUP('Données projet'!$B$9,Paramètres!$A$1:$I$89,3,0)*VLOOKUP('Données projet'!$B$9,Paramètres!$A$1:$I$89,5,0)</f>
        <v>171.35966250000016</v>
      </c>
      <c r="P54" s="13">
        <f t="shared" si="33"/>
        <v>43.39440142643388</v>
      </c>
      <c r="Q54" s="20">
        <f t="shared" si="53"/>
        <v>374.0299946718726</v>
      </c>
      <c r="R54" s="59">
        <f t="shared" si="0"/>
        <v>648.96409606946349</v>
      </c>
      <c r="S54" s="59">
        <f ca="1">AVERAGE(OFFSET($R$3,0,0,'Données projet'!$E$9+1,1))-AVERAGE(OFFSET($H$3,0,0,'Données projet'!$E$9+1,1))</f>
        <v>668.93155285055116</v>
      </c>
      <c r="T54" s="59">
        <f t="shared" si="34"/>
        <v>306.43050420339659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10.272245168425828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10.272245168425828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64.982027653888437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9.5537500000000009</v>
      </c>
      <c r="AI54" s="13">
        <f>IF('Données projet'!$A$62&gt;35,AI53+AH54-AQ53,IF(A54&lt;'Données projet'!$A$62,$AF$205^A54,IF(A54='Données projet'!$A$62,'Données projet'!$B$62,AI53+AH54-AQ53)))</f>
        <v>168.99375000000015</v>
      </c>
      <c r="AJ54" s="13">
        <f>AI54*VLOOKUP('Données projet'!$B$10,Paramètres!$A$1:$I$89,3,0)*VLOOKUP('Données projet'!$B$10,Paramètres!$A$1:$I$89,5,0)</f>
        <v>163.45075500000016</v>
      </c>
      <c r="AK54" s="13">
        <f t="shared" si="35"/>
        <v>41.619873615853834</v>
      </c>
      <c r="AL54" s="20">
        <f t="shared" si="4"/>
        <v>357.16467817261235</v>
      </c>
      <c r="AM54" s="59">
        <f t="shared" si="5"/>
        <v>632.09877957020331</v>
      </c>
      <c r="AN54" s="59">
        <f ca="1">AVERAGE(OFFSET($AM$3,0,0,'Données projet'!$E$10+1,1))-AVERAGE(OFFSET($H$3,0,0,'Données projet'!$E$10+1,1))</f>
        <v>641.25537514609562</v>
      </c>
      <c r="AO54" s="59">
        <f t="shared" si="36"/>
        <v>294.69846357521487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9.798141545267713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9.798141545267713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64.982027653888437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>
        <f>VLOOKUP(A54,'Données projet'!$A$87:$I$107,2,0)</f>
        <v>390.67</v>
      </c>
      <c r="BB54" s="12">
        <f>VLOOKUP(A54,'Données projet'!$A$87:$I$107,9,0)</f>
        <v>7.6601960784313725</v>
      </c>
      <c r="BC54" s="12">
        <f t="array" ref="BC54">INDEX(BB:BB,MIN(IF(ISNUMBER(BB54:BB250),ROW(BB54:BB250),"")))</f>
        <v>7.6601960784313725</v>
      </c>
      <c r="BD54" s="12">
        <f>IF('Données projet'!$A$88&gt;35,BD53+BC54-BL53,IF(A54&lt;'Données projet'!$A$88,$BA$205^A54,IF(A54='Données projet'!$A$88,'Données projet'!$B$88,BD53+BC54-BL53)))</f>
        <v>390.67000000000036</v>
      </c>
      <c r="BE54" s="13">
        <f>BD54*VLOOKUP('Données projet'!$B$11,Paramètres!$A$1:$I$89,3,0)*VLOOKUP('Données projet'!$B$11,Paramètres!$A$1:$I$89,5,0)</f>
        <v>182.83356000000015</v>
      </c>
      <c r="BF54" s="13">
        <f t="shared" si="37"/>
        <v>45.95202684063149</v>
      </c>
      <c r="BG54" s="20">
        <f t="shared" si="7"/>
        <v>398.46823041410011</v>
      </c>
      <c r="BH54" s="59">
        <f t="shared" si="8"/>
        <v>673.40233181169106</v>
      </c>
      <c r="BI54" s="59">
        <f ca="1">AVERAGE(OFFSET($BH$3,0,0,'Données projet'!$E$11+1,1))-AVERAGE(OFFSET($H$3,0,0,'Données projet'!$E$11+1,1))</f>
        <v>351.46787950120347</v>
      </c>
      <c r="BJ54" s="59">
        <f t="shared" si="38"/>
        <v>283.42185695241858</v>
      </c>
      <c r="BK54" s="15">
        <f>IF(ISNA(VLOOKUP(A54,'Données projet'!$A$87:$I$107,3,0)),0,VLOOKUP(A54,'Données projet'!$A$87:$I$107,3,0))</f>
        <v>1</v>
      </c>
      <c r="BL54" s="15">
        <f>IF(ISNA(VLOOKUP(A54,'Données projet'!$A$87:$I$107,4,0)),0,VLOOKUP(A54,'Données projet'!$A$87:$I$107,4,0))</f>
        <v>171.3</v>
      </c>
      <c r="BM54" s="16">
        <f>IF(ISNA(VLOOKUP(A54,'Données projet'!$A$87:$I$107,5,0)),0%,VLOOKUP(A54,'Données projet'!$A$87:$I$107,5,0)*VLOOKUP('Données projet'!$B$11,Paramètres!$A$1:$I$89,7,0))</f>
        <v>0.38500000000000001</v>
      </c>
      <c r="BN54" s="16">
        <f>IF(ISNA(VLOOKUP(A54,'Données projet'!$A$87:$I$107,6,0)),0%,VLOOKUP(A54,'Données projet'!$A$87:$I$107,6,0)*VLOOKUP('Données projet'!$B$11,Paramètres!$A$1:$I$89,7,0))</f>
        <v>0.16500000000000001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40.944191707441796</v>
      </c>
      <c r="BQ54" s="21">
        <f>EXP(-LN(2)/25)*BQ53+(1-EXP(-LN(2)/25))/(LN(2)/25)*Calculateur!BL54*Calculateur!BN54*VLOOKUP('Données projet'!$B$11,Paramètres!$A$1:$I$89,3,0)*0.475*44/12</f>
        <v>17.478419495884058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58.422611203325857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64.982027653888437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64.982027653888437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64.982027653888437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64.982027653888437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64.982027653888437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64.982027653888437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64.982027653888437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2.4500000000000002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8.9833333333333343</v>
      </c>
      <c r="H55" s="67">
        <f t="shared" si="1"/>
        <v>220.73333333333335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65.069078255587954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9.5537500000000009</v>
      </c>
      <c r="N55" s="13">
        <f>IF('Données projet'!$A$36&gt;35,N54+M55-V54,IF(A55&lt;'Données projet'!$A$36,$K$205^A55,IF(A55='Données projet'!$A$36,'Données projet'!$B$36,N54+M55-V54)))</f>
        <v>178.54750000000016</v>
      </c>
      <c r="O55" s="13">
        <f>N55*VLOOKUP('Données projet'!$B$9,Paramètres!$A$1:$I$89,3,0)*VLOOKUP('Données projet'!$B$9,Paramètres!$A$1:$I$89,5,0)</f>
        <v>181.04716500000015</v>
      </c>
      <c r="P55" s="13">
        <f t="shared" si="33"/>
        <v>45.55508237501288</v>
      </c>
      <c r="Q55" s="20">
        <f t="shared" si="53"/>
        <v>394.66558084481431</v>
      </c>
      <c r="R55" s="59">
        <f t="shared" si="0"/>
        <v>669.91886778197011</v>
      </c>
      <c r="S55" s="59">
        <f ca="1">AVERAGE(OFFSET($R$3,0,0,'Données projet'!$E$9+1,1))-AVERAGE(OFFSET($H$3,0,0,'Données projet'!$E$9+1,1))</f>
        <v>668.93155285055116</v>
      </c>
      <c r="T55" s="59">
        <f t="shared" si="34"/>
        <v>306.43050420339659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10.070812706123888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10.070812706123888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65.069078255587954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9.5537500000000009</v>
      </c>
      <c r="AI55" s="13">
        <f>IF('Données projet'!$A$62&gt;35,AI54+AH55-AQ54,IF(A55&lt;'Données projet'!$A$62,$AF$205^A55,IF(A55='Données projet'!$A$62,'Données projet'!$B$62,AI54+AH55-AQ54)))</f>
        <v>178.54750000000016</v>
      </c>
      <c r="AJ55" s="13">
        <f>AI55*VLOOKUP('Données projet'!$B$10,Paramètres!$A$1:$I$89,3,0)*VLOOKUP('Données projet'!$B$10,Paramètres!$A$1:$I$89,5,0)</f>
        <v>172.69114200000016</v>
      </c>
      <c r="AK55" s="13">
        <f t="shared" si="35"/>
        <v>43.69219781086543</v>
      </c>
      <c r="AL55" s="20">
        <f t="shared" si="4"/>
        <v>376.86765017059088</v>
      </c>
      <c r="AM55" s="59">
        <f t="shared" si="5"/>
        <v>652.12093710774661</v>
      </c>
      <c r="AN55" s="59">
        <f ca="1">AVERAGE(OFFSET($AM$3,0,0,'Données projet'!$E$10+1,1))-AVERAGE(OFFSET($H$3,0,0,'Données projet'!$E$10+1,1))</f>
        <v>641.25537514609562</v>
      </c>
      <c r="AO55" s="59">
        <f t="shared" si="36"/>
        <v>294.69846357521487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9.6060059658412467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9.6060059658412467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65.069078255587954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12.883999999999997</v>
      </c>
      <c r="BD55" s="12">
        <f>IF('Données projet'!$A$88&gt;35,BD54+BC55-BL54,IF(A55&lt;'Données projet'!$A$88,$BA$205^A55,IF(A55='Données projet'!$A$88,'Données projet'!$B$88,BD54+BC55-BL54)))</f>
        <v>232.25400000000036</v>
      </c>
      <c r="BE55" s="13">
        <f>BD55*VLOOKUP('Données projet'!$B$11,Paramètres!$A$1:$I$89,3,0)*VLOOKUP('Données projet'!$B$11,Paramètres!$A$1:$I$89,5,0)</f>
        <v>108.69487200000017</v>
      </c>
      <c r="BF55" s="13">
        <f t="shared" si="37"/>
        <v>29.023272955432798</v>
      </c>
      <c r="BG55" s="20">
        <f t="shared" si="7"/>
        <v>239.85910246404572</v>
      </c>
      <c r="BH55" s="59">
        <f t="shared" si="8"/>
        <v>515.11238940120154</v>
      </c>
      <c r="BI55" s="59">
        <f ca="1">AVERAGE(OFFSET($BH$3,0,0,'Données projet'!$E$11+1,1))-AVERAGE(OFFSET($H$3,0,0,'Données projet'!$E$11+1,1))</f>
        <v>351.46787950120347</v>
      </c>
      <c r="BJ55" s="59">
        <f t="shared" si="38"/>
        <v>283.42185695241858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40.141301081549877</v>
      </c>
      <c r="BQ55" s="21">
        <f>EXP(-LN(2)/25)*BQ54+(1-EXP(-LN(2)/25))/(LN(2)/25)*Calculateur!BL55*Calculateur!BN55*VLOOKUP('Données projet'!$B$11,Paramètres!$A$1:$I$89,3,0)*0.475*44/12</f>
        <v>17.000471195618974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57.141772277168855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65.069078255587954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65.069078255587954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65.069078255587954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65.069078255587954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65.069078255587954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65.069078255587954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65.069078255587954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2.4500000000000002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8.9833333333333343</v>
      </c>
      <c r="H56" s="67">
        <f t="shared" si="1"/>
        <v>220.73333333333335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65.154618723963992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9.5537500000000009</v>
      </c>
      <c r="N56" s="13">
        <f>IF('Données projet'!$A$36&gt;35,N55+M56-V55,IF(A56&lt;'Données projet'!$A$36,$K$205^A56,IF(A56='Données projet'!$A$36,'Données projet'!$B$36,N55+M56-V55)))</f>
        <v>188.10125000000016</v>
      </c>
      <c r="O56" s="13">
        <f>N56*VLOOKUP('Données projet'!$B$9,Paramètres!$A$1:$I$89,3,0)*VLOOKUP('Données projet'!$B$9,Paramètres!$A$1:$I$89,5,0)</f>
        <v>190.73466750000017</v>
      </c>
      <c r="P56" s="13">
        <f t="shared" si="33"/>
        <v>47.70234090493684</v>
      </c>
      <c r="Q56" s="20">
        <f t="shared" si="53"/>
        <v>415.27778963859856</v>
      </c>
      <c r="R56" s="59">
        <f t="shared" si="0"/>
        <v>690.84472495979981</v>
      </c>
      <c r="S56" s="59">
        <f ca="1">AVERAGE(OFFSET($R$3,0,0,'Données projet'!$E$9+1,1))-AVERAGE(OFFSET($H$3,0,0,'Données projet'!$E$9+1,1))</f>
        <v>668.93155285055116</v>
      </c>
      <c r="T56" s="59">
        <f t="shared" si="34"/>
        <v>306.43050420339659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9.8733302115460191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9.8733302115460191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65.154618723963992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9.5537500000000009</v>
      </c>
      <c r="AI56" s="13">
        <f>IF('Données projet'!$A$62&gt;35,AI55+AH56-AQ55,IF(A56&lt;'Données projet'!$A$62,$AF$205^A56,IF(A56='Données projet'!$A$62,'Données projet'!$B$62,AI55+AH56-AQ55)))</f>
        <v>188.10125000000016</v>
      </c>
      <c r="AJ56" s="13">
        <f>AI56*VLOOKUP('Données projet'!$B$10,Paramètres!$A$1:$I$89,3,0)*VLOOKUP('Données projet'!$B$10,Paramètres!$A$1:$I$89,5,0)</f>
        <v>181.93152900000015</v>
      </c>
      <c r="AK56" s="13">
        <f t="shared" si="35"/>
        <v>45.751648470358951</v>
      </c>
      <c r="AL56" s="20">
        <f t="shared" si="4"/>
        <v>396.54820076087543</v>
      </c>
      <c r="AM56" s="59">
        <f t="shared" si="5"/>
        <v>672.11513608207679</v>
      </c>
      <c r="AN56" s="59">
        <f ca="1">AVERAGE(OFFSET($AM$3,0,0,'Données projet'!$E$10+1,1))-AVERAGE(OFFSET($H$3,0,0,'Données projet'!$E$10+1,1))</f>
        <v>641.25537514609562</v>
      </c>
      <c r="AO56" s="59">
        <f t="shared" si="36"/>
        <v>294.69846357521487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9.4176380479362027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9.4176380479362027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65.154618723963992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12.883999999999997</v>
      </c>
      <c r="BD56" s="12">
        <f>IF('Données projet'!$A$88&gt;35,BD55+BC56-BL55,IF(A56&lt;'Données projet'!$A$88,$BA$205^A56,IF(A56='Données projet'!$A$88,'Données projet'!$B$88,BD55+BC56-BL55)))</f>
        <v>245.13800000000035</v>
      </c>
      <c r="BE56" s="13">
        <f>BD56*VLOOKUP('Données projet'!$B$11,Paramètres!$A$1:$I$89,3,0)*VLOOKUP('Données projet'!$B$11,Paramètres!$A$1:$I$89,5,0)</f>
        <v>114.72458400000016</v>
      </c>
      <c r="BF56" s="13">
        <f t="shared" si="37"/>
        <v>30.441394327495473</v>
      </c>
      <c r="BG56" s="20">
        <f t="shared" si="7"/>
        <v>252.83074558705485</v>
      </c>
      <c r="BH56" s="59">
        <f t="shared" si="8"/>
        <v>528.39768090825612</v>
      </c>
      <c r="BI56" s="59">
        <f ca="1">AVERAGE(OFFSET($BH$3,0,0,'Données projet'!$E$11+1,1))-AVERAGE(OFFSET($H$3,0,0,'Données projet'!$E$11+1,1))</f>
        <v>351.46787950120347</v>
      </c>
      <c r="BJ56" s="59">
        <f t="shared" si="38"/>
        <v>283.42185695241858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39.354154651116772</v>
      </c>
      <c r="BQ56" s="21">
        <f>EXP(-LN(2)/25)*BQ55+(1-EXP(-LN(2)/25))/(LN(2)/25)*Calculateur!BL56*Calculateur!BN56*VLOOKUP('Données projet'!$B$11,Paramètres!$A$1:$I$89,3,0)*0.475*44/12</f>
        <v>16.535592416758849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55.889747067875618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65.154618723963992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65.154618723963992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65.154618723963992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65.154618723963992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65.154618723963992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65.154618723963992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65.154618723963992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2.4500000000000002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8.9833333333333343</v>
      </c>
      <c r="H57" s="67">
        <f t="shared" si="1"/>
        <v>220.73333333333335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65.238675256453519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9.5537500000000009</v>
      </c>
      <c r="N57" s="13">
        <f>IF('Données projet'!$A$36&gt;35,N56+M57-V56,IF(A57&lt;'Données projet'!$A$36,$K$205^A57,IF(A57='Données projet'!$A$36,'Données projet'!$B$36,N56+M57-V56)))</f>
        <v>197.65500000000017</v>
      </c>
      <c r="O57" s="13">
        <f>N57*VLOOKUP('Données projet'!$B$9,Paramètres!$A$1:$I$89,3,0)*VLOOKUP('Données projet'!$B$9,Paramètres!$A$1:$I$89,5,0)</f>
        <v>200.42217000000019</v>
      </c>
      <c r="P57" s="13">
        <f t="shared" si="33"/>
        <v>49.83693652432936</v>
      </c>
      <c r="Q57" s="20">
        <f t="shared" si="53"/>
        <v>435.8679438632073</v>
      </c>
      <c r="R57" s="59">
        <f t="shared" si="0"/>
        <v>711.74308647020348</v>
      </c>
      <c r="S57" s="59">
        <f ca="1">AVERAGE(OFFSET($R$3,0,0,'Données projet'!$E$9+1,1))-AVERAGE(OFFSET($H$3,0,0,'Données projet'!$E$9+1,1))</f>
        <v>668.93155285055116</v>
      </c>
      <c r="T57" s="59">
        <f t="shared" si="34"/>
        <v>306.43050420339659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9.6797202282343946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9.6797202282343946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65.238675256453519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9.5537500000000009</v>
      </c>
      <c r="AI57" s="13">
        <f>IF('Données projet'!$A$62&gt;35,AI56+AH57-AQ56,IF(A57&lt;'Données projet'!$A$62,$AF$205^A57,IF(A57='Données projet'!$A$62,'Données projet'!$B$62,AI56+AH57-AQ56)))</f>
        <v>197.65500000000017</v>
      </c>
      <c r="AJ57" s="13">
        <f>AI57*VLOOKUP('Données projet'!$B$10,Paramètres!$A$1:$I$89,3,0)*VLOOKUP('Données projet'!$B$10,Paramètres!$A$1:$I$89,5,0)</f>
        <v>191.17191600000018</v>
      </c>
      <c r="AK57" s="13">
        <f t="shared" si="35"/>
        <v>47.798954043882908</v>
      </c>
      <c r="AL57" s="20">
        <f t="shared" si="4"/>
        <v>416.20759865976305</v>
      </c>
      <c r="AM57" s="59">
        <f t="shared" si="5"/>
        <v>692.08274126675929</v>
      </c>
      <c r="AN57" s="59">
        <f ca="1">AVERAGE(OFFSET($AM$3,0,0,'Données projet'!$E$10+1,1))-AVERAGE(OFFSET($H$3,0,0,'Données projet'!$E$10+1,1))</f>
        <v>641.25537514609562</v>
      </c>
      <c r="AO57" s="59">
        <f t="shared" si="36"/>
        <v>294.69846357521487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9.2329639100081913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9.2329639100081913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65.238675256453519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12.883999999999997</v>
      </c>
      <c r="BD57" s="12">
        <f>IF('Données projet'!$A$88&gt;35,BD56+BC57-BL56,IF(A57&lt;'Données projet'!$A$88,$BA$205^A57,IF(A57='Données projet'!$A$88,'Données projet'!$B$88,BD56+BC57-BL56)))</f>
        <v>258.02200000000033</v>
      </c>
      <c r="BE57" s="13">
        <f>BD57*VLOOKUP('Données projet'!$B$11,Paramètres!$A$1:$I$89,3,0)*VLOOKUP('Données projet'!$B$11,Paramètres!$A$1:$I$89,5,0)</f>
        <v>120.75429600000017</v>
      </c>
      <c r="BF57" s="13">
        <f t="shared" si="37"/>
        <v>31.850862239168588</v>
      </c>
      <c r="BG57" s="20">
        <f t="shared" si="7"/>
        <v>265.78731726655224</v>
      </c>
      <c r="BH57" s="59">
        <f t="shared" si="8"/>
        <v>541.66245987354841</v>
      </c>
      <c r="BI57" s="59">
        <f ca="1">AVERAGE(OFFSET($BH$3,0,0,'Données projet'!$E$11+1,1))-AVERAGE(OFFSET($H$3,0,0,'Données projet'!$E$11+1,1))</f>
        <v>351.46787950120347</v>
      </c>
      <c r="BJ57" s="59">
        <f t="shared" si="38"/>
        <v>283.42185695241858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38.582443682072544</v>
      </c>
      <c r="BQ57" s="21">
        <f>EXP(-LN(2)/25)*BQ56+(1-EXP(-LN(2)/25))/(LN(2)/25)*Calculateur!BL57*Calculateur!BN57*VLOOKUP('Données projet'!$B$11,Paramètres!$A$1:$I$89,3,0)*0.475*44/12</f>
        <v>16.083425772553564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54.665869454626105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65.238675256453519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65.238675256453519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65.238675256453519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65.238675256453519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65.238675256453519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65.238675256453519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65.238675256453519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2.4500000000000002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8.9833333333333343</v>
      </c>
      <c r="H58" s="67">
        <f t="shared" si="1"/>
        <v>220.73333333333335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65.321273596026629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9.5537500000000009</v>
      </c>
      <c r="N58" s="13">
        <f>IF('Données projet'!$A$36&gt;35,N57+M58-V57,IF(A58&lt;'Données projet'!$A$36,$K$205^A58,IF(A58='Données projet'!$A$36,'Données projet'!$B$36,N57+M58-V57)))</f>
        <v>207.20875000000018</v>
      </c>
      <c r="O58" s="13">
        <f>N58*VLOOKUP('Données projet'!$B$9,Paramètres!$A$1:$I$89,3,0)*VLOOKUP('Données projet'!$B$9,Paramètres!$A$1:$I$89,5,0)</f>
        <v>210.10967250000019</v>
      </c>
      <c r="P58" s="13">
        <f t="shared" si="33"/>
        <v>51.959551170560943</v>
      </c>
      <c r="Q58" s="20">
        <f t="shared" si="53"/>
        <v>456.43723122622731</v>
      </c>
      <c r="R58" s="59">
        <f t="shared" si="0"/>
        <v>732.61523441165832</v>
      </c>
      <c r="S58" s="59">
        <f ca="1">AVERAGE(OFFSET($R$3,0,0,'Données projet'!$E$9+1,1))-AVERAGE(OFFSET($H$3,0,0,'Données projet'!$E$9+1,1))</f>
        <v>668.93155285055116</v>
      </c>
      <c r="T58" s="59">
        <f t="shared" si="34"/>
        <v>306.43050420339659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9.4899068186050819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9.4899068186050819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65.321273596026629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9.5537500000000009</v>
      </c>
      <c r="AI58" s="13">
        <f>IF('Données projet'!$A$62&gt;35,AI57+AH58-AQ57,IF(A58&lt;'Données projet'!$A$62,$AF$205^A58,IF(A58='Données projet'!$A$62,'Données projet'!$B$62,AI57+AH58-AQ57)))</f>
        <v>207.20875000000018</v>
      </c>
      <c r="AJ58" s="13">
        <f>AI58*VLOOKUP('Données projet'!$B$10,Paramètres!$A$1:$I$89,3,0)*VLOOKUP('Données projet'!$B$10,Paramètres!$A$1:$I$89,5,0)</f>
        <v>200.41230300000018</v>
      </c>
      <c r="AK58" s="13">
        <f t="shared" si="35"/>
        <v>49.834768582334036</v>
      </c>
      <c r="AL58" s="20">
        <f t="shared" si="4"/>
        <v>435.84698300589872</v>
      </c>
      <c r="AM58" s="59">
        <f t="shared" si="5"/>
        <v>712.02498619132962</v>
      </c>
      <c r="AN58" s="59">
        <f ca="1">AVERAGE(OFFSET($AM$3,0,0,'Données projet'!$E$10+1,1))-AVERAGE(OFFSET($H$3,0,0,'Données projet'!$E$10+1,1))</f>
        <v>641.25537514609562</v>
      </c>
      <c r="AO58" s="59">
        <f t="shared" si="36"/>
        <v>294.69846357521487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9.0519111192848456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9.0519111192848456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65.321273596026629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12.883999999999997</v>
      </c>
      <c r="BD58" s="12">
        <f>IF('Données projet'!$A$88&gt;35,BD57+BC58-BL57,IF(A58&lt;'Données projet'!$A$88,$BA$205^A58,IF(A58='Données projet'!$A$88,'Données projet'!$B$88,BD57+BC58-BL57)))</f>
        <v>270.90600000000035</v>
      </c>
      <c r="BE58" s="13">
        <f>BD58*VLOOKUP('Données projet'!$B$11,Paramètres!$A$1:$I$89,3,0)*VLOOKUP('Données projet'!$B$11,Paramètres!$A$1:$I$89,5,0)</f>
        <v>126.78400800000016</v>
      </c>
      <c r="BF58" s="13">
        <f t="shared" si="37"/>
        <v>33.252158096898668</v>
      </c>
      <c r="BG58" s="20">
        <f t="shared" si="7"/>
        <v>278.72965595209877</v>
      </c>
      <c r="BH58" s="59">
        <f t="shared" si="8"/>
        <v>554.90765913752966</v>
      </c>
      <c r="BI58" s="59">
        <f ca="1">AVERAGE(OFFSET($BH$3,0,0,'Données projet'!$E$11+1,1))-AVERAGE(OFFSET($H$3,0,0,'Données projet'!$E$11+1,1))</f>
        <v>351.46787950120347</v>
      </c>
      <c r="BJ58" s="59">
        <f t="shared" si="38"/>
        <v>283.42185695241858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37.825865494434062</v>
      </c>
      <c r="BQ58" s="21">
        <f>EXP(-LN(2)/25)*BQ57+(1-EXP(-LN(2)/25))/(LN(2)/25)*Calculateur!BL58*Calculateur!BN58*VLOOKUP('Données projet'!$B$11,Paramètres!$A$1:$I$89,3,0)*0.475*44/12</f>
        <v>15.643623649012484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53.469489143446545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65.321273596026629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65.321273596026629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65.321273596026629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65.321273596026629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65.321273596026629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65.321273596026629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65.321273596026629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2.4500000000000002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8.9833333333333343</v>
      </c>
      <c r="H59" s="67">
        <f t="shared" si="1"/>
        <v>220.73333333333335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65.402439039070359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9.5537500000000009</v>
      </c>
      <c r="N59" s="13">
        <f>IF('Données projet'!$A$36&gt;35,N58+M59-V58,IF(A59&lt;'Données projet'!$A$36,$K$205^A59,IF(A59='Données projet'!$A$36,'Données projet'!$B$36,N58+M59-V58)))</f>
        <v>216.76250000000019</v>
      </c>
      <c r="O59" s="13">
        <f>N59*VLOOKUP('Données projet'!$B$9,Paramètres!$A$1:$I$89,3,0)*VLOOKUP('Données projet'!$B$9,Paramètres!$A$1:$I$89,5,0)</f>
        <v>219.79717500000021</v>
      </c>
      <c r="P59" s="13">
        <f t="shared" si="33"/>
        <v>54.070800342815986</v>
      </c>
      <c r="Q59" s="20">
        <f t="shared" si="53"/>
        <v>476.98672372207147</v>
      </c>
      <c r="R59" s="59">
        <f t="shared" si="0"/>
        <v>753.46233353199614</v>
      </c>
      <c r="S59" s="59">
        <f ca="1">AVERAGE(OFFSET($R$3,0,0,'Données projet'!$E$9+1,1))-AVERAGE(OFFSET($H$3,0,0,'Données projet'!$E$9+1,1))</f>
        <v>668.93155285055116</v>
      </c>
      <c r="T59" s="59">
        <f t="shared" si="34"/>
        <v>306.43050420339659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9.3038155341638511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9.3038155341638511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65.402439039070359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9.5537500000000009</v>
      </c>
      <c r="AI59" s="13">
        <f>IF('Données projet'!$A$62&gt;35,AI58+AH59-AQ58,IF(A59&lt;'Données projet'!$A$62,$AF$205^A59,IF(A59='Données projet'!$A$62,'Données projet'!$B$62,AI58+AH59-AQ58)))</f>
        <v>216.76250000000019</v>
      </c>
      <c r="AJ59" s="13">
        <f>AI59*VLOOKUP('Données projet'!$B$10,Paramètres!$A$1:$I$89,3,0)*VLOOKUP('Données projet'!$B$10,Paramètres!$A$1:$I$89,5,0)</f>
        <v>209.65269000000021</v>
      </c>
      <c r="AK59" s="13">
        <f t="shared" si="35"/>
        <v>51.859682415280766</v>
      </c>
      <c r="AL59" s="20">
        <f t="shared" si="4"/>
        <v>455.46738195661436</v>
      </c>
      <c r="AM59" s="59">
        <f t="shared" si="5"/>
        <v>731.94299176653908</v>
      </c>
      <c r="AN59" s="59">
        <f ca="1">AVERAGE(OFFSET($AM$3,0,0,'Données projet'!$E$10+1,1))-AVERAGE(OFFSET($H$3,0,0,'Données projet'!$E$10+1,1))</f>
        <v>641.25537514609562</v>
      </c>
      <c r="AO59" s="59">
        <f t="shared" si="36"/>
        <v>294.69846357521487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8.874408663356288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8.874408663356288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65.402439039070359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12.883999999999997</v>
      </c>
      <c r="BD59" s="12">
        <f>IF('Données projet'!$A$88&gt;35,BD58+BC59-BL58,IF(A59&lt;'Données projet'!$A$88,$BA$205^A59,IF(A59='Données projet'!$A$88,'Données projet'!$B$88,BD58+BC59-BL58)))</f>
        <v>283.79000000000036</v>
      </c>
      <c r="BE59" s="13">
        <f>BD59*VLOOKUP('Données projet'!$B$11,Paramètres!$A$1:$I$89,3,0)*VLOOKUP('Données projet'!$B$11,Paramètres!$A$1:$I$89,5,0)</f>
        <v>132.81372000000016</v>
      </c>
      <c r="BF59" s="13">
        <f t="shared" si="37"/>
        <v>34.645714929343931</v>
      </c>
      <c r="BG59" s="20">
        <f t="shared" si="7"/>
        <v>291.65851583527427</v>
      </c>
      <c r="BH59" s="59">
        <f t="shared" si="8"/>
        <v>568.13412564519899</v>
      </c>
      <c r="BI59" s="59">
        <f ca="1">AVERAGE(OFFSET($BH$3,0,0,'Données projet'!$E$11+1,1))-AVERAGE(OFFSET($H$3,0,0,'Données projet'!$E$11+1,1))</f>
        <v>351.46787950120347</v>
      </c>
      <c r="BJ59" s="59">
        <f t="shared" si="38"/>
        <v>283.42185695241858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37.08412334358804</v>
      </c>
      <c r="BQ59" s="21">
        <f>EXP(-LN(2)/25)*BQ58+(1-EXP(-LN(2)/25))/(LN(2)/25)*Calculateur!BL59*Calculateur!BN59*VLOOKUP('Données projet'!$B$11,Paramètres!$A$1:$I$89,3,0)*0.475*44/12</f>
        <v>15.215847937667824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52.299971281255864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65.402439039070359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65.402439039070359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65.402439039070359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65.402439039070359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65.402439039070359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65.402439039070359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65.402439039070359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2.4500000000000002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8.9833333333333343</v>
      </c>
      <c r="H60" s="67">
        <f t="shared" si="1"/>
        <v>220.73333333333335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65.482196443136019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9.5537500000000009</v>
      </c>
      <c r="N60" s="13">
        <f>IF('Données projet'!$A$36&gt;35,N59+M60-V59,IF(A60&lt;'Données projet'!$A$36,$K$205^A60,IF(A60='Données projet'!$A$36,'Données projet'!$B$36,N59+M60-V59)))</f>
        <v>226.3162500000002</v>
      </c>
      <c r="O60" s="13">
        <f>N60*VLOOKUP('Données projet'!$B$9,Paramètres!$A$1:$I$89,3,0)*VLOOKUP('Données projet'!$B$9,Paramètres!$A$1:$I$89,5,0)</f>
        <v>229.4846775000002</v>
      </c>
      <c r="P60" s="13">
        <f t="shared" si="33"/>
        <v>56.171242216591338</v>
      </c>
      <c r="Q60" s="20">
        <f t="shared" si="53"/>
        <v>497.51739350639696</v>
      </c>
      <c r="R60" s="59">
        <f t="shared" si="0"/>
        <v>774.28544713122903</v>
      </c>
      <c r="S60" s="59">
        <f ca="1">AVERAGE(OFFSET($R$3,0,0,'Données projet'!$E$9+1,1))-AVERAGE(OFFSET($H$3,0,0,'Données projet'!$E$9+1,1))</f>
        <v>668.93155285055116</v>
      </c>
      <c r="T60" s="59">
        <f t="shared" si="34"/>
        <v>306.43050420339659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9.1213733863060362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9.1213733863060362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65.482196443136019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9.5537500000000009</v>
      </c>
      <c r="AI60" s="13">
        <f>IF('Données projet'!$A$62&gt;35,AI59+AH60-AQ59,IF(A60&lt;'Données projet'!$A$62,$AF$205^A60,IF(A60='Données projet'!$A$62,'Données projet'!$B$62,AI59+AH60-AQ59)))</f>
        <v>226.3162500000002</v>
      </c>
      <c r="AJ60" s="13">
        <f>AI60*VLOOKUP('Données projet'!$B$10,Paramètres!$A$1:$I$89,3,0)*VLOOKUP('Données projet'!$B$10,Paramètres!$A$1:$I$89,5,0)</f>
        <v>218.8930770000002</v>
      </c>
      <c r="AK60" s="13">
        <f t="shared" si="35"/>
        <v>53.874230892742354</v>
      </c>
      <c r="AL60" s="20">
        <f t="shared" si="4"/>
        <v>475.06972791319322</v>
      </c>
      <c r="AM60" s="59">
        <f t="shared" si="5"/>
        <v>751.8377815380253</v>
      </c>
      <c r="AN60" s="59">
        <f ca="1">AVERAGE(OFFSET($AM$3,0,0,'Données projet'!$E$10+1,1))-AVERAGE(OFFSET($H$3,0,0,'Données projet'!$E$10+1,1))</f>
        <v>641.25537514609562</v>
      </c>
      <c r="AO60" s="59">
        <f t="shared" si="36"/>
        <v>294.69846357521487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8.7003869223226804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8.7003869223226804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65.482196443136019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12.883999999999997</v>
      </c>
      <c r="BD60" s="12">
        <f>IF('Données projet'!$A$88&gt;35,BD59+BC60-BL59,IF(A60&lt;'Données projet'!$A$88,$BA$205^A60,IF(A60='Données projet'!$A$88,'Données projet'!$B$88,BD59+BC60-BL59)))</f>
        <v>296.67400000000038</v>
      </c>
      <c r="BE60" s="13">
        <f>BD60*VLOOKUP('Données projet'!$B$11,Paramètres!$A$1:$I$89,3,0)*VLOOKUP('Données projet'!$B$11,Paramètres!$A$1:$I$89,5,0)</f>
        <v>138.84343200000018</v>
      </c>
      <c r="BF60" s="13">
        <f t="shared" si="37"/>
        <v>36.031924223793197</v>
      </c>
      <c r="BG60" s="20">
        <f t="shared" si="7"/>
        <v>304.57457875644008</v>
      </c>
      <c r="BH60" s="59">
        <f t="shared" si="8"/>
        <v>581.3426323812721</v>
      </c>
      <c r="BI60" s="59">
        <f ca="1">AVERAGE(OFFSET($BH$3,0,0,'Données projet'!$E$11+1,1))-AVERAGE(OFFSET($H$3,0,0,'Données projet'!$E$11+1,1))</f>
        <v>351.46787950120347</v>
      </c>
      <c r="BJ60" s="59">
        <f t="shared" si="38"/>
        <v>283.42185695241858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36.356926303902071</v>
      </c>
      <c r="BQ60" s="21">
        <f>EXP(-LN(2)/25)*BQ59+(1-EXP(-LN(2)/25))/(LN(2)/25)*Calculateur!BL60*Calculateur!BN60*VLOOKUP('Données projet'!$B$11,Paramètres!$A$1:$I$89,3,0)*0.475*44/12</f>
        <v>14.799769775645631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51.1566960795477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65.482196443136019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65.482196443136019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65.482196443136019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65.482196443136019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65.482196443136019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65.482196443136019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65.482196443136019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2.4500000000000002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8.9833333333333343</v>
      </c>
      <c r="H61" s="67">
        <f t="shared" si="1"/>
        <v>220.73333333333335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65.560570234551989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235.87</v>
      </c>
      <c r="L61" s="12">
        <f>VLOOKUP(A61,'Données projet'!$A$35:$I$55,9,0)</f>
        <v>9.5537500000000009</v>
      </c>
      <c r="M61" s="12">
        <f t="array" ref="M61">INDEX(L:L,MIN(IF(ISNUMBER(L61:L257),ROW(L61:L257),"")))</f>
        <v>9.5537500000000009</v>
      </c>
      <c r="N61" s="13">
        <f>IF('Données projet'!$A$36&gt;35,N60+M61-V60,IF(A61&lt;'Données projet'!$A$36,$K$205^A61,IF(A61='Données projet'!$A$36,'Données projet'!$B$36,N60+M61-V60)))</f>
        <v>235.8700000000002</v>
      </c>
      <c r="O61" s="13">
        <f>N61*VLOOKUP('Données projet'!$B$9,Paramètres!$A$1:$I$89,3,0)*VLOOKUP('Données projet'!$B$9,Paramètres!$A$1:$I$89,5,0)</f>
        <v>239.1721800000002</v>
      </c>
      <c r="P61" s="13">
        <f t="shared" si="33"/>
        <v>58.261385175767472</v>
      </c>
      <c r="Q61" s="20">
        <f t="shared" si="53"/>
        <v>518.0301260144621</v>
      </c>
      <c r="R61" s="59">
        <f t="shared" si="0"/>
        <v>795.08555020781932</v>
      </c>
      <c r="S61" s="59">
        <f ca="1">AVERAGE(OFFSET($R$3,0,0,'Données projet'!$E$9+1,1))-AVERAGE(OFFSET($H$3,0,0,'Données projet'!$E$9+1,1))</f>
        <v>668.93155285055116</v>
      </c>
      <c r="T61" s="59">
        <f t="shared" si="34"/>
        <v>306.43050420339659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44.93</v>
      </c>
      <c r="W61" s="16">
        <f>IF(ISNA(VLOOKUP(A61,'Données projet'!$A$35:$I$55,5,0)),0%,VLOOKUP(A61,'Données projet'!$A$35:$I$55,5,0)*VLOOKUP('Données projet'!$B$9,Paramètres!$A$1:$I$89,7,0))</f>
        <v>0.129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15.439483797529846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15.439483797529846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65.560570234551989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235.87</v>
      </c>
      <c r="AG61" s="12">
        <f>VLOOKUP(A61,'Données projet'!$A$61:$I$81,9,0)</f>
        <v>9.5537500000000009</v>
      </c>
      <c r="AH61" s="12">
        <f t="array" ref="AH61">INDEX(AG:AG,MIN(IF(ISNUMBER(AG61:AG257),ROW(AG61:AG257),"")))</f>
        <v>9.5537500000000009</v>
      </c>
      <c r="AI61" s="13">
        <f>IF('Données projet'!$A$62&gt;35,AI60+AH61-AQ60,IF(A61&lt;'Données projet'!$A$62,$AF$205^A61,IF(A61='Données projet'!$A$62,'Données projet'!$B$62,AI60+AH61-AQ60)))</f>
        <v>235.8700000000002</v>
      </c>
      <c r="AJ61" s="13">
        <f>AI61*VLOOKUP('Données projet'!$B$10,Paramètres!$A$1:$I$89,3,0)*VLOOKUP('Données projet'!$B$10,Paramètres!$A$1:$I$89,5,0)</f>
        <v>228.1334640000002</v>
      </c>
      <c r="AK61" s="13">
        <f t="shared" si="35"/>
        <v>55.87890160925069</v>
      </c>
      <c r="AL61" s="20">
        <f t="shared" si="4"/>
        <v>494.6548701027786</v>
      </c>
      <c r="AM61" s="59">
        <f t="shared" si="5"/>
        <v>771.71029429613588</v>
      </c>
      <c r="AN61" s="59">
        <f ca="1">AVERAGE(OFFSET($AM$3,0,0,'Données projet'!$E$10+1,1))-AVERAGE(OFFSET($H$3,0,0,'Données projet'!$E$10+1,1))</f>
        <v>641.25537514609562</v>
      </c>
      <c r="AO61" s="59">
        <f t="shared" si="36"/>
        <v>294.69846357521487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0.129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14.726892237643852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14.726892237643852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65.560570234551989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12.883999999999997</v>
      </c>
      <c r="BD61" s="12">
        <f>IF('Données projet'!$A$88&gt;35,BD60+BC61-BL60,IF(A61&lt;'Données projet'!$A$88,$BA$205^A61,IF(A61='Données projet'!$A$88,'Données projet'!$B$88,BD60+BC61-BL60)))</f>
        <v>309.55800000000039</v>
      </c>
      <c r="BE61" s="13">
        <f>BD61*VLOOKUP('Données projet'!$B$11,Paramètres!$A$1:$I$89,3,0)*VLOOKUP('Données projet'!$B$11,Paramètres!$A$1:$I$89,5,0)</f>
        <v>144.87314400000017</v>
      </c>
      <c r="BF61" s="13">
        <f t="shared" si="37"/>
        <v>37.411141541504648</v>
      </c>
      <c r="BG61" s="20">
        <f t="shared" si="7"/>
        <v>317.47846398478754</v>
      </c>
      <c r="BH61" s="59">
        <f t="shared" si="8"/>
        <v>594.53388817814482</v>
      </c>
      <c r="BI61" s="59">
        <f ca="1">AVERAGE(OFFSET($BH$3,0,0,'Données projet'!$E$11+1,1))-AVERAGE(OFFSET($H$3,0,0,'Données projet'!$E$11+1,1))</f>
        <v>351.46787950120347</v>
      </c>
      <c r="BJ61" s="59">
        <f t="shared" si="38"/>
        <v>283.42185695241858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35.643989154617948</v>
      </c>
      <c r="BQ61" s="21">
        <f>EXP(-LN(2)/25)*BQ60+(1-EXP(-LN(2)/25))/(LN(2)/25)*Calculateur!BL61*Calculateur!BN61*VLOOKUP('Données projet'!$B$11,Paramètres!$A$1:$I$89,3,0)*0.475*44/12</f>
        <v>14.395069292844534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50.03905844746248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65.560570234551989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65.560570234551989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65.560570234551989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65.560570234551989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65.560570234551989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65.560570234551989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65.560570234551989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2.4500000000000002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8.9833333333333343</v>
      </c>
      <c r="H62" s="67">
        <f t="shared" si="1"/>
        <v>220.73333333333335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65.637584415904442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9.2524999999999977</v>
      </c>
      <c r="N62" s="13">
        <f>IF('Données projet'!$A$36&gt;35,N61+M62-V61,IF(A62&lt;'Données projet'!$A$36,$K$205^A62,IF(A62='Données projet'!$A$36,'Données projet'!$B$36,N61+M62-V61)))</f>
        <v>200.19250000000019</v>
      </c>
      <c r="O62" s="13">
        <f>N62*VLOOKUP('Données projet'!$B$9,Paramètres!$A$1:$I$89,3,0)*VLOOKUP('Données projet'!$B$9,Paramètres!$A$1:$I$89,5,0)</f>
        <v>202.99519500000022</v>
      </c>
      <c r="P62" s="13">
        <f t="shared" si="33"/>
        <v>50.40185036856122</v>
      </c>
      <c r="Q62" s="20">
        <f t="shared" si="53"/>
        <v>441.33318735024449</v>
      </c>
      <c r="R62" s="59">
        <f t="shared" si="0"/>
        <v>718.6709968752275</v>
      </c>
      <c r="S62" s="59">
        <f ca="1">AVERAGE(OFFSET($R$3,0,0,'Données projet'!$E$9+1,1))-AVERAGE(OFFSET($H$3,0,0,'Données projet'!$E$9+1,1))</f>
        <v>668.93155285055116</v>
      </c>
      <c r="T62" s="59">
        <f t="shared" si="34"/>
        <v>306.43050420339659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15.136724937415535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15.136724937415535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65.637584415904442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9.2524999999999977</v>
      </c>
      <c r="AI62" s="13">
        <f>IF('Données projet'!$A$62&gt;35,AI61+AH62-AQ61,IF(A62&lt;'Données projet'!$A$62,$AF$205^A62,IF(A62='Données projet'!$A$62,'Données projet'!$B$62,AI61+AH62-AQ61)))</f>
        <v>200.19250000000019</v>
      </c>
      <c r="AJ62" s="13">
        <f>AI62*VLOOKUP('Données projet'!$B$10,Paramètres!$A$1:$I$89,3,0)*VLOOKUP('Données projet'!$B$10,Paramètres!$A$1:$I$89,5,0)</f>
        <v>193.62618600000019</v>
      </c>
      <c r="AK62" s="13">
        <f t="shared" si="35"/>
        <v>48.340766859082926</v>
      </c>
      <c r="AL62" s="20">
        <f t="shared" si="4"/>
        <v>421.42577622956969</v>
      </c>
      <c r="AM62" s="59">
        <f t="shared" si="5"/>
        <v>698.76358575455265</v>
      </c>
      <c r="AN62" s="59">
        <f ca="1">AVERAGE(OFFSET($AM$3,0,0,'Données projet'!$E$10+1,1))-AVERAGE(OFFSET($H$3,0,0,'Données projet'!$E$10+1,1))</f>
        <v>641.25537514609562</v>
      </c>
      <c r="AO62" s="59">
        <f t="shared" si="36"/>
        <v>294.69846357521487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14.438106863380971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14.438106863380971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65.637584415904442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12.883999999999997</v>
      </c>
      <c r="BD62" s="12">
        <f>IF('Données projet'!$A$88&gt;35,BD61+BC62-BL61,IF(A62&lt;'Données projet'!$A$88,$BA$205^A62,IF(A62='Données projet'!$A$88,'Données projet'!$B$88,BD61+BC62-BL61)))</f>
        <v>322.44200000000041</v>
      </c>
      <c r="BE62" s="13">
        <f>BD62*VLOOKUP('Données projet'!$B$11,Paramètres!$A$1:$I$89,3,0)*VLOOKUP('Données projet'!$B$11,Paramètres!$A$1:$I$89,5,0)</f>
        <v>150.90285600000018</v>
      </c>
      <c r="BF62" s="13">
        <f t="shared" si="37"/>
        <v>38.783691171847273</v>
      </c>
      <c r="BG62" s="20">
        <f t="shared" si="7"/>
        <v>330.37073632430099</v>
      </c>
      <c r="BH62" s="59">
        <f t="shared" si="8"/>
        <v>607.70854584928395</v>
      </c>
      <c r="BI62" s="59">
        <f ca="1">AVERAGE(OFFSET($BH$3,0,0,'Données projet'!$E$11+1,1))-AVERAGE(OFFSET($H$3,0,0,'Données projet'!$E$11+1,1))</f>
        <v>351.46787950120347</v>
      </c>
      <c r="BJ62" s="59">
        <f t="shared" si="38"/>
        <v>283.42185695241858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34.945032267982562</v>
      </c>
      <c r="BQ62" s="21">
        <f>EXP(-LN(2)/25)*BQ61+(1-EXP(-LN(2)/25))/(LN(2)/25)*Calculateur!BL62*Calculateur!BN62*VLOOKUP('Données projet'!$B$11,Paramètres!$A$1:$I$89,3,0)*0.475*44/12</f>
        <v>14.001435366027906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48.946467634010467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65.637584415904442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65.637584415904442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65.637584415904442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65.637584415904442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65.637584415904442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65.637584415904442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65.637584415904442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2.4500000000000002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8.9833333333333343</v>
      </c>
      <c r="H63" s="67">
        <f t="shared" si="1"/>
        <v>220.73333333333335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65.713262573388349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9.2524999999999977</v>
      </c>
      <c r="N63" s="13">
        <f>IF('Données projet'!$A$36&gt;35,N62+M63-V62,IF(A63&lt;'Données projet'!$A$36,$K$205^A63,IF(A63='Données projet'!$A$36,'Données projet'!$B$36,N62+M63-V62)))</f>
        <v>209.44500000000019</v>
      </c>
      <c r="O63" s="13">
        <f>N63*VLOOKUP('Données projet'!$B$9,Paramètres!$A$1:$I$89,3,0)*VLOOKUP('Données projet'!$B$9,Paramètres!$A$1:$I$89,5,0)</f>
        <v>212.3772300000002</v>
      </c>
      <c r="P63" s="13">
        <f t="shared" si="33"/>
        <v>52.454729443519689</v>
      </c>
      <c r="Q63" s="20">
        <f t="shared" si="53"/>
        <v>461.24899603079712</v>
      </c>
      <c r="R63" s="59">
        <f t="shared" si="0"/>
        <v>738.86429213322106</v>
      </c>
      <c r="S63" s="59">
        <f ca="1">AVERAGE(OFFSET($R$3,0,0,'Données projet'!$E$9+1,1))-AVERAGE(OFFSET($H$3,0,0,'Données projet'!$E$9+1,1))</f>
        <v>668.93155285055116</v>
      </c>
      <c r="T63" s="59">
        <f t="shared" si="34"/>
        <v>306.43050420339659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14.839902993883396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14.839902993883396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65.713262573388349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9.2524999999999977</v>
      </c>
      <c r="AI63" s="13">
        <f>IF('Données projet'!$A$62&gt;35,AI62+AH63-AQ62,IF(A63&lt;'Données projet'!$A$62,$AF$205^A63,IF(A63='Données projet'!$A$62,'Données projet'!$B$62,AI62+AH63-AQ62)))</f>
        <v>209.44500000000019</v>
      </c>
      <c r="AJ63" s="13">
        <f>AI63*VLOOKUP('Données projet'!$B$10,Paramètres!$A$1:$I$89,3,0)*VLOOKUP('Données projet'!$B$10,Paramètres!$A$1:$I$89,5,0)</f>
        <v>202.57520400000018</v>
      </c>
      <c r="AK63" s="13">
        <f t="shared" si="35"/>
        <v>50.309697523865829</v>
      </c>
      <c r="AL63" s="20">
        <f t="shared" si="4"/>
        <v>440.44120348739995</v>
      </c>
      <c r="AM63" s="59">
        <f t="shared" si="5"/>
        <v>718.05649958982394</v>
      </c>
      <c r="AN63" s="59">
        <f ca="1">AVERAGE(OFFSET($AM$3,0,0,'Données projet'!$E$10+1,1))-AVERAGE(OFFSET($H$3,0,0,'Données projet'!$E$10+1,1))</f>
        <v>641.25537514609562</v>
      </c>
      <c r="AO63" s="59">
        <f t="shared" si="36"/>
        <v>294.69846357521487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14.1549843941657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14.1549843941657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65.713262573388349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12.883999999999997</v>
      </c>
      <c r="BD63" s="12">
        <f>IF('Données projet'!$A$88&gt;35,BD62+BC63-BL62,IF(A63&lt;'Données projet'!$A$88,$BA$205^A63,IF(A63='Données projet'!$A$88,'Données projet'!$B$88,BD62+BC63-BL62)))</f>
        <v>335.32600000000042</v>
      </c>
      <c r="BE63" s="13">
        <f>BD63*VLOOKUP('Données projet'!$B$11,Paramètres!$A$1:$I$89,3,0)*VLOOKUP('Données projet'!$B$11,Paramètres!$A$1:$I$89,5,0)</f>
        <v>156.9325680000002</v>
      </c>
      <c r="BF63" s="13">
        <f t="shared" si="37"/>
        <v>40.149870021630669</v>
      </c>
      <c r="BG63" s="20">
        <f t="shared" si="7"/>
        <v>343.25191288767377</v>
      </c>
      <c r="BH63" s="59">
        <f t="shared" si="8"/>
        <v>620.86720899009765</v>
      </c>
      <c r="BI63" s="59">
        <f ca="1">AVERAGE(OFFSET($BH$3,0,0,'Données projet'!$E$11+1,1))-AVERAGE(OFFSET($H$3,0,0,'Données projet'!$E$11+1,1))</f>
        <v>351.46787950120347</v>
      </c>
      <c r="BJ63" s="59">
        <f t="shared" si="38"/>
        <v>283.42185695241858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34.25978149957249</v>
      </c>
      <c r="BQ63" s="21">
        <f>EXP(-LN(2)/25)*BQ62+(1-EXP(-LN(2)/25))/(LN(2)/25)*Calculateur!BL63*Calculateur!BN63*VLOOKUP('Données projet'!$B$11,Paramètres!$A$1:$I$89,3,0)*0.475*44/12</f>
        <v>13.618565379640387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47.878346879212877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65.713262573388349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65.713262573388349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65.713262573388349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65.713262573388349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65.713262573388349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65.713262573388349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65.713262573388349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2.4500000000000002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8.9833333333333343</v>
      </c>
      <c r="H64" s="67">
        <f t="shared" si="1"/>
        <v>220.73333333333335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65.787627884030925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9.2524999999999977</v>
      </c>
      <c r="N64" s="13">
        <f>IF('Données projet'!$A$36&gt;35,N63+M64-V63,IF(A64&lt;'Données projet'!$A$36,$K$205^A64,IF(A64='Données projet'!$A$36,'Données projet'!$B$36,N63+M64-V63)))</f>
        <v>218.69750000000019</v>
      </c>
      <c r="O64" s="13">
        <f>N64*VLOOKUP('Données projet'!$B$9,Paramètres!$A$1:$I$89,3,0)*VLOOKUP('Données projet'!$B$9,Paramètres!$A$1:$I$89,5,0)</f>
        <v>221.7592650000002</v>
      </c>
      <c r="P64" s="13">
        <f t="shared" si="33"/>
        <v>54.497075847509379</v>
      </c>
      <c r="Q64" s="20">
        <f t="shared" si="53"/>
        <v>481.14646030941248</v>
      </c>
      <c r="R64" s="59">
        <f t="shared" si="0"/>
        <v>759.03442921752594</v>
      </c>
      <c r="S64" s="59">
        <f ca="1">AVERAGE(OFFSET($R$3,0,0,'Données projet'!$E$9+1,1))-AVERAGE(OFFSET($H$3,0,0,'Données projet'!$E$9+1,1))</f>
        <v>668.93155285055116</v>
      </c>
      <c r="T64" s="59">
        <f t="shared" si="34"/>
        <v>306.43050420339659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14.548901547620412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14.548901547620412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65.787627884030925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9.2524999999999977</v>
      </c>
      <c r="AI64" s="13">
        <f>IF('Données projet'!$A$62&gt;35,AI63+AH64-AQ63,IF(A64&lt;'Données projet'!$A$62,$AF$205^A64,IF(A64='Données projet'!$A$62,'Données projet'!$B$62,AI63+AH64-AQ63)))</f>
        <v>218.69750000000019</v>
      </c>
      <c r="AJ64" s="13">
        <f>AI64*VLOOKUP('Données projet'!$B$10,Paramètres!$A$1:$I$89,3,0)*VLOOKUP('Données projet'!$B$10,Paramètres!$A$1:$I$89,5,0)</f>
        <v>211.52422200000021</v>
      </c>
      <c r="AK64" s="13">
        <f t="shared" si="35"/>
        <v>52.268526230328021</v>
      </c>
      <c r="AL64" s="20">
        <f t="shared" si="4"/>
        <v>459.43903650115499</v>
      </c>
      <c r="AM64" s="59">
        <f t="shared" si="5"/>
        <v>737.32700540926839</v>
      </c>
      <c r="AN64" s="59">
        <f ca="1">AVERAGE(OFFSET($AM$3,0,0,'Données projet'!$E$10+1,1))-AVERAGE(OFFSET($H$3,0,0,'Données projet'!$E$10+1,1))</f>
        <v>641.25537514609562</v>
      </c>
      <c r="AO64" s="59">
        <f t="shared" si="36"/>
        <v>294.69846357521487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13.877413783884085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13.877413783884085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65.787627884030925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>
        <f>VLOOKUP(A64,'Données projet'!$A$87:$I$107,2,0)</f>
        <v>348.21</v>
      </c>
      <c r="BB64" s="12">
        <f>VLOOKUP(A64,'Données projet'!$A$87:$I$107,9,0)</f>
        <v>12.883999999999997</v>
      </c>
      <c r="BC64" s="12">
        <f t="array" ref="BC64">INDEX(BB:BB,MIN(IF(ISNUMBER(BB64:BB260),ROW(BB64:BB260),"")))</f>
        <v>12.883999999999997</v>
      </c>
      <c r="BD64" s="12">
        <f>IF('Données projet'!$A$88&gt;35,BD63+BC64-BL63,IF(A64&lt;'Données projet'!$A$88,$BA$205^A64,IF(A64='Données projet'!$A$88,'Données projet'!$B$88,BD63+BC64-BL63)))</f>
        <v>348.21000000000043</v>
      </c>
      <c r="BE64" s="13">
        <f>BD64*VLOOKUP('Données projet'!$B$11,Paramètres!$A$1:$I$89,3,0)*VLOOKUP('Données projet'!$B$11,Paramètres!$A$1:$I$89,5,0)</f>
        <v>162.96228000000019</v>
      </c>
      <c r="BF64" s="13">
        <f t="shared" si="37"/>
        <v>41.509950889873885</v>
      </c>
      <c r="BG64" s="20">
        <f t="shared" si="7"/>
        <v>356.12246879986401</v>
      </c>
      <c r="BH64" s="59">
        <f t="shared" si="8"/>
        <v>634.01043770797742</v>
      </c>
      <c r="BI64" s="59">
        <f ca="1">AVERAGE(OFFSET($BH$3,0,0,'Données projet'!$E$11+1,1))-AVERAGE(OFFSET($H$3,0,0,'Données projet'!$E$11+1,1))</f>
        <v>351.46787950120347</v>
      </c>
      <c r="BJ64" s="59">
        <f t="shared" si="38"/>
        <v>283.42185695241858</v>
      </c>
      <c r="BK64" s="15">
        <f>IF(ISNA(VLOOKUP(A64,'Données projet'!$A$87:$I$107,3,0)),0,VLOOKUP(A64,'Données projet'!$A$87:$I$107,3,0))</f>
        <v>2</v>
      </c>
      <c r="BL64" s="15">
        <f>IF(ISNA(VLOOKUP(A64,'Données projet'!$A$87:$I$107,4,0)),0,VLOOKUP(A64,'Données projet'!$A$87:$I$107,4,0))</f>
        <v>100.2</v>
      </c>
      <c r="BM64" s="16">
        <f>IF(ISNA(VLOOKUP(A64,'Données projet'!$A$87:$I$107,5,0)),0%,VLOOKUP(A64,'Données projet'!$A$87:$I$107,5,0)*VLOOKUP('Données projet'!$B$11,Paramètres!$A$1:$I$89,7,0))</f>
        <v>0.38500000000000001</v>
      </c>
      <c r="BN64" s="16">
        <f>IF(ISNA(VLOOKUP(A64,'Données projet'!$A$87:$I$107,6,0)),0%,VLOOKUP(A64,'Données projet'!$A$87:$I$107,6,0)*VLOOKUP('Données projet'!$B$11,Paramètres!$A$1:$I$89,7,0))</f>
        <v>0.16500000000000001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57.537810515595091</v>
      </c>
      <c r="BQ64" s="21">
        <f>EXP(-LN(2)/25)*BQ63+(1-EXP(-LN(2)/25))/(LN(2)/25)*Calculateur!BL64*Calculateur!BN64*VLOOKUP('Données projet'!$B$11,Paramètres!$A$1:$I$89,3,0)*0.475*44/12</f>
        <v>23.469969041545411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81.007779557140509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65.787627884030925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65.787627884030925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65.787627884030925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65.787627884030925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65.787627884030925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65.787627884030925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65.787627884030925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2.4500000000000002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8.9833333333333343</v>
      </c>
      <c r="H65" s="67">
        <f t="shared" si="1"/>
        <v>220.73333333333335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65.860703122789772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9.2524999999999977</v>
      </c>
      <c r="N65" s="13">
        <f>IF('Données projet'!$A$36&gt;35,N64+M65-V64,IF(A65&lt;'Données projet'!$A$36,$K$205^A65,IF(A65='Données projet'!$A$36,'Données projet'!$B$36,N64+M65-V64)))</f>
        <v>227.95000000000019</v>
      </c>
      <c r="O65" s="13">
        <f>N65*VLOOKUP('Données projet'!$B$9,Paramètres!$A$1:$I$89,3,0)*VLOOKUP('Données projet'!$B$9,Paramètres!$A$1:$I$89,5,0)</f>
        <v>231.1413000000002</v>
      </c>
      <c r="P65" s="13">
        <f t="shared" si="33"/>
        <v>56.529386137528874</v>
      </c>
      <c r="Q65" s="20">
        <f t="shared" si="53"/>
        <v>501.02644502286307</v>
      </c>
      <c r="R65" s="59">
        <f t="shared" si="0"/>
        <v>779.18235647309223</v>
      </c>
      <c r="S65" s="59">
        <f ca="1">AVERAGE(OFFSET($R$3,0,0,'Données projet'!$E$9+1,1))-AVERAGE(OFFSET($H$3,0,0,'Données projet'!$E$9+1,1))</f>
        <v>668.93155285055116</v>
      </c>
      <c r="T65" s="59">
        <f t="shared" si="34"/>
        <v>306.43050420339659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14.26360646222529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14.26360646222529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65.860703122789772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9.2524999999999977</v>
      </c>
      <c r="AI65" s="13">
        <f>IF('Données projet'!$A$62&gt;35,AI64+AH65-AQ64,IF(A65&lt;'Données projet'!$A$62,$AF$205^A65,IF(A65='Données projet'!$A$62,'Données projet'!$B$62,AI64+AH65-AQ64)))</f>
        <v>227.95000000000019</v>
      </c>
      <c r="AJ65" s="13">
        <f>AI65*VLOOKUP('Données projet'!$B$10,Paramètres!$A$1:$I$89,3,0)*VLOOKUP('Données projet'!$B$10,Paramètres!$A$1:$I$89,5,0)</f>
        <v>220.4732400000002</v>
      </c>
      <c r="AK65" s="13">
        <f t="shared" si="35"/>
        <v>54.2177292297565</v>
      </c>
      <c r="AL65" s="20">
        <f t="shared" si="4"/>
        <v>478.42010474182621</v>
      </c>
      <c r="AM65" s="59">
        <f t="shared" si="5"/>
        <v>756.57601619205536</v>
      </c>
      <c r="AN65" s="59">
        <f ca="1">AVERAGE(OFFSET($AM$3,0,0,'Données projet'!$E$10+1,1))-AVERAGE(OFFSET($H$3,0,0,'Données projet'!$E$10+1,1))</f>
        <v>641.25537514609562</v>
      </c>
      <c r="AO65" s="59">
        <f t="shared" si="36"/>
        <v>294.69846357521487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13.605286163968739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13.605286163968739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65.860703122789772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11.868333333333334</v>
      </c>
      <c r="BD65" s="12">
        <f>IF('Données projet'!$A$88&gt;35,BD64+BC65-BL64,IF(A65&lt;'Données projet'!$A$88,$BA$205^A65,IF(A65='Données projet'!$A$88,'Données projet'!$B$88,BD64+BC65-BL64)))</f>
        <v>259.87833333333379</v>
      </c>
      <c r="BE65" s="13">
        <f>BD65*VLOOKUP('Données projet'!$B$11,Paramètres!$A$1:$I$89,3,0)*VLOOKUP('Données projet'!$B$11,Paramètres!$A$1:$I$89,5,0)</f>
        <v>121.62306000000021</v>
      </c>
      <c r="BF65" s="13">
        <f t="shared" si="37"/>
        <v>32.053254884491679</v>
      </c>
      <c r="BG65" s="20">
        <f t="shared" si="7"/>
        <v>267.65291509049001</v>
      </c>
      <c r="BH65" s="59">
        <f t="shared" si="8"/>
        <v>545.80882654071911</v>
      </c>
      <c r="BI65" s="59">
        <f ca="1">AVERAGE(OFFSET($BH$3,0,0,'Données projet'!$E$11+1,1))-AVERAGE(OFFSET($H$3,0,0,'Données projet'!$E$11+1,1))</f>
        <v>351.46787950120347</v>
      </c>
      <c r="BJ65" s="59">
        <f t="shared" si="38"/>
        <v>283.42185695241858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56.409529145983385</v>
      </c>
      <c r="BQ65" s="21">
        <f>EXP(-LN(2)/25)*BQ64+(1-EXP(-LN(2)/25))/(LN(2)/25)*Calculateur!BL65*Calculateur!BN65*VLOOKUP('Données projet'!$B$11,Paramètres!$A$1:$I$89,3,0)*0.475*44/12</f>
        <v>22.828181503872322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79.2377106498557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65.860703122789772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65.860703122789772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65.860703122789772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65.860703122789772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65.860703122789772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65.860703122789772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65.860703122789772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2.4500000000000002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8.9833333333333343</v>
      </c>
      <c r="H66" s="67">
        <f t="shared" si="1"/>
        <v>220.73333333333335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65.932510669527915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9.2524999999999977</v>
      </c>
      <c r="N66" s="13">
        <f>IF('Données projet'!$A$36&gt;35,N65+M66-V65,IF(A66&lt;'Données projet'!$A$36,$K$205^A66,IF(A66='Données projet'!$A$36,'Données projet'!$B$36,N65+M66-V65)))</f>
        <v>237.20250000000019</v>
      </c>
      <c r="O66" s="13">
        <f>N66*VLOOKUP('Données projet'!$B$9,Paramètres!$A$1:$I$89,3,0)*VLOOKUP('Données projet'!$B$9,Paramètres!$A$1:$I$89,5,0)</f>
        <v>240.52333500000023</v>
      </c>
      <c r="P66" s="13">
        <f t="shared" si="33"/>
        <v>58.552114278737164</v>
      </c>
      <c r="Q66" s="20">
        <f t="shared" si="53"/>
        <v>520.88974082713423</v>
      </c>
      <c r="R66" s="59">
        <f t="shared" si="0"/>
        <v>799.30894661540333</v>
      </c>
      <c r="S66" s="59">
        <f ca="1">AVERAGE(OFFSET($R$3,0,0,'Données projet'!$E$9+1,1))-AVERAGE(OFFSET($H$3,0,0,'Données projet'!$E$9+1,1))</f>
        <v>668.93155285055116</v>
      </c>
      <c r="T66" s="59">
        <f t="shared" si="34"/>
        <v>306.43050420339659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13.983905839441947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13.983905839441947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65.932510669527915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9.2524999999999977</v>
      </c>
      <c r="AI66" s="13">
        <f>IF('Données projet'!$A$62&gt;35,AI65+AH66-AQ65,IF(A66&lt;'Données projet'!$A$62,$AF$205^A66,IF(A66='Données projet'!$A$62,'Données projet'!$B$62,AI65+AH66-AQ65)))</f>
        <v>237.20250000000019</v>
      </c>
      <c r="AJ66" s="13">
        <f>AI66*VLOOKUP('Données projet'!$B$10,Paramètres!$A$1:$I$89,3,0)*VLOOKUP('Données projet'!$B$10,Paramètres!$A$1:$I$89,5,0)</f>
        <v>229.4222580000002</v>
      </c>
      <c r="AK66" s="13">
        <f t="shared" si="35"/>
        <v>56.157741923307334</v>
      </c>
      <c r="AL66" s="20">
        <f t="shared" si="4"/>
        <v>497.38516653309392</v>
      </c>
      <c r="AM66" s="59">
        <f t="shared" si="5"/>
        <v>775.80437232136296</v>
      </c>
      <c r="AN66" s="59">
        <f ca="1">AVERAGE(OFFSET($AM$3,0,0,'Données projet'!$E$10+1,1))-AVERAGE(OFFSET($H$3,0,0,'Données projet'!$E$10+1,1))</f>
        <v>641.25537514609562</v>
      </c>
      <c r="AO66" s="59">
        <f t="shared" si="36"/>
        <v>294.69846357521487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13.338494800698472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13.338494800698472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65.932510669527915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11.868333333333334</v>
      </c>
      <c r="BD66" s="12">
        <f>IF('Données projet'!$A$88&gt;35,BD65+BC66-BL65,IF(A66&lt;'Données projet'!$A$88,$BA$205^A66,IF(A66='Données projet'!$A$88,'Données projet'!$B$88,BD65+BC66-BL65)))</f>
        <v>271.74666666666712</v>
      </c>
      <c r="BE66" s="13">
        <f>BD66*VLOOKUP('Données projet'!$B$11,Paramètres!$A$1:$I$89,3,0)*VLOOKUP('Données projet'!$B$11,Paramètres!$A$1:$I$89,5,0)</f>
        <v>127.1774400000002</v>
      </c>
      <c r="BF66" s="13">
        <f t="shared" si="37"/>
        <v>33.34331769365982</v>
      </c>
      <c r="BG66" s="20">
        <f t="shared" si="7"/>
        <v>279.57365298312453</v>
      </c>
      <c r="BH66" s="59">
        <f t="shared" si="8"/>
        <v>557.99285877139357</v>
      </c>
      <c r="BI66" s="59">
        <f ca="1">AVERAGE(OFFSET($BH$3,0,0,'Données projet'!$E$11+1,1))-AVERAGE(OFFSET($H$3,0,0,'Données projet'!$E$11+1,1))</f>
        <v>351.46787950120347</v>
      </c>
      <c r="BJ66" s="59">
        <f t="shared" si="38"/>
        <v>283.42185695241858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55.303372685846078</v>
      </c>
      <c r="BQ66" s="21">
        <f>EXP(-LN(2)/25)*BQ65+(1-EXP(-LN(2)/25))/(LN(2)/25)*Calculateur!BL66*Calculateur!BN66*VLOOKUP('Données projet'!$B$11,Paramètres!$A$1:$I$89,3,0)*0.475*44/12</f>
        <v>22.203943680167043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77.507316366013129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65.932510669527915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65.932510669527915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65.932510669527915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65.932510669527915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65.932510669527915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65.932510669527915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65.932510669527915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2.4500000000000002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8.9833333333333343</v>
      </c>
      <c r="H67" s="67">
        <f t="shared" si="1"/>
        <v>220.73333333333335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66.003072515867771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9.2524999999999977</v>
      </c>
      <c r="N67" s="13">
        <f>IF('Données projet'!$A$36&gt;35,N66+M67-V66,IF(A67&lt;'Données projet'!$A$36,$K$205^A67,IF(A67='Données projet'!$A$36,'Données projet'!$B$36,N66+M67-V66)))</f>
        <v>246.45500000000018</v>
      </c>
      <c r="O67" s="13">
        <f>N67*VLOOKUP('Données projet'!$B$9,Paramètres!$A$1:$I$89,3,0)*VLOOKUP('Données projet'!$B$9,Paramètres!$A$1:$I$89,5,0)</f>
        <v>249.9053700000002</v>
      </c>
      <c r="P67" s="13">
        <f t="shared" si="33"/>
        <v>60.565676815620975</v>
      </c>
      <c r="Q67" s="20">
        <f t="shared" ref="Q67:Q98" si="54">(O67+P67)*0.475*44/12</f>
        <v>540.73707320387359</v>
      </c>
      <c r="R67" s="59">
        <f t="shared" ref="R67:R130" si="55">Q67+(I67+J67)*44/12</f>
        <v>819.41500576205544</v>
      </c>
      <c r="S67" s="59">
        <f ca="1">AVERAGE(OFFSET($R$3,0,0,'Données projet'!$E$9+1,1))-AVERAGE(OFFSET($H$3,0,0,'Données projet'!$E$9+1,1))</f>
        <v>668.93155285055116</v>
      </c>
      <c r="T67" s="59">
        <f t="shared" si="34"/>
        <v>306.43050420339659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13.70968997527085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13.70968997527085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66.003072515867771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9.2524999999999977</v>
      </c>
      <c r="AI67" s="13">
        <f>IF('Données projet'!$A$62&gt;35,AI66+AH67-AQ66,IF(A67&lt;'Données projet'!$A$62,$AF$205^A67,IF(A67='Données projet'!$A$62,'Données projet'!$B$62,AI66+AH67-AQ66)))</f>
        <v>246.45500000000018</v>
      </c>
      <c r="AJ67" s="13">
        <f>AI67*VLOOKUP('Données projet'!$B$10,Paramètres!$A$1:$I$89,3,0)*VLOOKUP('Données projet'!$B$10,Paramètres!$A$1:$I$89,5,0)</f>
        <v>238.37127600000017</v>
      </c>
      <c r="AK67" s="13">
        <f t="shared" si="35"/>
        <v>58.088963821708049</v>
      </c>
      <c r="AL67" s="20">
        <f t="shared" si="4"/>
        <v>516.33491768947522</v>
      </c>
      <c r="AM67" s="59">
        <f t="shared" si="5"/>
        <v>795.01285024765707</v>
      </c>
      <c r="AN67" s="59">
        <f ca="1">AVERAGE(OFFSET($AM$3,0,0,'Données projet'!$E$10+1,1))-AVERAGE(OFFSET($H$3,0,0,'Données projet'!$E$10+1,1))</f>
        <v>641.25537514609562</v>
      </c>
      <c r="AO67" s="59">
        <f t="shared" si="36"/>
        <v>294.69846357521487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13.076935053335271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13.076935053335271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66.003072515867771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11.868333333333334</v>
      </c>
      <c r="BD67" s="12">
        <f>IF('Données projet'!$A$88&gt;35,BD66+BC67-BL66,IF(A67&lt;'Données projet'!$A$88,$BA$205^A67,IF(A67='Données projet'!$A$88,'Données projet'!$B$88,BD66+BC67-BL66)))</f>
        <v>283.61500000000046</v>
      </c>
      <c r="BE67" s="13">
        <f>BD67*VLOOKUP('Données projet'!$B$11,Paramètres!$A$1:$I$89,3,0)*VLOOKUP('Données projet'!$B$11,Paramètres!$A$1:$I$89,5,0)</f>
        <v>132.73182000000023</v>
      </c>
      <c r="BF67" s="13">
        <f t="shared" si="37"/>
        <v>34.626836677073747</v>
      </c>
      <c r="BG67" s="20">
        <f t="shared" si="7"/>
        <v>291.48299371257053</v>
      </c>
      <c r="BH67" s="59">
        <f t="shared" si="8"/>
        <v>570.16092627075227</v>
      </c>
      <c r="BI67" s="59">
        <f ca="1">AVERAGE(OFFSET($BH$3,0,0,'Données projet'!$E$11+1,1))-AVERAGE(OFFSET($H$3,0,0,'Données projet'!$E$11+1,1))</f>
        <v>351.46787950120347</v>
      </c>
      <c r="BJ67" s="59">
        <f t="shared" si="38"/>
        <v>283.42185695241858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54.218907279203243</v>
      </c>
      <c r="BQ67" s="21">
        <f>EXP(-LN(2)/25)*BQ66+(1-EXP(-LN(2)/25))/(LN(2)/25)*Calculateur!BL67*Calculateur!BN67*VLOOKUP('Données projet'!$B$11,Paramètres!$A$1:$I$89,3,0)*0.475*44/12</f>
        <v>21.596775672578225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75.815682951781469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66.003072515867771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66.003072515867771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66.003072515867771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66.003072515867771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66.003072515867771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66.003072515867771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66.003072515867771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2.4500000000000002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8.9833333333333343</v>
      </c>
      <c r="H68" s="67">
        <f t="shared" ref="H68:H131" si="56">(B68+E68+F68)*44/12+(C68+D68)*0.475*44/12</f>
        <v>220.73333333333335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66.072410271926287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9.2524999999999977</v>
      </c>
      <c r="N68" s="13">
        <f>IF('Données projet'!$A$36&gt;35,N67+M68-V67,IF(A68&lt;'Données projet'!$A$36,$K$205^A68,IF(A68='Données projet'!$A$36,'Données projet'!$B$36,N67+M68-V67)))</f>
        <v>255.70750000000018</v>
      </c>
      <c r="O68" s="13">
        <f>N68*VLOOKUP('Données projet'!$B$9,Paramètres!$A$1:$I$89,3,0)*VLOOKUP('Données projet'!$B$9,Paramètres!$A$1:$I$89,5,0)</f>
        <v>259.28740500000021</v>
      </c>
      <c r="P68" s="13">
        <f t="shared" si="33"/>
        <v>62.570457244776364</v>
      </c>
      <c r="Q68" s="20">
        <f t="shared" si="54"/>
        <v>560.56911007631913</v>
      </c>
      <c r="R68" s="59">
        <f t="shared" si="55"/>
        <v>839.50128107338219</v>
      </c>
      <c r="S68" s="59">
        <f ca="1">AVERAGE(OFFSET($R$3,0,0,'Données projet'!$E$9+1,1))-AVERAGE(OFFSET($H$3,0,0,'Données projet'!$E$9+1,1))</f>
        <v>668.93155285055116</v>
      </c>
      <c r="T68" s="59">
        <f t="shared" si="34"/>
        <v>306.43050420339659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13.440851316940986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13.440851316940986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66.072410271926287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9.2524999999999977</v>
      </c>
      <c r="AI68" s="13">
        <f>IF('Données projet'!$A$62&gt;35,AI67+AH68-AQ67,IF(A68&lt;'Données projet'!$A$62,$AF$205^A68,IF(A68='Données projet'!$A$62,'Données projet'!$B$62,AI67+AH68-AQ67)))</f>
        <v>255.70750000000018</v>
      </c>
      <c r="AJ68" s="13">
        <f>AI68*VLOOKUP('Données projet'!$B$10,Paramètres!$A$1:$I$89,3,0)*VLOOKUP('Données projet'!$B$10,Paramètres!$A$1:$I$89,5,0)</f>
        <v>247.32029400000016</v>
      </c>
      <c r="AK68" s="13">
        <f t="shared" si="35"/>
        <v>60.011762739223698</v>
      </c>
      <c r="AL68" s="20">
        <f t="shared" ref="AL68:AL131" si="58">(AJ68+AK68)*0.475*44/12</f>
        <v>535.26999882081486</v>
      </c>
      <c r="AM68" s="59">
        <f t="shared" ref="AM68:AM131" si="59">AL68+(AD68+AE68)*44/12</f>
        <v>814.20216981787792</v>
      </c>
      <c r="AN68" s="59">
        <f ca="1">AVERAGE(OFFSET($AM$3,0,0,'Données projet'!$E$10+1,1))-AVERAGE(OFFSET($H$3,0,0,'Données projet'!$E$10+1,1))</f>
        <v>641.25537514609562</v>
      </c>
      <c r="AO68" s="59">
        <f t="shared" si="36"/>
        <v>294.69846357521487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12.82050433308217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12.82050433308217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66.072410271926287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11.868333333333334</v>
      </c>
      <c r="BD68" s="12">
        <f>IF('Données projet'!$A$88&gt;35,BD67+BC68-BL67,IF(A68&lt;'Données projet'!$A$88,$BA$205^A68,IF(A68='Données projet'!$A$88,'Données projet'!$B$88,BD67+BC68-BL67)))</f>
        <v>295.4833333333338</v>
      </c>
      <c r="BE68" s="13">
        <f>BD68*VLOOKUP('Données projet'!$B$11,Paramètres!$A$1:$I$89,3,0)*VLOOKUP('Données projet'!$B$11,Paramètres!$A$1:$I$89,5,0)</f>
        <v>138.28620000000021</v>
      </c>
      <c r="BF68" s="13">
        <f t="shared" si="37"/>
        <v>35.904116984770091</v>
      </c>
      <c r="BG68" s="20">
        <f t="shared" ref="BG68:BG131" si="61">(BE68+BF68)*0.475*44/12</f>
        <v>303.3814687484749</v>
      </c>
      <c r="BH68" s="59">
        <f t="shared" ref="BH68:BH131" si="62">BG68+(AY68+AZ68)*44/12</f>
        <v>582.31363974553801</v>
      </c>
      <c r="BI68" s="59">
        <f ca="1">AVERAGE(OFFSET($BH$3,0,0,'Données projet'!$E$11+1,1))-AVERAGE(OFFSET($H$3,0,0,'Données projet'!$E$11+1,1))</f>
        <v>351.46787950120347</v>
      </c>
      <c r="BJ68" s="59">
        <f t="shared" si="38"/>
        <v>283.42185695241858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53.155707577726091</v>
      </c>
      <c r="BQ68" s="21">
        <f>EXP(-LN(2)/25)*BQ67+(1-EXP(-LN(2)/25))/(LN(2)/25)*Calculateur!BL68*Calculateur!BN68*VLOOKUP('Données projet'!$B$11,Paramètres!$A$1:$I$89,3,0)*0.475*44/12</f>
        <v>21.006210706086502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74.161918283812597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66.072410271926287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66.072410271926287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66.072410271926287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66.072410271926287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66.072410271926287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66.072410271926287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66.072410271926287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2.4500000000000002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8.9833333333333343</v>
      </c>
      <c r="H69" s="67">
        <f t="shared" si="56"/>
        <v>220.73333333333335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66.140545172933187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264.95999999999998</v>
      </c>
      <c r="L69" s="12">
        <f>VLOOKUP(A69,'Données projet'!$A$35:$I$55,9,0)</f>
        <v>9.2524999999999977</v>
      </c>
      <c r="M69" s="12">
        <f t="array" ref="M69">INDEX(L:L,MIN(IF(ISNUMBER(L69:L265),ROW(L69:L265),"")))</f>
        <v>9.2524999999999977</v>
      </c>
      <c r="N69" s="13">
        <f>IF('Données projet'!$A$36&gt;35,N68+M69-V68,IF(A69&lt;'Données projet'!$A$36,$K$205^A69,IF(A69='Données projet'!$A$36,'Données projet'!$B$36,N68+M69-V68)))</f>
        <v>264.96000000000015</v>
      </c>
      <c r="O69" s="13">
        <f>N69*VLOOKUP('Données projet'!$B$9,Paramètres!$A$1:$I$89,3,0)*VLOOKUP('Données projet'!$B$9,Paramètres!$A$1:$I$89,5,0)</f>
        <v>268.66944000000018</v>
      </c>
      <c r="P69" s="13">
        <f t="shared" ref="P69:P132" si="87">EXP(-1.0587+0.8836*LN(O69)+0.284)</f>
        <v>64.566809737006352</v>
      </c>
      <c r="Q69" s="20">
        <f t="shared" si="54"/>
        <v>580.38646829195295</v>
      </c>
      <c r="R69" s="59">
        <f t="shared" si="55"/>
        <v>859.56846725937464</v>
      </c>
      <c r="S69" s="59">
        <f ca="1">AVERAGE(OFFSET($R$3,0,0,'Données projet'!$E$9+1,1))-AVERAGE(OFFSET($H$3,0,0,'Données projet'!$E$9+1,1))</f>
        <v>668.93155285055116</v>
      </c>
      <c r="T69" s="59">
        <f t="shared" ref="T69:T132" si="88">$T$3</f>
        <v>306.43050420339659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49.91</v>
      </c>
      <c r="W69" s="16">
        <f>IF(ISNA(VLOOKUP(A69,'Données projet'!$A$35:$I$55,5,0)),0%,VLOOKUP(A69,'Données projet'!$A$35:$I$55,5,0)*VLOOKUP('Données projet'!$B$9,Paramètres!$A$1:$I$89,7,0))</f>
        <v>0.25800000000000001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27.611471878720558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27.611471878720558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66.140545172933187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264.95999999999998</v>
      </c>
      <c r="AG69" s="12">
        <f>VLOOKUP(A69,'Données projet'!$A$61:$I$81,9,0)</f>
        <v>9.2524999999999977</v>
      </c>
      <c r="AH69" s="12">
        <f t="array" ref="AH69">INDEX(AG:AG,MIN(IF(ISNUMBER(AG69:AG265),ROW(AG69:AG265),"")))</f>
        <v>9.2524999999999977</v>
      </c>
      <c r="AI69" s="13">
        <f>IF('Données projet'!$A$62&gt;35,AI68+AH69-AQ68,IF(A69&lt;'Données projet'!$A$62,$AF$205^A69,IF(A69='Données projet'!$A$62,'Données projet'!$B$62,AI68+AH69-AQ68)))</f>
        <v>264.96000000000015</v>
      </c>
      <c r="AJ69" s="13">
        <f>AI69*VLOOKUP('Données projet'!$B$10,Paramètres!$A$1:$I$89,3,0)*VLOOKUP('Données projet'!$B$10,Paramètres!$A$1:$I$89,5,0)</f>
        <v>256.26931200000018</v>
      </c>
      <c r="AK69" s="13">
        <f t="shared" ref="AK69:AK132" si="89">EXP(-1.0587+0.8836*LN(AJ69)+0.284)</f>
        <v>61.926478363546003</v>
      </c>
      <c r="AL69" s="20">
        <f t="shared" si="58"/>
        <v>554.19100154984289</v>
      </c>
      <c r="AM69" s="59">
        <f t="shared" si="59"/>
        <v>833.37300051726459</v>
      </c>
      <c r="AN69" s="59">
        <f ca="1">AVERAGE(OFFSET($AM$3,0,0,'Données projet'!$E$10+1,1))-AVERAGE(OFFSET($H$3,0,0,'Données projet'!$E$10+1,1))</f>
        <v>641.25537514609562</v>
      </c>
      <c r="AO69" s="59">
        <f t="shared" ref="AO69:AO132" si="90">$AO$3</f>
        <v>294.69846357521487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0.25800000000000001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26.337096253548836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26.337096253548836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66.140545172933187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11.868333333333334</v>
      </c>
      <c r="BD69" s="12">
        <f>IF('Données projet'!$A$88&gt;35,BD68+BC69-BL68,IF(A69&lt;'Données projet'!$A$88,$BA$205^A69,IF(A69='Données projet'!$A$88,'Données projet'!$B$88,BD68+BC69-BL68)))</f>
        <v>307.35166666666714</v>
      </c>
      <c r="BE69" s="13">
        <f>BD69*VLOOKUP('Données projet'!$B$11,Paramètres!$A$1:$I$89,3,0)*VLOOKUP('Données projet'!$B$11,Paramètres!$A$1:$I$89,5,0)</f>
        <v>143.84058000000022</v>
      </c>
      <c r="BF69" s="13">
        <f t="shared" ref="BF69:BF132" si="91">EXP(-1.0587+0.8836*LN(BE69)+0.284)</f>
        <v>37.17543786612071</v>
      </c>
      <c r="BG69" s="20">
        <f t="shared" si="61"/>
        <v>315.26956445016066</v>
      </c>
      <c r="BH69" s="59">
        <f t="shared" si="62"/>
        <v>594.45156341758229</v>
      </c>
      <c r="BI69" s="59">
        <f ca="1">AVERAGE(OFFSET($BH$3,0,0,'Données projet'!$E$11+1,1))-AVERAGE(OFFSET($H$3,0,0,'Données projet'!$E$11+1,1))</f>
        <v>351.46787950120347</v>
      </c>
      <c r="BJ69" s="59">
        <f t="shared" ref="BJ69:BJ132" si="92">$BJ$3</f>
        <v>283.42185695241858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52.113356573907119</v>
      </c>
      <c r="BQ69" s="21">
        <f>EXP(-LN(2)/25)*BQ68+(1-EXP(-LN(2)/25))/(LN(2)/25)*Calculateur!BL69*Calculateur!BN69*VLOOKUP('Données projet'!$B$11,Paramètres!$A$1:$I$89,3,0)*0.475*44/12</f>
        <v>20.431794769659955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72.545151343567071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66.140545172933187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66.140545172933187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66.140545172933187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66.140545172933187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66.140545172933187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66.140545172933187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66.140545172933187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2.4500000000000002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8.9833333333333343</v>
      </c>
      <c r="H70" s="67">
        <f t="shared" si="56"/>
        <v>220.73333333333335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66.207498085734443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8.8662500000000044</v>
      </c>
      <c r="N70" s="13">
        <f>IF('Données projet'!$A$36&gt;35,N69+M70-V69,IF(A70&lt;'Données projet'!$A$36,$K$205^A70,IF(A70='Données projet'!$A$36,'Données projet'!$B$36,N69+M70-V69)))</f>
        <v>223.91625000000013</v>
      </c>
      <c r="O70" s="13">
        <f>N70*VLOOKUP('Données projet'!$B$9,Paramètres!$A$1:$I$89,3,0)*VLOOKUP('Données projet'!$B$9,Paramètres!$A$1:$I$89,5,0)</f>
        <v>227.05107750000016</v>
      </c>
      <c r="P70" s="13">
        <f t="shared" si="87"/>
        <v>55.644577455036639</v>
      </c>
      <c r="Q70" s="20">
        <f t="shared" si="54"/>
        <v>492.36159904668904</v>
      </c>
      <c r="R70" s="59">
        <f t="shared" si="55"/>
        <v>771.78909202771536</v>
      </c>
      <c r="S70" s="59">
        <f ca="1">AVERAGE(OFFSET($R$3,0,0,'Données projet'!$E$9+1,1))-AVERAGE(OFFSET($H$3,0,0,'Données projet'!$E$9+1,1))</f>
        <v>668.93155285055116</v>
      </c>
      <c r="T70" s="59">
        <f t="shared" si="88"/>
        <v>306.43050420339659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27.070027756513749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27.070027756513749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66.207498085734443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8.8662500000000044</v>
      </c>
      <c r="AI70" s="13">
        <f>IF('Données projet'!$A$62&gt;35,AI69+AH70-AQ69,IF(A70&lt;'Données projet'!$A$62,$AF$205^A70,IF(A70='Données projet'!$A$62,'Données projet'!$B$62,AI69+AH70-AQ69)))</f>
        <v>223.91625000000013</v>
      </c>
      <c r="AJ70" s="13">
        <f>AI70*VLOOKUP('Données projet'!$B$10,Paramètres!$A$1:$I$89,3,0)*VLOOKUP('Données projet'!$B$10,Paramètres!$A$1:$I$89,5,0)</f>
        <v>216.57179700000012</v>
      </c>
      <c r="AK70" s="13">
        <f t="shared" si="89"/>
        <v>53.369103039994094</v>
      </c>
      <c r="AL70" s="20">
        <f t="shared" si="58"/>
        <v>470.14706756965666</v>
      </c>
      <c r="AM70" s="59">
        <f t="shared" si="59"/>
        <v>749.57456055068292</v>
      </c>
      <c r="AN70" s="59">
        <f ca="1">AVERAGE(OFFSET($AM$3,0,0,'Données projet'!$E$10+1,1))-AVERAGE(OFFSET($H$3,0,0,'Données projet'!$E$10+1,1))</f>
        <v>641.25537514609562</v>
      </c>
      <c r="AO70" s="59">
        <f t="shared" si="90"/>
        <v>294.69846357521487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25.820641860059265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25.820641860059265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66.207498085734443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11.868333333333334</v>
      </c>
      <c r="BD70" s="12">
        <f>IF('Données projet'!$A$88&gt;35,BD69+BC70-BL69,IF(A70&lt;'Données projet'!$A$88,$BA$205^A70,IF(A70='Données projet'!$A$88,'Données projet'!$B$88,BD69+BC70-BL69)))</f>
        <v>319.22000000000048</v>
      </c>
      <c r="BE70" s="13">
        <f>BD70*VLOOKUP('Données projet'!$B$11,Paramètres!$A$1:$I$89,3,0)*VLOOKUP('Données projet'!$B$11,Paramètres!$A$1:$I$89,5,0)</f>
        <v>149.39496000000022</v>
      </c>
      <c r="BF70" s="13">
        <f t="shared" si="91"/>
        <v>38.441055782895731</v>
      </c>
      <c r="BG70" s="20">
        <f t="shared" si="61"/>
        <v>327.14772748854381</v>
      </c>
      <c r="BH70" s="59">
        <f t="shared" si="62"/>
        <v>606.57522046957013</v>
      </c>
      <c r="BI70" s="59">
        <f ca="1">AVERAGE(OFFSET($BH$3,0,0,'Données projet'!$E$11+1,1))-AVERAGE(OFFSET($H$3,0,0,'Données projet'!$E$11+1,1))</f>
        <v>351.46787950120347</v>
      </c>
      <c r="BJ70" s="59">
        <f t="shared" si="92"/>
        <v>283.42185695241858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51.091445437501704</v>
      </c>
      <c r="BQ70" s="21">
        <f>EXP(-LN(2)/25)*BQ69+(1-EXP(-LN(2)/25))/(LN(2)/25)*Calculateur!BL70*Calculateur!BN70*VLOOKUP('Données projet'!$B$11,Paramètres!$A$1:$I$89,3,0)*0.475*44/12</f>
        <v>19.873086267222213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70.964531704723925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66.207498085734443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66.207498085734443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66.207498085734443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66.207498085734443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66.207498085734443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66.207498085734443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66.207498085734443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2.4500000000000002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8.9833333333333343</v>
      </c>
      <c r="H71" s="67">
        <f t="shared" si="56"/>
        <v>220.73333333333335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66.273289515182881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8.8662500000000044</v>
      </c>
      <c r="N71" s="13">
        <f>IF('Données projet'!$A$36&gt;35,N70+M71-V70,IF(A71&lt;'Données projet'!$A$36,$K$205^A71,IF(A71='Données projet'!$A$36,'Données projet'!$B$36,N70+M71-V70)))</f>
        <v>232.78250000000014</v>
      </c>
      <c r="O71" s="13">
        <f>N71*VLOOKUP('Données projet'!$B$9,Paramètres!$A$1:$I$89,3,0)*VLOOKUP('Données projet'!$B$9,Paramètres!$A$1:$I$89,5,0)</f>
        <v>236.04145500000016</v>
      </c>
      <c r="P71" s="13">
        <f t="shared" si="87"/>
        <v>57.587007592056594</v>
      </c>
      <c r="Q71" s="20">
        <f t="shared" si="54"/>
        <v>511.40290568116535</v>
      </c>
      <c r="R71" s="59">
        <f t="shared" si="55"/>
        <v>791.07163390350252</v>
      </c>
      <c r="S71" s="59">
        <f ca="1">AVERAGE(OFFSET($R$3,0,0,'Données projet'!$E$9+1,1))-AVERAGE(OFFSET($H$3,0,0,'Données projet'!$E$9+1,1))</f>
        <v>668.93155285055116</v>
      </c>
      <c r="T71" s="59">
        <f t="shared" si="88"/>
        <v>306.43050420339659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26.53920102329511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26.53920102329511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66.273289515182881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8.8662500000000044</v>
      </c>
      <c r="AI71" s="13">
        <f>IF('Données projet'!$A$62&gt;35,AI70+AH71-AQ70,IF(A71&lt;'Données projet'!$A$62,$AF$205^A71,IF(A71='Données projet'!$A$62,'Données projet'!$B$62,AI70+AH71-AQ70)))</f>
        <v>232.78250000000014</v>
      </c>
      <c r="AJ71" s="13">
        <f>AI71*VLOOKUP('Données projet'!$B$10,Paramètres!$A$1:$I$89,3,0)*VLOOKUP('Données projet'!$B$10,Paramètres!$A$1:$I$89,5,0)</f>
        <v>225.14723400000014</v>
      </c>
      <c r="AK71" s="13">
        <f t="shared" si="89"/>
        <v>55.232101356665147</v>
      </c>
      <c r="AL71" s="20">
        <f t="shared" si="58"/>
        <v>488.32734241285874</v>
      </c>
      <c r="AM71" s="59">
        <f t="shared" si="59"/>
        <v>767.99607063519602</v>
      </c>
      <c r="AN71" s="59">
        <f ca="1">AVERAGE(OFFSET($AM$3,0,0,'Données projet'!$E$10+1,1))-AVERAGE(OFFSET($H$3,0,0,'Données projet'!$E$10+1,1))</f>
        <v>641.25537514609562</v>
      </c>
      <c r="AO71" s="59">
        <f t="shared" si="90"/>
        <v>294.69846357521487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25.314314822219949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25.314314822219949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66.273289515182881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11.868333333333334</v>
      </c>
      <c r="BD71" s="12">
        <f>IF('Données projet'!$A$88&gt;35,BD70+BC71-BL70,IF(A71&lt;'Données projet'!$A$88,$BA$205^A71,IF(A71='Données projet'!$A$88,'Données projet'!$B$88,BD70+BC71-BL70)))</f>
        <v>331.08833333333382</v>
      </c>
      <c r="BE71" s="13">
        <f>BD71*VLOOKUP('Données projet'!$B$11,Paramètres!$A$1:$I$89,3,0)*VLOOKUP('Données projet'!$B$11,Paramètres!$A$1:$I$89,5,0)</f>
        <v>154.94934000000023</v>
      </c>
      <c r="BF71" s="13">
        <f t="shared" si="91"/>
        <v>39.701207046347101</v>
      </c>
      <c r="BG71" s="20">
        <f t="shared" si="61"/>
        <v>339.01636943905493</v>
      </c>
      <c r="BH71" s="59">
        <f t="shared" si="62"/>
        <v>618.68509766139209</v>
      </c>
      <c r="BI71" s="59">
        <f ca="1">AVERAGE(OFFSET($BH$3,0,0,'Données projet'!$E$11+1,1))-AVERAGE(OFFSET($H$3,0,0,'Données projet'!$E$11+1,1))</f>
        <v>351.46787950120347</v>
      </c>
      <c r="BJ71" s="59">
        <f t="shared" si="92"/>
        <v>283.42185695241858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50.089573355176952</v>
      </c>
      <c r="BQ71" s="21">
        <f>EXP(-LN(2)/25)*BQ70+(1-EXP(-LN(2)/25))/(LN(2)/25)*Calculateur!BL71*Calculateur!BN71*VLOOKUP('Données projet'!$B$11,Paramètres!$A$1:$I$89,3,0)*0.475*44/12</f>
        <v>19.329655678164837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69.419229033341793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66.273289515182881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66.273289515182881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66.273289515182881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66.273289515182881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66.273289515182881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66.273289515182881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66.273289515182881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2.4500000000000002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8.9833333333333343</v>
      </c>
      <c r="H72" s="67">
        <f t="shared" si="56"/>
        <v>220.73333333333335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66.33793961041799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8.8662500000000044</v>
      </c>
      <c r="N72" s="13">
        <f>IF('Données projet'!$A$36&gt;35,N71+M72-V71,IF(A72&lt;'Données projet'!$A$36,$K$205^A72,IF(A72='Données projet'!$A$36,'Données projet'!$B$36,N71+M72-V71)))</f>
        <v>241.64875000000015</v>
      </c>
      <c r="O72" s="13">
        <f>N72*VLOOKUP('Données projet'!$B$9,Paramètres!$A$1:$I$89,3,0)*VLOOKUP('Données projet'!$B$9,Paramètres!$A$1:$I$89,5,0)</f>
        <v>245.03183250000018</v>
      </c>
      <c r="P72" s="13">
        <f t="shared" si="87"/>
        <v>59.520842912770703</v>
      </c>
      <c r="Q72" s="20">
        <f t="shared" si="54"/>
        <v>530.42924301057599</v>
      </c>
      <c r="R72" s="59">
        <f t="shared" si="55"/>
        <v>810.33502158210854</v>
      </c>
      <c r="S72" s="59">
        <f ca="1">AVERAGE(OFFSET($R$3,0,0,'Données projet'!$E$9+1,1))-AVERAGE(OFFSET($H$3,0,0,'Données projet'!$E$9+1,1))</f>
        <v>668.93155285055116</v>
      </c>
      <c r="T72" s="59">
        <f t="shared" si="88"/>
        <v>306.43050420339659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26.018783478542552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26.018783478542552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66.33793961041799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8.8662500000000044</v>
      </c>
      <c r="AI72" s="13">
        <f>IF('Données projet'!$A$62&gt;35,AI71+AH72-AQ71,IF(A72&lt;'Données projet'!$A$62,$AF$205^A72,IF(A72='Données projet'!$A$62,'Données projet'!$B$62,AI71+AH72-AQ71)))</f>
        <v>241.64875000000015</v>
      </c>
      <c r="AJ72" s="13">
        <f>AI72*VLOOKUP('Données projet'!$B$10,Paramètres!$A$1:$I$89,3,0)*VLOOKUP('Données projet'!$B$10,Paramètres!$A$1:$I$89,5,0)</f>
        <v>233.72267100000013</v>
      </c>
      <c r="AK72" s="13">
        <f t="shared" si="89"/>
        <v>57.086856324963186</v>
      </c>
      <c r="AL72" s="20">
        <f t="shared" si="58"/>
        <v>506.49326009097769</v>
      </c>
      <c r="AM72" s="59">
        <f t="shared" si="59"/>
        <v>786.39903866251029</v>
      </c>
      <c r="AN72" s="59">
        <f ca="1">AVERAGE(OFFSET($AM$3,0,0,'Données projet'!$E$10+1,1))-AVERAGE(OFFSET($H$3,0,0,'Données projet'!$E$10+1,1))</f>
        <v>641.25537514609562</v>
      </c>
      <c r="AO72" s="59">
        <f t="shared" si="90"/>
        <v>294.69846357521487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24.817916548763662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24.817916548763662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66.33793961041799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11.868333333333334</v>
      </c>
      <c r="BD72" s="12">
        <f>IF('Données projet'!$A$88&gt;35,BD71+BC72-BL71,IF(A72&lt;'Données projet'!$A$88,$BA$205^A72,IF(A72='Données projet'!$A$88,'Données projet'!$B$88,BD71+BC72-BL71)))</f>
        <v>342.95666666666716</v>
      </c>
      <c r="BE72" s="13">
        <f>BD72*VLOOKUP('Données projet'!$B$11,Paramètres!$A$1:$I$89,3,0)*VLOOKUP('Données projet'!$B$11,Paramètres!$A$1:$I$89,5,0)</f>
        <v>160.50372000000021</v>
      </c>
      <c r="BF72" s="13">
        <f t="shared" si="91"/>
        <v>40.956110065545921</v>
      </c>
      <c r="BG72" s="20">
        <f t="shared" si="61"/>
        <v>350.87587069749287</v>
      </c>
      <c r="BH72" s="59">
        <f t="shared" si="62"/>
        <v>630.78164926902548</v>
      </c>
      <c r="BI72" s="59">
        <f ca="1">AVERAGE(OFFSET($BH$3,0,0,'Données projet'!$E$11+1,1))-AVERAGE(OFFSET($H$3,0,0,'Données projet'!$E$11+1,1))</f>
        <v>351.46787950120347</v>
      </c>
      <c r="BJ72" s="59">
        <f t="shared" si="92"/>
        <v>283.42185695241858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49.107347373304954</v>
      </c>
      <c r="BQ72" s="21">
        <f>EXP(-LN(2)/25)*BQ71+(1-EXP(-LN(2)/25))/(LN(2)/25)*Calculateur!BL72*Calculateur!BN72*VLOOKUP('Données projet'!$B$11,Paramètres!$A$1:$I$89,3,0)*0.475*44/12</f>
        <v>18.801085227143005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67.908432600447952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66.33793961041799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66.33793961041799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66.33793961041799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66.33793961041799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66.33793961041799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66.33793961041799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66.33793961041799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2.4500000000000002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8.9833333333333343</v>
      </c>
      <c r="H73" s="67">
        <f t="shared" si="56"/>
        <v>220.73333333333335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66.401468171036726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8.8662500000000044</v>
      </c>
      <c r="N73" s="13">
        <f>IF('Données projet'!$A$36&gt;35,N72+M73-V72,IF(A73&lt;'Données projet'!$A$36,$K$205^A73,IF(A73='Données projet'!$A$36,'Données projet'!$B$36,N72+M73-V72)))</f>
        <v>250.51500000000016</v>
      </c>
      <c r="O73" s="13">
        <f>N73*VLOOKUP('Données projet'!$B$9,Paramètres!$A$1:$I$89,3,0)*VLOOKUP('Données projet'!$B$9,Paramètres!$A$1:$I$89,5,0)</f>
        <v>254.02221000000017</v>
      </c>
      <c r="P73" s="13">
        <f t="shared" si="87"/>
        <v>61.446434882983361</v>
      </c>
      <c r="Q73" s="20">
        <f t="shared" si="54"/>
        <v>549.44122317119627</v>
      </c>
      <c r="R73" s="59">
        <f t="shared" si="55"/>
        <v>829.579939798331</v>
      </c>
      <c r="S73" s="59">
        <f ca="1">AVERAGE(OFFSET($R$3,0,0,'Données projet'!$E$9+1,1))-AVERAGE(OFFSET($H$3,0,0,'Données projet'!$E$9+1,1))</f>
        <v>668.93155285055116</v>
      </c>
      <c r="T73" s="59">
        <f t="shared" si="88"/>
        <v>306.43050420339659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25.508571004419235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25.508571004419235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66.401468171036726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8.8662500000000044</v>
      </c>
      <c r="AI73" s="13">
        <f>IF('Données projet'!$A$62&gt;35,AI72+AH73-AQ72,IF(A73&lt;'Données projet'!$A$62,$AF$205^A73,IF(A73='Données projet'!$A$62,'Données projet'!$B$62,AI72+AH73-AQ72)))</f>
        <v>250.51500000000016</v>
      </c>
      <c r="AJ73" s="13">
        <f>AI73*VLOOKUP('Données projet'!$B$10,Paramètres!$A$1:$I$89,3,0)*VLOOKUP('Données projet'!$B$10,Paramètres!$A$1:$I$89,5,0)</f>
        <v>242.29810800000013</v>
      </c>
      <c r="AK73" s="13">
        <f t="shared" si="89"/>
        <v>58.933705038196834</v>
      </c>
      <c r="AL73" s="20">
        <f t="shared" si="58"/>
        <v>524.64540770819303</v>
      </c>
      <c r="AM73" s="59">
        <f t="shared" si="59"/>
        <v>804.78412433532776</v>
      </c>
      <c r="AN73" s="59">
        <f ca="1">AVERAGE(OFFSET($AM$3,0,0,'Données projet'!$E$10+1,1))-AVERAGE(OFFSET($H$3,0,0,'Données projet'!$E$10+1,1))</f>
        <v>641.25537514609562</v>
      </c>
      <c r="AO73" s="59">
        <f t="shared" si="90"/>
        <v>294.69846357521487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24.331252342676805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24.331252342676805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66.401468171036726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11.868333333333334</v>
      </c>
      <c r="BD73" s="12">
        <f>IF('Données projet'!$A$88&gt;35,BD72+BC73-BL72,IF(A73&lt;'Données projet'!$A$88,$BA$205^A73,IF(A73='Données projet'!$A$88,'Données projet'!$B$88,BD72+BC73-BL72)))</f>
        <v>354.8250000000005</v>
      </c>
      <c r="BE73" s="13">
        <f>BD73*VLOOKUP('Données projet'!$B$11,Paramètres!$A$1:$I$89,3,0)*VLOOKUP('Données projet'!$B$11,Paramètres!$A$1:$I$89,5,0)</f>
        <v>166.05810000000025</v>
      </c>
      <c r="BF73" s="13">
        <f t="shared" si="91"/>
        <v>42.205967275752947</v>
      </c>
      <c r="BG73" s="20">
        <f t="shared" si="61"/>
        <v>362.72658383860352</v>
      </c>
      <c r="BH73" s="59">
        <f t="shared" si="62"/>
        <v>642.86530046573819</v>
      </c>
      <c r="BI73" s="59">
        <f ca="1">AVERAGE(OFFSET($BH$3,0,0,'Données projet'!$E$11+1,1))-AVERAGE(OFFSET($H$3,0,0,'Données projet'!$E$11+1,1))</f>
        <v>351.46787950120347</v>
      </c>
      <c r="BJ73" s="59">
        <f t="shared" si="92"/>
        <v>283.42185695241858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48.144382243838777</v>
      </c>
      <c r="BQ73" s="21">
        <f>EXP(-LN(2)/25)*BQ72+(1-EXP(-LN(2)/25))/(LN(2)/25)*Calculateur!BL73*Calculateur!BN73*VLOOKUP('Données projet'!$B$11,Paramètres!$A$1:$I$89,3,0)*0.475*44/12</f>
        <v>18.286968562900679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66.431350806739459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66.401468171036726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66.401468171036726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66.401468171036726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66.401468171036726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66.401468171036726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66.401468171036726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66.401468171036726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2.4500000000000002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8.9833333333333343</v>
      </c>
      <c r="H74" s="67">
        <f t="shared" si="56"/>
        <v>220.73333333333335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66.463894653157311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8.8662500000000044</v>
      </c>
      <c r="N74" s="13">
        <f>IF('Données projet'!$A$36&gt;35,N73+M74-V73,IF(A74&lt;'Données projet'!$A$36,$K$205^A74,IF(A74='Données projet'!$A$36,'Données projet'!$B$36,N73+M74-V73)))</f>
        <v>259.38125000000014</v>
      </c>
      <c r="O74" s="13">
        <f>N74*VLOOKUP('Données projet'!$B$9,Paramètres!$A$1:$I$89,3,0)*VLOOKUP('Données projet'!$B$9,Paramètres!$A$1:$I$89,5,0)</f>
        <v>263.01258750000017</v>
      </c>
      <c r="P74" s="13">
        <f t="shared" si="87"/>
        <v>63.364108679793951</v>
      </c>
      <c r="Q74" s="20">
        <f t="shared" si="54"/>
        <v>568.43941251314141</v>
      </c>
      <c r="R74" s="59">
        <f t="shared" si="55"/>
        <v>848.80702624138485</v>
      </c>
      <c r="S74" s="59">
        <f ca="1">AVERAGE(OFFSET($R$3,0,0,'Données projet'!$E$9+1,1))-AVERAGE(OFFSET($H$3,0,0,'Données projet'!$E$9+1,1))</f>
        <v>668.93155285055116</v>
      </c>
      <c r="T74" s="59">
        <f t="shared" si="88"/>
        <v>306.43050420339659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25.008363485714593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25.008363485714593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66.463894653157311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8.8662500000000044</v>
      </c>
      <c r="AI74" s="13">
        <f>IF('Données projet'!$A$62&gt;35,AI73+AH74-AQ73,IF(A74&lt;'Données projet'!$A$62,$AF$205^A74,IF(A74='Données projet'!$A$62,'Données projet'!$B$62,AI73+AH74-AQ73)))</f>
        <v>259.38125000000014</v>
      </c>
      <c r="AJ74" s="13">
        <f>AI74*VLOOKUP('Données projet'!$B$10,Paramètres!$A$1:$I$89,3,0)*VLOOKUP('Données projet'!$B$10,Paramètres!$A$1:$I$89,5,0)</f>
        <v>250.87354500000012</v>
      </c>
      <c r="AK74" s="13">
        <f t="shared" si="89"/>
        <v>60.772959375994262</v>
      </c>
      <c r="AL74" s="20">
        <f t="shared" si="58"/>
        <v>542.78432845485679</v>
      </c>
      <c r="AM74" s="59">
        <f t="shared" si="59"/>
        <v>823.15194218310035</v>
      </c>
      <c r="AN74" s="59">
        <f ca="1">AVERAGE(OFFSET($AM$3,0,0,'Données projet'!$E$10+1,1))-AVERAGE(OFFSET($H$3,0,0,'Données projet'!$E$10+1,1))</f>
        <v>641.25537514609562</v>
      </c>
      <c r="AO74" s="59">
        <f t="shared" si="90"/>
        <v>294.69846357521487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23.854131324835453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23.854131324835453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66.463894653157311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11.868333333333334</v>
      </c>
      <c r="BD74" s="12">
        <f>IF('Données projet'!$A$88&gt;35,BD73+BC74-BL73,IF(A74&lt;'Données projet'!$A$88,$BA$205^A74,IF(A74='Données projet'!$A$88,'Données projet'!$B$88,BD73+BC74-BL73)))</f>
        <v>366.69333333333384</v>
      </c>
      <c r="BE74" s="13">
        <f>BD74*VLOOKUP('Données projet'!$B$11,Paramètres!$A$1:$I$89,3,0)*VLOOKUP('Données projet'!$B$11,Paramètres!$A$1:$I$89,5,0)</f>
        <v>171.61248000000023</v>
      </c>
      <c r="BF74" s="13">
        <f t="shared" si="91"/>
        <v>43.450966801537291</v>
      </c>
      <c r="BG74" s="20">
        <f t="shared" si="61"/>
        <v>374.56883651267782</v>
      </c>
      <c r="BH74" s="59">
        <f t="shared" si="62"/>
        <v>654.93645024092132</v>
      </c>
      <c r="BI74" s="59">
        <f ca="1">AVERAGE(OFFSET($BH$3,0,0,'Données projet'!$E$11+1,1))-AVERAGE(OFFSET($H$3,0,0,'Données projet'!$E$11+1,1))</f>
        <v>351.46787950120347</v>
      </c>
      <c r="BJ74" s="59">
        <f t="shared" si="92"/>
        <v>283.42185695241858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47.200300273210701</v>
      </c>
      <c r="BQ74" s="21">
        <f>EXP(-LN(2)/25)*BQ73+(1-EXP(-LN(2)/25))/(LN(2)/25)*Calculateur!BL74*Calculateur!BN74*VLOOKUP('Données projet'!$B$11,Paramètres!$A$1:$I$89,3,0)*0.475*44/12</f>
        <v>17.786910445878277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64.987210719088978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66.463894653157311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66.463894653157311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66.463894653157311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66.463894653157311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66.463894653157311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66.463894653157311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66.463894653157311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2.4500000000000002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8.9833333333333343</v>
      </c>
      <c r="H75" s="67">
        <f t="shared" si="56"/>
        <v>220.73333333333335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66.525238175377808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8.8662500000000044</v>
      </c>
      <c r="N75" s="13">
        <f>IF('Données projet'!$A$36&gt;35,N74+M75-V74,IF(A75&lt;'Données projet'!$A$36,$K$205^A75,IF(A75='Données projet'!$A$36,'Données projet'!$B$36,N74+M75-V74)))</f>
        <v>268.24750000000012</v>
      </c>
      <c r="O75" s="13">
        <f>N75*VLOOKUP('Données projet'!$B$9,Paramètres!$A$1:$I$89,3,0)*VLOOKUP('Données projet'!$B$9,Paramètres!$A$1:$I$89,5,0)</f>
        <v>272.00296500000013</v>
      </c>
      <c r="P75" s="13">
        <f t="shared" si="87"/>
        <v>65.274165988687102</v>
      </c>
      <c r="Q75" s="20">
        <f t="shared" si="54"/>
        <v>587.42433647196356</v>
      </c>
      <c r="R75" s="59">
        <f t="shared" si="55"/>
        <v>868.01687644834885</v>
      </c>
      <c r="S75" s="59">
        <f ca="1">AVERAGE(OFFSET($R$3,0,0,'Données projet'!$E$9+1,1))-AVERAGE(OFFSET($H$3,0,0,'Données projet'!$E$9+1,1))</f>
        <v>668.93155285055116</v>
      </c>
      <c r="T75" s="59">
        <f t="shared" si="88"/>
        <v>306.43050420339659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24.517964731355288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24.517964731355288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66.525238175377808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8.8662500000000044</v>
      </c>
      <c r="AI75" s="13">
        <f>IF('Données projet'!$A$62&gt;35,AI74+AH75-AQ74,IF(A75&lt;'Données projet'!$A$62,$AF$205^A75,IF(A75='Données projet'!$A$62,'Données projet'!$B$62,AI74+AH75-AQ74)))</f>
        <v>268.24750000000012</v>
      </c>
      <c r="AJ75" s="13">
        <f>AI75*VLOOKUP('Données projet'!$B$10,Paramètres!$A$1:$I$89,3,0)*VLOOKUP('Données projet'!$B$10,Paramètres!$A$1:$I$89,5,0)</f>
        <v>259.44898200000011</v>
      </c>
      <c r="AK75" s="13">
        <f t="shared" si="89"/>
        <v>62.604908687011665</v>
      </c>
      <c r="AL75" s="20">
        <f t="shared" si="58"/>
        <v>560.91052627987881</v>
      </c>
      <c r="AM75" s="59">
        <f t="shared" si="59"/>
        <v>841.50306625626411</v>
      </c>
      <c r="AN75" s="59">
        <f ca="1">AVERAGE(OFFSET($AM$3,0,0,'Données projet'!$E$10+1,1))-AVERAGE(OFFSET($H$3,0,0,'Données projet'!$E$10+1,1))</f>
        <v>641.25537514609562</v>
      </c>
      <c r="AO75" s="59">
        <f t="shared" si="90"/>
        <v>294.69846357521487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23.386366359138886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23.386366359138886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66.525238175377808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11.868333333333334</v>
      </c>
      <c r="BD75" s="12">
        <f>IF('Données projet'!$A$88&gt;35,BD74+BC75-BL74,IF(A75&lt;'Données projet'!$A$88,$BA$205^A75,IF(A75='Données projet'!$A$88,'Données projet'!$B$88,BD74+BC75-BL74)))</f>
        <v>378.56166666666718</v>
      </c>
      <c r="BE75" s="13">
        <f>BD75*VLOOKUP('Données projet'!$B$11,Paramètres!$A$1:$I$89,3,0)*VLOOKUP('Données projet'!$B$11,Paramètres!$A$1:$I$89,5,0)</f>
        <v>177.16686000000024</v>
      </c>
      <c r="BF75" s="13">
        <f t="shared" si="91"/>
        <v>44.691283898534451</v>
      </c>
      <c r="BG75" s="20">
        <f t="shared" si="61"/>
        <v>386.40293395661462</v>
      </c>
      <c r="BH75" s="59">
        <f t="shared" si="62"/>
        <v>666.99547393299986</v>
      </c>
      <c r="BI75" s="59">
        <f ca="1">AVERAGE(OFFSET($BH$3,0,0,'Données projet'!$E$11+1,1))-AVERAGE(OFFSET($H$3,0,0,'Données projet'!$E$11+1,1))</f>
        <v>351.46787950120347</v>
      </c>
      <c r="BJ75" s="59">
        <f t="shared" si="92"/>
        <v>283.42185695241858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46.274731174193491</v>
      </c>
      <c r="BQ75" s="21">
        <f>EXP(-LN(2)/25)*BQ74+(1-EXP(-LN(2)/25))/(LN(2)/25)*Calculateur!BL75*Calculateur!BN75*VLOOKUP('Données projet'!$B$11,Paramètres!$A$1:$I$89,3,0)*0.475*44/12</f>
        <v>17.300526444362767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63.575257618556257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66.525238175377808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66.525238175377808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66.525238175377808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66.525238175377808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66.525238175377808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66.525238175377808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66.525238175377808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2.4500000000000002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8.9833333333333343</v>
      </c>
      <c r="H76" s="67">
        <f t="shared" si="56"/>
        <v>220.73333333333335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66.585517524631371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8.8662500000000044</v>
      </c>
      <c r="N76" s="13">
        <f>IF('Données projet'!$A$36&gt;35,N75+M76-V75,IF(A76&lt;'Données projet'!$A$36,$K$205^A76,IF(A76='Données projet'!$A$36,'Données projet'!$B$36,N75+M76-V75)))</f>
        <v>277.1137500000001</v>
      </c>
      <c r="O76" s="13">
        <f>N76*VLOOKUP('Données projet'!$B$9,Paramètres!$A$1:$I$89,3,0)*VLOOKUP('Données projet'!$B$9,Paramètres!$A$1:$I$89,5,0)</f>
        <v>280.9933425000001</v>
      </c>
      <c r="P76" s="13">
        <f t="shared" si="87"/>
        <v>67.176887420430603</v>
      </c>
      <c r="Q76" s="20">
        <f t="shared" si="54"/>
        <v>606.39648377808339</v>
      </c>
      <c r="R76" s="59">
        <f t="shared" si="55"/>
        <v>887.21004803506503</v>
      </c>
      <c r="S76" s="59">
        <f ca="1">AVERAGE(OFFSET($R$3,0,0,'Données projet'!$E$9+1,1))-AVERAGE(OFFSET($H$3,0,0,'Données projet'!$E$9+1,1))</f>
        <v>668.93155285055116</v>
      </c>
      <c r="T76" s="59">
        <f t="shared" si="88"/>
        <v>306.43050420339659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24.037182397455265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24.037182397455265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66.585517524631371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8.8662500000000044</v>
      </c>
      <c r="AI76" s="13">
        <f>IF('Données projet'!$A$62&gt;35,AI75+AH76-AQ75,IF(A76&lt;'Données projet'!$A$62,$AF$205^A76,IF(A76='Données projet'!$A$62,'Données projet'!$B$62,AI75+AH76-AQ75)))</f>
        <v>277.1137500000001</v>
      </c>
      <c r="AJ76" s="13">
        <f>AI76*VLOOKUP('Données projet'!$B$10,Paramètres!$A$1:$I$89,3,0)*VLOOKUP('Données projet'!$B$10,Paramètres!$A$1:$I$89,5,0)</f>
        <v>268.02441900000014</v>
      </c>
      <c r="AK76" s="13">
        <f t="shared" si="89"/>
        <v>64.429822106997378</v>
      </c>
      <c r="AL76" s="20">
        <f t="shared" si="58"/>
        <v>579.02446992802072</v>
      </c>
      <c r="AM76" s="59">
        <f t="shared" si="59"/>
        <v>859.83803418500247</v>
      </c>
      <c r="AN76" s="59">
        <f ca="1">AVERAGE(OFFSET($AM$3,0,0,'Données projet'!$E$10+1,1))-AVERAGE(OFFSET($H$3,0,0,'Données projet'!$E$10+1,1))</f>
        <v>641.25537514609562</v>
      </c>
      <c r="AO76" s="59">
        <f t="shared" si="90"/>
        <v>294.69846357521487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22.927773979111173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22.927773979111173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66.585517524631371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>
        <f>VLOOKUP(A76,'Données projet'!$A$87:$I$107,2,0)</f>
        <v>390.43</v>
      </c>
      <c r="BB76" s="12">
        <f>VLOOKUP(A76,'Données projet'!$A$87:$I$107,9,0)</f>
        <v>11.868333333333334</v>
      </c>
      <c r="BC76" s="12">
        <f t="array" ref="BC76">INDEX(BB:BB,MIN(IF(ISNUMBER(BB76:BB272),ROW(BB76:BB272),"")))</f>
        <v>11.868333333333334</v>
      </c>
      <c r="BD76" s="12">
        <f>IF('Données projet'!$A$88&gt;35,BD75+BC76-BL75,IF(A76&lt;'Données projet'!$A$88,$BA$205^A76,IF(A76='Données projet'!$A$88,'Données projet'!$B$88,BD75+BC76-BL75)))</f>
        <v>390.43000000000052</v>
      </c>
      <c r="BE76" s="13">
        <f>BD76*VLOOKUP('Données projet'!$B$11,Paramètres!$A$1:$I$89,3,0)*VLOOKUP('Données projet'!$B$11,Paramètres!$A$1:$I$89,5,0)</f>
        <v>182.72124000000022</v>
      </c>
      <c r="BF76" s="13">
        <f t="shared" si="91"/>
        <v>45.927082209321831</v>
      </c>
      <c r="BG76" s="20">
        <f t="shared" si="61"/>
        <v>398.2291611812359</v>
      </c>
      <c r="BH76" s="59">
        <f t="shared" si="62"/>
        <v>679.04272543821753</v>
      </c>
      <c r="BI76" s="59">
        <f ca="1">AVERAGE(OFFSET($BH$3,0,0,'Données projet'!$E$11+1,1))-AVERAGE(OFFSET($H$3,0,0,'Données projet'!$E$11+1,1))</f>
        <v>351.46787950120347</v>
      </c>
      <c r="BJ76" s="59">
        <f t="shared" si="92"/>
        <v>283.42185695241858</v>
      </c>
      <c r="BK76" s="15">
        <f>IF(ISNA(VLOOKUP(A76,'Données projet'!$A$87:$I$107,3,0)),0,VLOOKUP(A76,'Données projet'!$A$87:$I$107,3,0))</f>
        <v>3</v>
      </c>
      <c r="BL76" s="15">
        <f>IF(ISNA(VLOOKUP(A76,'Données projet'!$A$87:$I$107,4,0)),0,VLOOKUP(A76,'Données projet'!$A$87:$I$107,4,0))</f>
        <v>102.1</v>
      </c>
      <c r="BM76" s="16">
        <f>IF(ISNA(VLOOKUP(A76,'Données projet'!$A$87:$I$107,5,0)),0%,VLOOKUP(A76,'Données projet'!$A$87:$I$107,5,0)*VLOOKUP('Données projet'!$B$11,Paramètres!$A$1:$I$89,7,0))</f>
        <v>0.38500000000000001</v>
      </c>
      <c r="BN76" s="16">
        <f>IF(ISNA(VLOOKUP(A76,'Données projet'!$A$87:$I$107,6,0)),0%,VLOOKUP(A76,'Données projet'!$A$87:$I$107,6,0)*VLOOKUP('Données projet'!$B$11,Paramètres!$A$1:$I$89,7,0))</f>
        <v>0.16500000000000001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69.771293084296545</v>
      </c>
      <c r="BQ76" s="21">
        <f>EXP(-LN(2)/25)*BQ75+(1-EXP(-LN(2)/25))/(LN(2)/25)*Calculateur!BL76*Calculateur!BN76*VLOOKUP('Données projet'!$B$11,Paramètres!$A$1:$I$89,3,0)*0.475*44/12</f>
        <v>27.245111235150624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97.016404319447162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66.585517524631371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66.585517524631371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66.585517524631371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66.585517524631371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66.585517524631371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66.585517524631371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66.585517524631371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2.4500000000000002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8.9833333333333343</v>
      </c>
      <c r="H77" s="67">
        <f t="shared" si="56"/>
        <v>220.73333333333335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66.644751161939794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285.98</v>
      </c>
      <c r="L77" s="12">
        <f>VLOOKUP(A77,'Données projet'!$A$35:$I$55,9,0)</f>
        <v>8.8662500000000044</v>
      </c>
      <c r="M77" s="12">
        <f t="array" ref="M77">INDEX(L:L,MIN(IF(ISNUMBER(L77:L273),ROW(L77:L273),"")))</f>
        <v>8.8662500000000044</v>
      </c>
      <c r="N77" s="13">
        <f>IF('Données projet'!$A$36&gt;35,N76+M77-V76,IF(A77&lt;'Données projet'!$A$36,$K$205^A77,IF(A77='Données projet'!$A$36,'Données projet'!$B$36,N76+M77-V76)))</f>
        <v>285.98000000000008</v>
      </c>
      <c r="O77" s="13">
        <f>N77*VLOOKUP('Données projet'!$B$9,Paramètres!$A$1:$I$89,3,0)*VLOOKUP('Données projet'!$B$9,Paramètres!$A$1:$I$89,5,0)</f>
        <v>289.98372000000012</v>
      </c>
      <c r="P77" s="13">
        <f t="shared" si="87"/>
        <v>69.072534609971271</v>
      </c>
      <c r="Q77" s="20">
        <f t="shared" si="54"/>
        <v>625.35631011236683</v>
      </c>
      <c r="R77" s="59">
        <f t="shared" si="55"/>
        <v>906.3870643728128</v>
      </c>
      <c r="S77" s="59">
        <f ca="1">AVERAGE(OFFSET($R$3,0,0,'Données projet'!$E$9+1,1))-AVERAGE(OFFSET($H$3,0,0,'Données projet'!$E$9+1,1))</f>
        <v>668.93155285055116</v>
      </c>
      <c r="T77" s="59">
        <f t="shared" si="88"/>
        <v>306.43050420339659</v>
      </c>
      <c r="U77" s="15">
        <f>IF(ISNA(VLOOKUP(A77,'Données projet'!$A$35:$I$55,3,0)),0,VLOOKUP(A77,'Données projet'!$A$35:$I$55,3,0))</f>
        <v>5</v>
      </c>
      <c r="V77" s="15">
        <f>IF(ISNA(VLOOKUP(A77,'Données projet'!$A$35:$I$55,4,0)),0,VLOOKUP(A77,'Données projet'!$A$35:$I$55,4,0))</f>
        <v>47.4</v>
      </c>
      <c r="W77" s="16">
        <f>IF(ISNA(VLOOKUP(A77,'Données projet'!$A$35:$I$55,5,0)),0%,VLOOKUP(A77,'Données projet'!$A$35:$I$55,5,0)*VLOOKUP('Données projet'!$B$9,Paramètres!$A$1:$I$89,7,0))</f>
        <v>0.25800000000000001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37.274112534374488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37.274112534374488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66.644751161939794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285.98</v>
      </c>
      <c r="AG77" s="12">
        <f>VLOOKUP(A77,'Données projet'!$A$61:$I$81,9,0)</f>
        <v>8.8662500000000044</v>
      </c>
      <c r="AH77" s="12">
        <f t="array" ref="AH77">INDEX(AG:AG,MIN(IF(ISNUMBER(AG77:AG273),ROW(AG77:AG273),"")))</f>
        <v>8.8662500000000044</v>
      </c>
      <c r="AI77" s="13">
        <f>IF('Données projet'!$A$62&gt;35,AI76+AH77-AQ76,IF(A77&lt;'Données projet'!$A$62,$AF$205^A77,IF(A77='Données projet'!$A$62,'Données projet'!$B$62,AI76+AH77-AQ76)))</f>
        <v>285.98000000000008</v>
      </c>
      <c r="AJ77" s="13">
        <f>AI77*VLOOKUP('Données projet'!$B$10,Paramètres!$A$1:$I$89,3,0)*VLOOKUP('Données projet'!$B$10,Paramètres!$A$1:$I$89,5,0)</f>
        <v>276.59985600000005</v>
      </c>
      <c r="AK77" s="13">
        <f t="shared" si="89"/>
        <v>66.247950571856578</v>
      </c>
      <c r="AL77" s="20">
        <f t="shared" si="58"/>
        <v>597.12659644598352</v>
      </c>
      <c r="AM77" s="59">
        <f t="shared" si="59"/>
        <v>878.1573507064295</v>
      </c>
      <c r="AN77" s="59">
        <f ca="1">AVERAGE(OFFSET($AM$3,0,0,'Données projet'!$E$10+1,1))-AVERAGE(OFFSET($H$3,0,0,'Données projet'!$E$10+1,1))</f>
        <v>641.25537514609562</v>
      </c>
      <c r="AO77" s="59">
        <f t="shared" si="90"/>
        <v>294.69846357521487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0.25800000000000001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35.553768878941817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35.553768878941817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66.644751161939794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10.985833333333332</v>
      </c>
      <c r="BD77" s="12">
        <f>IF('Données projet'!$A$88&gt;35,BD76+BC77-BL76,IF(A77&lt;'Données projet'!$A$88,$BA$205^A77,IF(A77='Données projet'!$A$88,'Données projet'!$B$88,BD76+BC77-BL76)))</f>
        <v>299.3158333333339</v>
      </c>
      <c r="BE77" s="13">
        <f>BD77*VLOOKUP('Données projet'!$B$11,Paramètres!$A$1:$I$89,3,0)*VLOOKUP('Données projet'!$B$11,Paramètres!$A$1:$I$89,5,0)</f>
        <v>140.07981000000026</v>
      </c>
      <c r="BF77" s="13">
        <f t="shared" si="91"/>
        <v>36.315288238799972</v>
      </c>
      <c r="BG77" s="20">
        <f t="shared" si="61"/>
        <v>307.22146276591042</v>
      </c>
      <c r="BH77" s="59">
        <f t="shared" si="62"/>
        <v>588.25221702635633</v>
      </c>
      <c r="BI77" s="59">
        <f ca="1">AVERAGE(OFFSET($BH$3,0,0,'Données projet'!$E$11+1,1))-AVERAGE(OFFSET($H$3,0,0,'Données projet'!$E$11+1,1))</f>
        <v>351.46787950120347</v>
      </c>
      <c r="BJ77" s="59">
        <f t="shared" si="92"/>
        <v>283.42185695241858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68.403120583200192</v>
      </c>
      <c r="BQ77" s="21">
        <f>EXP(-LN(2)/25)*BQ76+(1-EXP(-LN(2)/25))/(LN(2)/25)*Calculateur!BL77*Calculateur!BN77*VLOOKUP('Données projet'!$B$11,Paramètres!$A$1:$I$89,3,0)*0.475*44/12</f>
        <v>26.500092235667299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94.903212818867487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66.644751161939794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66.644751161939794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66.644751161939794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66.644751161939794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66.644751161939794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66.644751161939794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66.644751161939794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2.4500000000000002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8.9833333333333343</v>
      </c>
      <c r="H78" s="67">
        <f t="shared" si="56"/>
        <v>220.73333333333335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66.702957228067504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8.6770000000000014</v>
      </c>
      <c r="N78" s="13">
        <f>IF('Données projet'!$A$36&gt;35,N77+M78-V77,IF(A78&lt;'Données projet'!$A$36,$K$205^A78,IF(A78='Données projet'!$A$36,'Données projet'!$B$36,N77+M78-V77)))</f>
        <v>247.25700000000009</v>
      </c>
      <c r="O78" s="13">
        <f>N78*VLOOKUP('Données projet'!$B$9,Paramètres!$A$1:$I$89,3,0)*VLOOKUP('Données projet'!$B$9,Paramètres!$A$1:$I$89,5,0)</f>
        <v>250.7185980000001</v>
      </c>
      <c r="P78" s="13">
        <f t="shared" si="87"/>
        <v>60.739792084155006</v>
      </c>
      <c r="Q78" s="20">
        <f t="shared" si="54"/>
        <v>542.45669606323679</v>
      </c>
      <c r="R78" s="59">
        <f t="shared" si="55"/>
        <v>823.70087256615102</v>
      </c>
      <c r="S78" s="59">
        <f ca="1">AVERAGE(OFFSET($R$3,0,0,'Données projet'!$E$9+1,1))-AVERAGE(OFFSET($H$3,0,0,'Données projet'!$E$9+1,1))</f>
        <v>668.93155285055116</v>
      </c>
      <c r="T78" s="59">
        <f t="shared" si="88"/>
        <v>306.43050420339659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36.543189922539156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36.543189922539156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66.702957228067504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8.6770000000000014</v>
      </c>
      <c r="AI78" s="13">
        <f>IF('Données projet'!$A$62&gt;35,AI77+AH78-AQ77,IF(A78&lt;'Données projet'!$A$62,$AF$205^A78,IF(A78='Données projet'!$A$62,'Données projet'!$B$62,AI77+AH78-AQ77)))</f>
        <v>247.25700000000009</v>
      </c>
      <c r="AJ78" s="13">
        <f>AI78*VLOOKUP('Données projet'!$B$10,Paramètres!$A$1:$I$89,3,0)*VLOOKUP('Données projet'!$B$10,Paramètres!$A$1:$I$89,5,0)</f>
        <v>239.1469704000001</v>
      </c>
      <c r="AK78" s="13">
        <f t="shared" si="89"/>
        <v>58.255958992346976</v>
      </c>
      <c r="AL78" s="20">
        <f t="shared" si="58"/>
        <v>517.97676869167117</v>
      </c>
      <c r="AM78" s="59">
        <f t="shared" si="59"/>
        <v>799.22094519458528</v>
      </c>
      <c r="AN78" s="59">
        <f ca="1">AVERAGE(OFFSET($AM$3,0,0,'Données projet'!$E$10+1,1))-AVERAGE(OFFSET($H$3,0,0,'Données projet'!$E$10+1,1))</f>
        <v>641.25537514609562</v>
      </c>
      <c r="AO78" s="59">
        <f t="shared" si="90"/>
        <v>294.69846357521487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34.8565811568835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34.8565811568835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66.702957228067504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10.985833333333332</v>
      </c>
      <c r="BD78" s="12">
        <f>IF('Données projet'!$A$88&gt;35,BD77+BC78-BL77,IF(A78&lt;'Données projet'!$A$88,$BA$205^A78,IF(A78='Données projet'!$A$88,'Données projet'!$B$88,BD77+BC78-BL77)))</f>
        <v>310.30166666666724</v>
      </c>
      <c r="BE78" s="13">
        <f>BD78*VLOOKUP('Données projet'!$B$11,Paramètres!$A$1:$I$89,3,0)*VLOOKUP('Données projet'!$B$11,Paramètres!$A$1:$I$89,5,0)</f>
        <v>145.22118000000026</v>
      </c>
      <c r="BF78" s="13">
        <f t="shared" si="91"/>
        <v>37.490543694625295</v>
      </c>
      <c r="BG78" s="20">
        <f t="shared" si="61"/>
        <v>318.22291876813949</v>
      </c>
      <c r="BH78" s="59">
        <f t="shared" si="62"/>
        <v>599.46709527105372</v>
      </c>
      <c r="BI78" s="59">
        <f ca="1">AVERAGE(OFFSET($BH$3,0,0,'Données projet'!$E$11+1,1))-AVERAGE(OFFSET($H$3,0,0,'Données projet'!$E$11+1,1))</f>
        <v>351.46787950120347</v>
      </c>
      <c r="BJ78" s="59">
        <f t="shared" si="92"/>
        <v>283.42185695241858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67.061777110347506</v>
      </c>
      <c r="BQ78" s="21">
        <f>EXP(-LN(2)/25)*BQ77+(1-EXP(-LN(2)/25))/(LN(2)/25)*Calculateur!BL78*Calculateur!BN78*VLOOKUP('Données projet'!$B$11,Paramètres!$A$1:$I$89,3,0)*0.475*44/12</f>
        <v>25.775445819903695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92.837222930251201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66.702957228067504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66.702957228067504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66.702957228067504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66.702957228067504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66.702957228067504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66.702957228067504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66.702957228067504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2.4500000000000002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8.9833333333333343</v>
      </c>
      <c r="H79" s="67">
        <f t="shared" si="56"/>
        <v>220.73333333333335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66.76015354907716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8.6770000000000014</v>
      </c>
      <c r="N79" s="13">
        <f>IF('Données projet'!$A$36&gt;35,N78+M79-V78,IF(A79&lt;'Données projet'!$A$36,$K$205^A79,IF(A79='Données projet'!$A$36,'Données projet'!$B$36,N78+M79-V78)))</f>
        <v>255.93400000000008</v>
      </c>
      <c r="O79" s="13">
        <f>N79*VLOOKUP('Données projet'!$B$9,Paramètres!$A$1:$I$89,3,0)*VLOOKUP('Données projet'!$B$9,Paramètres!$A$1:$I$89,5,0)</f>
        <v>259.51707600000009</v>
      </c>
      <c r="P79" s="13">
        <f t="shared" si="87"/>
        <v>62.619426939193161</v>
      </c>
      <c r="Q79" s="20">
        <f t="shared" si="54"/>
        <v>561.05440928576149</v>
      </c>
      <c r="R79" s="59">
        <f t="shared" si="55"/>
        <v>842.50830563237776</v>
      </c>
      <c r="S79" s="59">
        <f ca="1">AVERAGE(OFFSET($R$3,0,0,'Données projet'!$E$9+1,1))-AVERAGE(OFFSET($H$3,0,0,'Données projet'!$E$9+1,1))</f>
        <v>668.93155285055116</v>
      </c>
      <c r="T79" s="59">
        <f t="shared" si="88"/>
        <v>306.43050420339659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35.826600257303149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35.826600257303149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66.76015354907716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8.6770000000000014</v>
      </c>
      <c r="AI79" s="13">
        <f>IF('Données projet'!$A$62&gt;35,AI78+AH79-AQ78,IF(A79&lt;'Données projet'!$A$62,$AF$205^A79,IF(A79='Données projet'!$A$62,'Données projet'!$B$62,AI78+AH79-AQ78)))</f>
        <v>255.93400000000008</v>
      </c>
      <c r="AJ79" s="13">
        <f>AI79*VLOOKUP('Données projet'!$B$10,Paramètres!$A$1:$I$89,3,0)*VLOOKUP('Données projet'!$B$10,Paramètres!$A$1:$I$89,5,0)</f>
        <v>247.5393648000001</v>
      </c>
      <c r="AK79" s="13">
        <f t="shared" si="89"/>
        <v>60.058729915302607</v>
      </c>
      <c r="AL79" s="20">
        <f t="shared" si="58"/>
        <v>535.73334829581881</v>
      </c>
      <c r="AM79" s="59">
        <f t="shared" si="59"/>
        <v>817.18724464243508</v>
      </c>
      <c r="AN79" s="59">
        <f ca="1">AVERAGE(OFFSET($AM$3,0,0,'Données projet'!$E$10+1,1))-AVERAGE(OFFSET($H$3,0,0,'Données projet'!$E$10+1,1))</f>
        <v>641.25537514609562</v>
      </c>
      <c r="AO79" s="59">
        <f t="shared" si="90"/>
        <v>294.69846357521487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34.173064860812232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34.173064860812232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66.76015354907716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10.985833333333332</v>
      </c>
      <c r="BD79" s="12">
        <f>IF('Données projet'!$A$88&gt;35,BD78+BC79-BL78,IF(A79&lt;'Données projet'!$A$88,$BA$205^A79,IF(A79='Données projet'!$A$88,'Données projet'!$B$88,BD78+BC79-BL78)))</f>
        <v>321.28750000000059</v>
      </c>
      <c r="BE79" s="13">
        <f>BD79*VLOOKUP('Données projet'!$B$11,Paramètres!$A$1:$I$89,3,0)*VLOOKUP('Données projet'!$B$11,Paramètres!$A$1:$I$89,5,0)</f>
        <v>150.36255000000028</v>
      </c>
      <c r="BF79" s="13">
        <f t="shared" si="91"/>
        <v>38.660964829863467</v>
      </c>
      <c r="BG79" s="20">
        <f t="shared" si="61"/>
        <v>329.21595499534607</v>
      </c>
      <c r="BH79" s="59">
        <f t="shared" si="62"/>
        <v>610.66985134196239</v>
      </c>
      <c r="BI79" s="59">
        <f ca="1">AVERAGE(OFFSET($BH$3,0,0,'Données projet'!$E$11+1,1))-AVERAGE(OFFSET($H$3,0,0,'Données projet'!$E$11+1,1))</f>
        <v>351.46787950120347</v>
      </c>
      <c r="BJ79" s="59">
        <f t="shared" si="92"/>
        <v>283.42185695241858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65.746736564858736</v>
      </c>
      <c r="BQ79" s="21">
        <f>EXP(-LN(2)/25)*BQ78+(1-EXP(-LN(2)/25))/(LN(2)/25)*Calculateur!BL79*Calculateur!BN79*VLOOKUP('Données projet'!$B$11,Paramètres!$A$1:$I$89,3,0)*0.475*44/12</f>
        <v>25.070614898486642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90.817351463345375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66.76015354907716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66.76015354907716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66.76015354907716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66.76015354907716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66.76015354907716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66.76015354907716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66.76015354907716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2.4500000000000002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8.9833333333333343</v>
      </c>
      <c r="H80" s="67">
        <f t="shared" si="56"/>
        <v>220.73333333333335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66.816357641789125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8.6770000000000014</v>
      </c>
      <c r="N80" s="13">
        <f>IF('Données projet'!$A$36&gt;35,N79+M80-V79,IF(A80&lt;'Données projet'!$A$36,$K$205^A80,IF(A80='Données projet'!$A$36,'Données projet'!$B$36,N79+M80-V79)))</f>
        <v>264.6110000000001</v>
      </c>
      <c r="O80" s="13">
        <f>N80*VLOOKUP('Données projet'!$B$9,Paramètres!$A$1:$I$89,3,0)*VLOOKUP('Données projet'!$B$9,Paramètres!$A$1:$I$89,5,0)</f>
        <v>268.31555400000013</v>
      </c>
      <c r="P80" s="13">
        <f t="shared" si="87"/>
        <v>64.491657233004062</v>
      </c>
      <c r="Q80" s="20">
        <f t="shared" si="54"/>
        <v>579.63922623081567</v>
      </c>
      <c r="R80" s="59">
        <f t="shared" si="55"/>
        <v>861.29920425070918</v>
      </c>
      <c r="S80" s="59">
        <f ca="1">AVERAGE(OFFSET($R$3,0,0,'Données projet'!$E$9+1,1))-AVERAGE(OFFSET($H$3,0,0,'Données projet'!$E$9+1,1))</f>
        <v>668.93155285055116</v>
      </c>
      <c r="T80" s="59">
        <f t="shared" si="88"/>
        <v>306.43050420339659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35.124062478325875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35.124062478325875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66.816357641789125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8.6770000000000014</v>
      </c>
      <c r="AI80" s="13">
        <f>IF('Données projet'!$A$62&gt;35,AI79+AH80-AQ79,IF(A80&lt;'Données projet'!$A$62,$AF$205^A80,IF(A80='Données projet'!$A$62,'Données projet'!$B$62,AI79+AH80-AQ79)))</f>
        <v>264.6110000000001</v>
      </c>
      <c r="AJ80" s="13">
        <f>AI80*VLOOKUP('Données projet'!$B$10,Paramètres!$A$1:$I$89,3,0)*VLOOKUP('Données projet'!$B$10,Paramètres!$A$1:$I$89,5,0)</f>
        <v>255.9317592000001</v>
      </c>
      <c r="AK80" s="13">
        <f t="shared" si="89"/>
        <v>61.854399071847673</v>
      </c>
      <c r="AL80" s="20">
        <f t="shared" si="58"/>
        <v>553.47755899013487</v>
      </c>
      <c r="AM80" s="59">
        <f t="shared" si="59"/>
        <v>835.13753701002838</v>
      </c>
      <c r="AN80" s="59">
        <f ca="1">AVERAGE(OFFSET($AM$3,0,0,'Données projet'!$E$10+1,1))-AVERAGE(OFFSET($H$3,0,0,'Données projet'!$E$10+1,1))</f>
        <v>641.25537514609562</v>
      </c>
      <c r="AO80" s="59">
        <f t="shared" si="90"/>
        <v>294.69846357521487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33.50295190240314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33.50295190240314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66.816357641789125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10.985833333333332</v>
      </c>
      <c r="BD80" s="12">
        <f>IF('Données projet'!$A$88&gt;35,BD79+BC80-BL79,IF(A80&lt;'Données projet'!$A$88,$BA$205^A80,IF(A80='Données projet'!$A$88,'Données projet'!$B$88,BD79+BC80-BL79)))</f>
        <v>332.27333333333394</v>
      </c>
      <c r="BE80" s="13">
        <f>BD80*VLOOKUP('Données projet'!$B$11,Paramètres!$A$1:$I$89,3,0)*VLOOKUP('Données projet'!$B$11,Paramètres!$A$1:$I$89,5,0)</f>
        <v>155.50392000000028</v>
      </c>
      <c r="BF80" s="13">
        <f t="shared" si="91"/>
        <v>39.826735892383049</v>
      </c>
      <c r="BG80" s="20">
        <f t="shared" si="61"/>
        <v>340.20089234590097</v>
      </c>
      <c r="BH80" s="59">
        <f t="shared" si="62"/>
        <v>621.86087036579443</v>
      </c>
      <c r="BI80" s="59">
        <f ca="1">AVERAGE(OFFSET($BH$3,0,0,'Données projet'!$E$11+1,1))-AVERAGE(OFFSET($H$3,0,0,'Données projet'!$E$11+1,1))</f>
        <v>351.46787950120347</v>
      </c>
      <c r="BJ80" s="59">
        <f t="shared" si="92"/>
        <v>283.42185695241858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64.45748316237146</v>
      </c>
      <c r="BQ80" s="21">
        <f>EXP(-LN(2)/25)*BQ79+(1-EXP(-LN(2)/25))/(LN(2)/25)*Calculateur!BL80*Calculateur!BN80*VLOOKUP('Données projet'!$B$11,Paramètres!$A$1:$I$89,3,0)*0.475*44/12</f>
        <v>24.385057615681188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88.842540778052651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66.816357641789125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66.816357641789125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66.816357641789125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66.816357641789125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66.816357641789125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66.816357641789125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66.816357641789125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2.4500000000000002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8.9833333333333343</v>
      </c>
      <c r="H81" s="67">
        <f t="shared" si="56"/>
        <v>220.73333333333335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66.871586719146052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8.6770000000000014</v>
      </c>
      <c r="N81" s="13">
        <f>IF('Données projet'!$A$36&gt;35,N80+M81-V80,IF(A81&lt;'Données projet'!$A$36,$K$205^A81,IF(A81='Données projet'!$A$36,'Données projet'!$B$36,N80+M81-V80)))</f>
        <v>273.28800000000012</v>
      </c>
      <c r="O81" s="13">
        <f>N81*VLOOKUP('Données projet'!$B$9,Paramètres!$A$1:$I$89,3,0)*VLOOKUP('Données projet'!$B$9,Paramètres!$A$1:$I$89,5,0)</f>
        <v>277.11403200000018</v>
      </c>
      <c r="P81" s="13">
        <f t="shared" si="87"/>
        <v>66.356753617040368</v>
      </c>
      <c r="Q81" s="20">
        <f t="shared" si="54"/>
        <v>598.21161828301217</v>
      </c>
      <c r="R81" s="59">
        <f t="shared" si="55"/>
        <v>880.07410291988094</v>
      </c>
      <c r="S81" s="59">
        <f ca="1">AVERAGE(OFFSET($R$3,0,0,'Données projet'!$E$9+1,1))-AVERAGE(OFFSET($H$3,0,0,'Données projet'!$E$9+1,1))</f>
        <v>668.93155285055116</v>
      </c>
      <c r="T81" s="59">
        <f t="shared" si="88"/>
        <v>306.43050420339659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34.435301036688614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34.435301036688614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66.871586719146052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8.6770000000000014</v>
      </c>
      <c r="AI81" s="13">
        <f>IF('Données projet'!$A$62&gt;35,AI80+AH81-AQ80,IF(A81&lt;'Données projet'!$A$62,$AF$205^A81,IF(A81='Données projet'!$A$62,'Données projet'!$B$62,AI80+AH81-AQ80)))</f>
        <v>273.28800000000012</v>
      </c>
      <c r="AJ81" s="13">
        <f>AI81*VLOOKUP('Données projet'!$B$10,Paramètres!$A$1:$I$89,3,0)*VLOOKUP('Données projet'!$B$10,Paramètres!$A$1:$I$89,5,0)</f>
        <v>264.32415360000016</v>
      </c>
      <c r="AK81" s="13">
        <f t="shared" si="89"/>
        <v>63.643226045681423</v>
      </c>
      <c r="AL81" s="20">
        <f t="shared" si="58"/>
        <v>571.20985288289546</v>
      </c>
      <c r="AM81" s="59">
        <f t="shared" si="59"/>
        <v>853.07233751976423</v>
      </c>
      <c r="AN81" s="59">
        <f ca="1">AVERAGE(OFFSET($AM$3,0,0,'Données projet'!$E$10+1,1))-AVERAGE(OFFSET($H$3,0,0,'Données projet'!$E$10+1,1))</f>
        <v>641.25537514609562</v>
      </c>
      <c r="AO81" s="59">
        <f t="shared" si="90"/>
        <v>294.69846357521487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32.845979450379907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32.845979450379907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66.871586719146052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10.985833333333332</v>
      </c>
      <c r="BD81" s="12">
        <f>IF('Données projet'!$A$88&gt;35,BD80+BC81-BL80,IF(A81&lt;'Données projet'!$A$88,$BA$205^A81,IF(A81='Données projet'!$A$88,'Données projet'!$B$88,BD80+BC81-BL80)))</f>
        <v>343.25916666666728</v>
      </c>
      <c r="BE81" s="13">
        <f>BD81*VLOOKUP('Données projet'!$B$11,Paramètres!$A$1:$I$89,3,0)*VLOOKUP('Données projet'!$B$11,Paramètres!$A$1:$I$89,5,0)</f>
        <v>160.64529000000027</v>
      </c>
      <c r="BF81" s="13">
        <f t="shared" si="91"/>
        <v>40.988028255180659</v>
      </c>
      <c r="BG81" s="20">
        <f t="shared" si="61"/>
        <v>351.17802929444014</v>
      </c>
      <c r="BH81" s="59">
        <f t="shared" si="62"/>
        <v>633.04051393130896</v>
      </c>
      <c r="BI81" s="59">
        <f ca="1">AVERAGE(OFFSET($BH$3,0,0,'Données projet'!$E$11+1,1))-AVERAGE(OFFSET($H$3,0,0,'Données projet'!$E$11+1,1))</f>
        <v>351.46787950120347</v>
      </c>
      <c r="BJ81" s="59">
        <f t="shared" si="92"/>
        <v>283.42185695241858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63.193511232740036</v>
      </c>
      <c r="BQ81" s="21">
        <f>EXP(-LN(2)/25)*BQ80+(1-EXP(-LN(2)/25))/(LN(2)/25)*Calculateur!BL81*Calculateur!BN81*VLOOKUP('Données projet'!$B$11,Paramètres!$A$1:$I$89,3,0)*0.475*44/12</f>
        <v>23.718246932825938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86.911758165565971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66.871586719146052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66.871586719146052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66.871586719146052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66.871586719146052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66.871586719146052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66.871586719146052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66.871586719146052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2.4500000000000002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8.9833333333333343</v>
      </c>
      <c r="H82" s="67">
        <f t="shared" si="56"/>
        <v>220.73333333333335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66.925857695484567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8.6770000000000014</v>
      </c>
      <c r="N82" s="13">
        <f>IF('Données projet'!$A$36&gt;35,N81+M82-V81,IF(A82&lt;'Données projet'!$A$36,$K$205^A82,IF(A82='Données projet'!$A$36,'Données projet'!$B$36,N81+M82-V81)))</f>
        <v>281.96500000000015</v>
      </c>
      <c r="O82" s="13">
        <f>N82*VLOOKUP('Données projet'!$B$9,Paramètres!$A$1:$I$89,3,0)*VLOOKUP('Données projet'!$B$9,Paramètres!$A$1:$I$89,5,0)</f>
        <v>285.91251000000017</v>
      </c>
      <c r="P82" s="13">
        <f t="shared" si="87"/>
        <v>68.214968580220258</v>
      </c>
      <c r="Q82" s="20">
        <f t="shared" si="54"/>
        <v>616.77202519388391</v>
      </c>
      <c r="R82" s="59">
        <f t="shared" si="55"/>
        <v>898.83350341066057</v>
      </c>
      <c r="S82" s="59">
        <f ca="1">AVERAGE(OFFSET($R$3,0,0,'Données projet'!$E$9+1,1))-AVERAGE(OFFSET($H$3,0,0,'Données projet'!$E$9+1,1))</f>
        <v>668.93155285055116</v>
      </c>
      <c r="T82" s="59">
        <f t="shared" si="88"/>
        <v>306.43050420339659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33.760045786818864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33.760045786818864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66.925857695484567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8.6770000000000014</v>
      </c>
      <c r="AI82" s="13">
        <f>IF('Données projet'!$A$62&gt;35,AI81+AH82-AQ81,IF(A82&lt;'Données projet'!$A$62,$AF$205^A82,IF(A82='Données projet'!$A$62,'Données projet'!$B$62,AI81+AH82-AQ81)))</f>
        <v>281.96500000000015</v>
      </c>
      <c r="AJ82" s="13">
        <f>AI82*VLOOKUP('Données projet'!$B$10,Paramètres!$A$1:$I$89,3,0)*VLOOKUP('Données projet'!$B$10,Paramètres!$A$1:$I$89,5,0)</f>
        <v>272.71654800000016</v>
      </c>
      <c r="AK82" s="13">
        <f t="shared" si="89"/>
        <v>65.425453000689586</v>
      </c>
      <c r="AL82" s="20">
        <f t="shared" si="58"/>
        <v>588.93065174286789</v>
      </c>
      <c r="AM82" s="59">
        <f t="shared" si="59"/>
        <v>870.99212995964467</v>
      </c>
      <c r="AN82" s="59">
        <f ca="1">AVERAGE(OFFSET($AM$3,0,0,'Données projet'!$E$10+1,1))-AVERAGE(OFFSET($H$3,0,0,'Données projet'!$E$10+1,1))</f>
        <v>641.25537514609562</v>
      </c>
      <c r="AO82" s="59">
        <f t="shared" si="90"/>
        <v>294.69846357521487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32.201889827427223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32.201889827427223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66.925857695484567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10.985833333333332</v>
      </c>
      <c r="BD82" s="12">
        <f>IF('Données projet'!$A$88&gt;35,BD81+BC82-BL81,IF(A82&lt;'Données projet'!$A$88,$BA$205^A82,IF(A82='Données projet'!$A$88,'Données projet'!$B$88,BD81+BC82-BL81)))</f>
        <v>354.24500000000063</v>
      </c>
      <c r="BE82" s="13">
        <f>BD82*VLOOKUP('Données projet'!$B$11,Paramètres!$A$1:$I$89,3,0)*VLOOKUP('Données projet'!$B$11,Paramètres!$A$1:$I$89,5,0)</f>
        <v>165.7866600000003</v>
      </c>
      <c r="BF82" s="13">
        <f t="shared" si="91"/>
        <v>42.145001699009093</v>
      </c>
      <c r="BG82" s="20">
        <f t="shared" si="61"/>
        <v>362.14764412577466</v>
      </c>
      <c r="BH82" s="59">
        <f t="shared" si="62"/>
        <v>644.20912234255138</v>
      </c>
      <c r="BI82" s="59">
        <f ca="1">AVERAGE(OFFSET($BH$3,0,0,'Données projet'!$E$11+1,1))-AVERAGE(OFFSET($H$3,0,0,'Données projet'!$E$11+1,1))</f>
        <v>351.46787950120347</v>
      </c>
      <c r="BJ82" s="59">
        <f t="shared" si="92"/>
        <v>283.42185695241858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61.954325021701926</v>
      </c>
      <c r="BQ82" s="21">
        <f>EXP(-LN(2)/25)*BQ81+(1-EXP(-LN(2)/25))/(LN(2)/25)*Calculateur!BL82*Calculateur!BN82*VLOOKUP('Données projet'!$B$11,Paramètres!$A$1:$I$89,3,0)*0.475*44/12</f>
        <v>23.069670223159417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85.023995244861339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66.925857695484567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66.925857695484567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66.925857695484567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66.925857695484567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66.925857695484567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66.925857695484567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66.925857695484567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2.4500000000000002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8.9833333333333343</v>
      </c>
      <c r="H83" s="67">
        <f t="shared" si="56"/>
        <v>220.73333333333335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66.979187191715326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8.6770000000000014</v>
      </c>
      <c r="N83" s="13">
        <f>IF('Données projet'!$A$36&gt;35,N82+M83-V82,IF(A83&lt;'Données projet'!$A$36,$K$205^A83,IF(A83='Données projet'!$A$36,'Données projet'!$B$36,N82+M83-V82)))</f>
        <v>290.64200000000017</v>
      </c>
      <c r="O83" s="13">
        <f>N83*VLOOKUP('Données projet'!$B$9,Paramètres!$A$1:$I$89,3,0)*VLOOKUP('Données projet'!$B$9,Paramètres!$A$1:$I$89,5,0)</f>
        <v>294.71098800000021</v>
      </c>
      <c r="P83" s="13">
        <f t="shared" si="87"/>
        <v>70.066538188752801</v>
      </c>
      <c r="Q83" s="20">
        <f t="shared" si="54"/>
        <v>635.3208581120781</v>
      </c>
      <c r="R83" s="59">
        <f t="shared" si="55"/>
        <v>917.5778778150343</v>
      </c>
      <c r="S83" s="59">
        <f ca="1">AVERAGE(OFFSET($R$3,0,0,'Données projet'!$E$9+1,1))-AVERAGE(OFFSET($H$3,0,0,'Données projet'!$E$9+1,1))</f>
        <v>668.93155285055116</v>
      </c>
      <c r="T83" s="59">
        <f t="shared" si="88"/>
        <v>306.43050420339659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33.098031880534023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33.098031880534023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66.979187191715326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8.6770000000000014</v>
      </c>
      <c r="AI83" s="13">
        <f>IF('Données projet'!$A$62&gt;35,AI82+AH83-AQ82,IF(A83&lt;'Données projet'!$A$62,$AF$205^A83,IF(A83='Données projet'!$A$62,'Données projet'!$B$62,AI82+AH83-AQ82)))</f>
        <v>290.64200000000017</v>
      </c>
      <c r="AJ83" s="13">
        <f>AI83*VLOOKUP('Données projet'!$B$10,Paramètres!$A$1:$I$89,3,0)*VLOOKUP('Données projet'!$B$10,Paramètres!$A$1:$I$89,5,0)</f>
        <v>281.10894240000016</v>
      </c>
      <c r="AK83" s="13">
        <f t="shared" si="89"/>
        <v>67.20130634962284</v>
      </c>
      <c r="AL83" s="20">
        <f t="shared" si="58"/>
        <v>606.64034990559333</v>
      </c>
      <c r="AM83" s="59">
        <f t="shared" si="59"/>
        <v>888.89736960854952</v>
      </c>
      <c r="AN83" s="59">
        <f ca="1">AVERAGE(OFFSET($AM$3,0,0,'Données projet'!$E$10+1,1))-AVERAGE(OFFSET($H$3,0,0,'Données projet'!$E$10+1,1))</f>
        <v>641.25537514609562</v>
      </c>
      <c r="AO83" s="59">
        <f t="shared" si="90"/>
        <v>294.69846357521487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31.570430409124761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31.570430409124761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66.979187191715326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10.985833333333332</v>
      </c>
      <c r="BD83" s="12">
        <f>IF('Données projet'!$A$88&gt;35,BD82+BC83-BL82,IF(A83&lt;'Données projet'!$A$88,$BA$205^A83,IF(A83='Données projet'!$A$88,'Données projet'!$B$88,BD82+BC83-BL82)))</f>
        <v>365.23083333333398</v>
      </c>
      <c r="BE83" s="13">
        <f>BD83*VLOOKUP('Données projet'!$B$11,Paramètres!$A$1:$I$89,3,0)*VLOOKUP('Données projet'!$B$11,Paramètres!$A$1:$I$89,5,0)</f>
        <v>170.92803000000032</v>
      </c>
      <c r="BF83" s="13">
        <f t="shared" si="91"/>
        <v>43.297805531428544</v>
      </c>
      <c r="BG83" s="20">
        <f t="shared" si="61"/>
        <v>373.1099968839053</v>
      </c>
      <c r="BH83" s="59">
        <f t="shared" si="62"/>
        <v>655.3670165868615</v>
      </c>
      <c r="BI83" s="59">
        <f ca="1">AVERAGE(OFFSET($BH$3,0,0,'Données projet'!$E$11+1,1))-AVERAGE(OFFSET($H$3,0,0,'Données projet'!$E$11+1,1))</f>
        <v>351.46787950120347</v>
      </c>
      <c r="BJ83" s="59">
        <f t="shared" si="92"/>
        <v>283.42185695241858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60.739438496433323</v>
      </c>
      <c r="BQ83" s="21">
        <f>EXP(-LN(2)/25)*BQ82+(1-EXP(-LN(2)/25))/(LN(2)/25)*Calculateur!BL83*Calculateur!BN83*VLOOKUP('Données projet'!$B$11,Paramètres!$A$1:$I$89,3,0)*0.475*44/12</f>
        <v>22.438828877725893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83.178267374159219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66.979187191715326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66.979187191715326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66.979187191715326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66.979187191715326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66.979187191715326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66.979187191715326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66.979187191715326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2.4500000000000002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8.9833333333333343</v>
      </c>
      <c r="H84" s="67">
        <f t="shared" si="56"/>
        <v>220.73333333333335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67.031591540413373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8.6770000000000014</v>
      </c>
      <c r="N84" s="13">
        <f>IF('Données projet'!$A$36&gt;35,N83+M84-V83,IF(A84&lt;'Données projet'!$A$36,$K$205^A84,IF(A84='Données projet'!$A$36,'Données projet'!$B$36,N83+M84-V83)))</f>
        <v>299.31900000000019</v>
      </c>
      <c r="O84" s="13">
        <f>N84*VLOOKUP('Données projet'!$B$9,Paramètres!$A$1:$I$89,3,0)*VLOOKUP('Données projet'!$B$9,Paramètres!$A$1:$I$89,5,0)</f>
        <v>303.5094660000002</v>
      </c>
      <c r="P84" s="13">
        <f t="shared" si="87"/>
        <v>71.911683612358004</v>
      </c>
      <c r="Q84" s="20">
        <f t="shared" si="54"/>
        <v>653.85850224152387</v>
      </c>
      <c r="R84" s="59">
        <f t="shared" si="55"/>
        <v>936.30767122303951</v>
      </c>
      <c r="S84" s="59">
        <f ca="1">AVERAGE(OFFSET($R$3,0,0,'Données projet'!$E$9+1,1))-AVERAGE(OFFSET($H$3,0,0,'Données projet'!$E$9+1,1))</f>
        <v>668.93155285055116</v>
      </c>
      <c r="T84" s="59">
        <f t="shared" si="88"/>
        <v>306.43050420339659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32.448999663162816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32.448999663162816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67.031591540413373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8.6770000000000014</v>
      </c>
      <c r="AI84" s="13">
        <f>IF('Données projet'!$A$62&gt;35,AI83+AH84-AQ83,IF(A84&lt;'Données projet'!$A$62,$AF$205^A84,IF(A84='Données projet'!$A$62,'Données projet'!$B$62,AI83+AH84-AQ83)))</f>
        <v>299.31900000000019</v>
      </c>
      <c r="AJ84" s="13">
        <f>AI84*VLOOKUP('Données projet'!$B$10,Paramètres!$A$1:$I$89,3,0)*VLOOKUP('Données projet'!$B$10,Paramètres!$A$1:$I$89,5,0)</f>
        <v>289.50133680000016</v>
      </c>
      <c r="AK84" s="13">
        <f t="shared" si="89"/>
        <v>68.970998217904651</v>
      </c>
      <c r="AL84" s="20">
        <f t="shared" si="58"/>
        <v>624.33931682285095</v>
      </c>
      <c r="AM84" s="59">
        <f t="shared" si="59"/>
        <v>906.7884858043667</v>
      </c>
      <c r="AN84" s="59">
        <f ca="1">AVERAGE(OFFSET($AM$3,0,0,'Données projet'!$E$10+1,1))-AVERAGE(OFFSET($H$3,0,0,'Données projet'!$E$10+1,1))</f>
        <v>641.25537514609562</v>
      </c>
      <c r="AO84" s="59">
        <f t="shared" si="90"/>
        <v>294.69846357521487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30.951353524862995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30.951353524862995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67.031591540413373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10.985833333333332</v>
      </c>
      <c r="BD84" s="12">
        <f>IF('Données projet'!$A$88&gt;35,BD83+BC84-BL83,IF(A84&lt;'Données projet'!$A$88,$BA$205^A84,IF(A84='Données projet'!$A$88,'Données projet'!$B$88,BD83+BC84-BL83)))</f>
        <v>376.21666666666732</v>
      </c>
      <c r="BE84" s="13">
        <f>BD84*VLOOKUP('Données projet'!$B$11,Paramètres!$A$1:$I$89,3,0)*VLOOKUP('Données projet'!$B$11,Paramètres!$A$1:$I$89,5,0)</f>
        <v>176.06940000000031</v>
      </c>
      <c r="BF84" s="13">
        <f t="shared" si="91"/>
        <v>44.446579567434348</v>
      </c>
      <c r="BG84" s="20">
        <f t="shared" si="61"/>
        <v>384.06533107994869</v>
      </c>
      <c r="BH84" s="59">
        <f t="shared" si="62"/>
        <v>666.51450006146433</v>
      </c>
      <c r="BI84" s="59">
        <f ca="1">AVERAGE(OFFSET($BH$3,0,0,'Données projet'!$E$11+1,1))-AVERAGE(OFFSET($H$3,0,0,'Données projet'!$E$11+1,1))</f>
        <v>351.46787950120347</v>
      </c>
      <c r="BJ84" s="59">
        <f t="shared" si="92"/>
        <v>283.42185695241858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59.548375154917622</v>
      </c>
      <c r="BQ84" s="21">
        <f>EXP(-LN(2)/25)*BQ83+(1-EXP(-LN(2)/25))/(LN(2)/25)*Calculateur!BL84*Calculateur!BN84*VLOOKUP('Données projet'!$B$11,Paramètres!$A$1:$I$89,3,0)*0.475*44/12</f>
        <v>21.825237922057752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81.373613076975374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67.031591540413373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67.031591540413373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67.031591540413373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67.031591540413373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67.031591540413373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67.031591540413373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67.031591540413373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2.4500000000000002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8.9833333333333343</v>
      </c>
      <c r="H85" s="67">
        <f t="shared" si="56"/>
        <v>220.73333333333335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67.08308679082009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8.6770000000000014</v>
      </c>
      <c r="N85" s="13">
        <f>IF('Données projet'!$A$36&gt;35,N84+M85-V84,IF(A85&lt;'Données projet'!$A$36,$K$205^A85,IF(A85='Données projet'!$A$36,'Données projet'!$B$36,N84+M85-V84)))</f>
        <v>307.99600000000021</v>
      </c>
      <c r="O85" s="13">
        <f>N85*VLOOKUP('Données projet'!$B$9,Paramètres!$A$1:$I$89,3,0)*VLOOKUP('Données projet'!$B$9,Paramètres!$A$1:$I$89,5,0)</f>
        <v>312.30794400000019</v>
      </c>
      <c r="P85" s="13">
        <f t="shared" si="87"/>
        <v>73.750612468537497</v>
      </c>
      <c r="Q85" s="20">
        <f t="shared" si="54"/>
        <v>672.38531918270314</v>
      </c>
      <c r="R85" s="59">
        <f t="shared" si="55"/>
        <v>955.02330408237685</v>
      </c>
      <c r="S85" s="59">
        <f ca="1">AVERAGE(OFFSET($R$3,0,0,'Données projet'!$E$9+1,1))-AVERAGE(OFFSET($H$3,0,0,'Données projet'!$E$9+1,1))</f>
        <v>668.93155285055116</v>
      </c>
      <c r="T85" s="59">
        <f t="shared" si="88"/>
        <v>306.43050420339659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31.812694571703695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31.812694571703695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67.08308679082009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8.6770000000000014</v>
      </c>
      <c r="AI85" s="13">
        <f>IF('Données projet'!$A$62&gt;35,AI84+AH85-AQ84,IF(A85&lt;'Données projet'!$A$62,$AF$205^A85,IF(A85='Données projet'!$A$62,'Données projet'!$B$62,AI84+AH85-AQ84)))</f>
        <v>307.99600000000021</v>
      </c>
      <c r="AJ85" s="13">
        <f>AI85*VLOOKUP('Données projet'!$B$10,Paramètres!$A$1:$I$89,3,0)*VLOOKUP('Données projet'!$B$10,Paramètres!$A$1:$I$89,5,0)</f>
        <v>297.89373120000022</v>
      </c>
      <c r="AK85" s="13">
        <f t="shared" si="89"/>
        <v>70.734727732931788</v>
      </c>
      <c r="AL85" s="20">
        <f t="shared" si="58"/>
        <v>642.02789930818994</v>
      </c>
      <c r="AM85" s="59">
        <f t="shared" si="59"/>
        <v>924.66588420786366</v>
      </c>
      <c r="AN85" s="59">
        <f ca="1">AVERAGE(OFFSET($AM$3,0,0,'Données projet'!$E$10+1,1))-AVERAGE(OFFSET($H$3,0,0,'Données projet'!$E$10+1,1))</f>
        <v>641.25537514609562</v>
      </c>
      <c r="AO85" s="59">
        <f t="shared" si="90"/>
        <v>294.69846357521487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30.344416360701988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30.344416360701988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67.08308679082009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10.985833333333332</v>
      </c>
      <c r="BD85" s="12">
        <f>IF('Données projet'!$A$88&gt;35,BD84+BC85-BL84,IF(A85&lt;'Données projet'!$A$88,$BA$205^A85,IF(A85='Données projet'!$A$88,'Données projet'!$B$88,BD84+BC85-BL84)))</f>
        <v>387.20250000000067</v>
      </c>
      <c r="BE85" s="13">
        <f>BD85*VLOOKUP('Données projet'!$B$11,Paramètres!$A$1:$I$89,3,0)*VLOOKUP('Données projet'!$B$11,Paramètres!$A$1:$I$89,5,0)</f>
        <v>181.21077000000031</v>
      </c>
      <c r="BF85" s="13">
        <f t="shared" si="91"/>
        <v>45.591454992325396</v>
      </c>
      <c r="BG85" s="20">
        <f t="shared" si="61"/>
        <v>395.01387519496728</v>
      </c>
      <c r="BH85" s="59">
        <f t="shared" si="62"/>
        <v>677.65186009464094</v>
      </c>
      <c r="BI85" s="59">
        <f ca="1">AVERAGE(OFFSET($BH$3,0,0,'Données projet'!$E$11+1,1))-AVERAGE(OFFSET($H$3,0,0,'Données projet'!$E$11+1,1))</f>
        <v>351.46787950120347</v>
      </c>
      <c r="BJ85" s="59">
        <f t="shared" si="92"/>
        <v>283.42185695241858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58.380667839052137</v>
      </c>
      <c r="BQ85" s="21">
        <f>EXP(-LN(2)/25)*BQ84+(1-EXP(-LN(2)/25))/(LN(2)/25)*Calculateur!BL85*Calculateur!BN85*VLOOKUP('Données projet'!$B$11,Paramètres!$A$1:$I$89,3,0)*0.475*44/12</f>
        <v>21.228425643339705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79.609093482391842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67.08308679082009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67.08308679082009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67.08308679082009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67.08308679082009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67.08308679082009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67.08308679082009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67.08308679082009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2.4500000000000002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8.9833333333333343</v>
      </c>
      <c r="H86" s="67">
        <f t="shared" si="56"/>
        <v>220.73333333333335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67.133688713758374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8.6770000000000014</v>
      </c>
      <c r="N86" s="13">
        <f>IF('Données projet'!$A$36&gt;35,N85+M86-V85,IF(A86&lt;'Données projet'!$A$36,$K$205^A86,IF(A86='Données projet'!$A$36,'Données projet'!$B$36,N85+M86-V85)))</f>
        <v>316.67300000000023</v>
      </c>
      <c r="O86" s="13">
        <f>N86*VLOOKUP('Données projet'!$B$9,Paramètres!$A$1:$I$89,3,0)*VLOOKUP('Données projet'!$B$9,Paramètres!$A$1:$I$89,5,0)</f>
        <v>321.10642200000024</v>
      </c>
      <c r="P86" s="13">
        <f t="shared" si="87"/>
        <v>75.58352001110228</v>
      </c>
      <c r="Q86" s="20">
        <f t="shared" si="54"/>
        <v>690.90164900267018</v>
      </c>
      <c r="R86" s="59">
        <f t="shared" si="55"/>
        <v>973.72517428645097</v>
      </c>
      <c r="S86" s="59">
        <f ca="1">AVERAGE(OFFSET($R$3,0,0,'Données projet'!$E$9+1,1))-AVERAGE(OFFSET($H$3,0,0,'Données projet'!$E$9+1,1))</f>
        <v>668.93155285055116</v>
      </c>
      <c r="T86" s="59">
        <f t="shared" si="88"/>
        <v>306.43050420339659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31.188867034980305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31.188867034980305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67.133688713758374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8.6770000000000014</v>
      </c>
      <c r="AI86" s="13">
        <f>IF('Données projet'!$A$62&gt;35,AI85+AH86-AQ85,IF(A86&lt;'Données projet'!$A$62,$AF$205^A86,IF(A86='Données projet'!$A$62,'Données projet'!$B$62,AI85+AH86-AQ85)))</f>
        <v>316.67300000000023</v>
      </c>
      <c r="AJ86" s="13">
        <f>AI86*VLOOKUP('Données projet'!$B$10,Paramètres!$A$1:$I$89,3,0)*VLOOKUP('Données projet'!$B$10,Paramètres!$A$1:$I$89,5,0)</f>
        <v>306.28612560000022</v>
      </c>
      <c r="AK86" s="13">
        <f t="shared" si="89"/>
        <v>72.492682163998609</v>
      </c>
      <c r="AL86" s="20">
        <f t="shared" si="58"/>
        <v>659.70642352229788</v>
      </c>
      <c r="AM86" s="59">
        <f t="shared" si="59"/>
        <v>942.52994880607866</v>
      </c>
      <c r="AN86" s="59">
        <f ca="1">AVERAGE(OFFSET($AM$3,0,0,'Données projet'!$E$10+1,1))-AVERAGE(OFFSET($H$3,0,0,'Données projet'!$E$10+1,1))</f>
        <v>641.25537514609562</v>
      </c>
      <c r="AO86" s="59">
        <f t="shared" si="90"/>
        <v>294.69846357521487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29.749380864135063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29.749380864135063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67.133688713758374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10.985833333333332</v>
      </c>
      <c r="BD86" s="12">
        <f>IF('Données projet'!$A$88&gt;35,BD85+BC86-BL85,IF(A86&lt;'Données projet'!$A$88,$BA$205^A86,IF(A86='Données projet'!$A$88,'Données projet'!$B$88,BD85+BC86-BL85)))</f>
        <v>398.18833333333401</v>
      </c>
      <c r="BE86" s="13">
        <f>BD86*VLOOKUP('Données projet'!$B$11,Paramètres!$A$1:$I$89,3,0)*VLOOKUP('Données projet'!$B$11,Paramètres!$A$1:$I$89,5,0)</f>
        <v>186.3521400000003</v>
      </c>
      <c r="BF86" s="13">
        <f t="shared" si="91"/>
        <v>46.732555123893533</v>
      </c>
      <c r="BG86" s="20">
        <f t="shared" si="61"/>
        <v>405.95584400744838</v>
      </c>
      <c r="BH86" s="59">
        <f t="shared" si="62"/>
        <v>688.77936929122916</v>
      </c>
      <c r="BI86" s="59">
        <f ca="1">AVERAGE(OFFSET($BH$3,0,0,'Données projet'!$E$11+1,1))-AVERAGE(OFFSET($H$3,0,0,'Données projet'!$E$11+1,1))</f>
        <v>351.46787950120347</v>
      </c>
      <c r="BJ86" s="59">
        <f t="shared" si="92"/>
        <v>283.42185695241858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57.235858551419639</v>
      </c>
      <c r="BQ86" s="21">
        <f>EXP(-LN(2)/25)*BQ85+(1-EXP(-LN(2)/25))/(LN(2)/25)*Calculateur!BL86*Calculateur!BN86*VLOOKUP('Données projet'!$B$11,Paramètres!$A$1:$I$89,3,0)*0.475*44/12</f>
        <v>20.647933227768196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77.883791779187831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67.133688713758374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67.133688713758374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67.133688713758374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67.133688713758374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67.133688713758374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67.133688713758374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67.133688713758374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2.4500000000000002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8.9833333333333343</v>
      </c>
      <c r="H87" s="67">
        <f t="shared" si="56"/>
        <v>220.73333333333335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67.183412806462627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325.35000000000002</v>
      </c>
      <c r="L87" s="12">
        <f>VLOOKUP(A87,'Données projet'!$A$35:$I$55,9,0)</f>
        <v>8.6770000000000014</v>
      </c>
      <c r="M87" s="12">
        <f t="array" ref="M87">INDEX(L:L,MIN(IF(ISNUMBER(L87:L283),ROW(L87:L283),"")))</f>
        <v>8.6770000000000014</v>
      </c>
      <c r="N87" s="13">
        <f>IF('Données projet'!$A$36&gt;35,N86+M87-V86,IF(A87&lt;'Données projet'!$A$36,$K$205^A87,IF(A87='Données projet'!$A$36,'Données projet'!$B$36,N86+M87-V86)))</f>
        <v>325.35000000000025</v>
      </c>
      <c r="O87" s="13">
        <f>N87*VLOOKUP('Données projet'!$B$9,Paramètres!$A$1:$I$89,3,0)*VLOOKUP('Données projet'!$B$9,Paramètres!$A$1:$I$89,5,0)</f>
        <v>329.90490000000028</v>
      </c>
      <c r="P87" s="13">
        <f t="shared" si="87"/>
        <v>77.410590184772218</v>
      </c>
      <c r="Q87" s="20">
        <f t="shared" si="54"/>
        <v>709.40781207181215</v>
      </c>
      <c r="R87" s="59">
        <f t="shared" si="55"/>
        <v>992.41365902884172</v>
      </c>
      <c r="S87" s="59">
        <f ca="1">AVERAGE(OFFSET($R$3,0,0,'Données projet'!$E$9+1,1))-AVERAGE(OFFSET($H$3,0,0,'Données projet'!$E$9+1,1))</f>
        <v>668.93155285055116</v>
      </c>
      <c r="T87" s="59">
        <f t="shared" si="88"/>
        <v>306.43050420339659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61.47</v>
      </c>
      <c r="W87" s="16">
        <f>IF(ISNA(VLOOKUP(A87,'Données projet'!$A$35:$I$55,5,0)),0%,VLOOKUP(A87,'Données projet'!$A$35:$I$55,5,0)*VLOOKUP('Données projet'!$B$9,Paramètres!$A$1:$I$89,7,0))</f>
        <v>0.25800000000000001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48.354661737464937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48.354661737464937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67.183412806462627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325.35000000000002</v>
      </c>
      <c r="AG87" s="12">
        <f>VLOOKUP(A87,'Données projet'!$A$61:$I$81,9,0)</f>
        <v>8.6770000000000014</v>
      </c>
      <c r="AH87" s="12">
        <f t="array" ref="AH87">INDEX(AG:AG,MIN(IF(ISNUMBER(AG87:AG283),ROW(AG87:AG283),"")))</f>
        <v>8.6770000000000014</v>
      </c>
      <c r="AI87" s="13">
        <f>IF('Données projet'!$A$62&gt;35,AI86+AH87-AQ86,IF(A87&lt;'Données projet'!$A$62,$AF$205^A87,IF(A87='Données projet'!$A$62,'Données projet'!$B$62,AI86+AH87-AQ86)))</f>
        <v>325.35000000000025</v>
      </c>
      <c r="AJ87" s="13">
        <f>AI87*VLOOKUP('Données projet'!$B$10,Paramètres!$A$1:$I$89,3,0)*VLOOKUP('Données projet'!$B$10,Paramètres!$A$1:$I$89,5,0)</f>
        <v>314.67852000000028</v>
      </c>
      <c r="AK87" s="13">
        <f t="shared" si="89"/>
        <v>74.245037933771187</v>
      </c>
      <c r="AL87" s="20">
        <f t="shared" si="58"/>
        <v>677.37519673465192</v>
      </c>
      <c r="AM87" s="59">
        <f t="shared" si="59"/>
        <v>960.3810436916815</v>
      </c>
      <c r="AN87" s="59">
        <f ca="1">AVERAGE(OFFSET($AM$3,0,0,'Données projet'!$E$10+1,1))-AVERAGE(OFFSET($H$3,0,0,'Données projet'!$E$10+1,1))</f>
        <v>641.25537514609562</v>
      </c>
      <c r="AO87" s="59">
        <f t="shared" si="90"/>
        <v>294.69846357521487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0.25800000000000001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46.12290811881271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46.12290811881271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67.183412806462627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10.985833333333332</v>
      </c>
      <c r="BD87" s="12">
        <f>IF('Données projet'!$A$88&gt;35,BD86+BC87-BL86,IF(A87&lt;'Données projet'!$A$88,$BA$205^A87,IF(A87='Données projet'!$A$88,'Données projet'!$B$88,BD86+BC87-BL86)))</f>
        <v>409.17416666666736</v>
      </c>
      <c r="BE87" s="13">
        <f>BD87*VLOOKUP('Données projet'!$B$11,Paramètres!$A$1:$I$89,3,0)*VLOOKUP('Données projet'!$B$11,Paramètres!$A$1:$I$89,5,0)</f>
        <v>191.49351000000033</v>
      </c>
      <c r="BF87" s="13">
        <f t="shared" si="91"/>
        <v>47.869996088134386</v>
      </c>
      <c r="BG87" s="20">
        <f t="shared" si="61"/>
        <v>416.89143977016801</v>
      </c>
      <c r="BH87" s="59">
        <f t="shared" si="62"/>
        <v>699.89728672719764</v>
      </c>
      <c r="BI87" s="59">
        <f ca="1">AVERAGE(OFFSET($BH$3,0,0,'Données projet'!$E$11+1,1))-AVERAGE(OFFSET($H$3,0,0,'Données projet'!$E$11+1,1))</f>
        <v>351.46787950120347</v>
      </c>
      <c r="BJ87" s="59">
        <f t="shared" si="92"/>
        <v>283.42185695241858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56.113498275652901</v>
      </c>
      <c r="BQ87" s="21">
        <f>EXP(-LN(2)/25)*BQ86+(1-EXP(-LN(2)/25))/(LN(2)/25)*Calculateur!BL87*Calculateur!BN87*VLOOKUP('Données projet'!$B$11,Paramètres!$A$1:$I$89,3,0)*0.475*44/12</f>
        <v>20.083314407827256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76.196812683480161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67.183412806462627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67.183412806462627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67.183412806462627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67.183412806462627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67.183412806462627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67.183412806462627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67.183412806462627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2.4500000000000002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8.9833333333333343</v>
      </c>
      <c r="H88" s="67">
        <f t="shared" si="56"/>
        <v>220.73333333333335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67.232274297324892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8.2910000000000021</v>
      </c>
      <c r="N88" s="13">
        <f>IF('Données projet'!$A$36&gt;35,N87+M88-V87,IF(A88&lt;'Données projet'!$A$36,$K$205^A88,IF(A88='Données projet'!$A$36,'Données projet'!$B$36,N87+M88-V87)))</f>
        <v>272.17100000000028</v>
      </c>
      <c r="O88" s="13">
        <f>N88*VLOOKUP('Données projet'!$B$9,Paramètres!$A$1:$I$89,3,0)*VLOOKUP('Données projet'!$B$9,Paramètres!$A$1:$I$89,5,0)</f>
        <v>275.98139400000031</v>
      </c>
      <c r="P88" s="13">
        <f t="shared" si="87"/>
        <v>66.117048721763197</v>
      </c>
      <c r="Q88" s="20">
        <f t="shared" si="54"/>
        <v>595.82145440707143</v>
      </c>
      <c r="R88" s="59">
        <f t="shared" si="55"/>
        <v>879.00646016392943</v>
      </c>
      <c r="S88" s="59">
        <f ca="1">AVERAGE(OFFSET($R$3,0,0,'Données projet'!$E$9+1,1))-AVERAGE(OFFSET($H$3,0,0,'Données projet'!$E$9+1,1))</f>
        <v>668.93155285055116</v>
      </c>
      <c r="T88" s="59">
        <f t="shared" si="88"/>
        <v>306.43050420339659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47.406456314224677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47.406456314224677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67.232274297324892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8.2910000000000021</v>
      </c>
      <c r="AI88" s="13">
        <f>IF('Données projet'!$A$62&gt;35,AI87+AH88-AQ87,IF(A88&lt;'Données projet'!$A$62,$AF$205^A88,IF(A88='Données projet'!$A$62,'Données projet'!$B$62,AI87+AH88-AQ87)))</f>
        <v>272.17100000000028</v>
      </c>
      <c r="AJ88" s="13">
        <f>AI88*VLOOKUP('Données projet'!$B$10,Paramètres!$A$1:$I$89,3,0)*VLOOKUP('Données projet'!$B$10,Paramètres!$A$1:$I$89,5,0)</f>
        <v>263.24379120000026</v>
      </c>
      <c r="AK88" s="13">
        <f t="shared" si="89"/>
        <v>63.413323405741842</v>
      </c>
      <c r="AL88" s="20">
        <f t="shared" si="58"/>
        <v>568.92780793833413</v>
      </c>
      <c r="AM88" s="59">
        <f t="shared" si="59"/>
        <v>852.11281369519202</v>
      </c>
      <c r="AN88" s="59">
        <f ca="1">AVERAGE(OFFSET($AM$3,0,0,'Données projet'!$E$10+1,1))-AVERAGE(OFFSET($H$3,0,0,'Données projet'!$E$10+1,1))</f>
        <v>641.25537514609562</v>
      </c>
      <c r="AO88" s="59">
        <f t="shared" si="90"/>
        <v>294.69846357521487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45.218466022798921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45.218466022798921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67.232274297324892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420.16</v>
      </c>
      <c r="BB88" s="12">
        <f>VLOOKUP(A88,'Données projet'!$A$87:$I$107,9,0)</f>
        <v>10.985833333333332</v>
      </c>
      <c r="BC88" s="12">
        <f t="array" ref="BC88">INDEX(BB:BB,MIN(IF(ISNUMBER(BB88:BB284),ROW(BB88:BB284),"")))</f>
        <v>10.985833333333332</v>
      </c>
      <c r="BD88" s="12">
        <f>IF('Données projet'!$A$88&gt;35,BD87+BC88-BL87,IF(A88&lt;'Données projet'!$A$88,$BA$205^A88,IF(A88='Données projet'!$A$88,'Données projet'!$B$88,BD87+BC88-BL87)))</f>
        <v>420.16000000000071</v>
      </c>
      <c r="BE88" s="13">
        <f>BD88*VLOOKUP('Données projet'!$B$11,Paramètres!$A$1:$I$89,3,0)*VLOOKUP('Données projet'!$B$11,Paramètres!$A$1:$I$89,5,0)</f>
        <v>196.63488000000032</v>
      </c>
      <c r="BF88" s="13">
        <f t="shared" si="91"/>
        <v>49.003887420349137</v>
      </c>
      <c r="BG88" s="20">
        <f t="shared" si="61"/>
        <v>427.82085325710864</v>
      </c>
      <c r="BH88" s="59">
        <f t="shared" si="62"/>
        <v>711.00585901396653</v>
      </c>
      <c r="BI88" s="59">
        <f ca="1">AVERAGE(OFFSET($BH$3,0,0,'Données projet'!$E$11+1,1))-AVERAGE(OFFSET($H$3,0,0,'Données projet'!$E$11+1,1))</f>
        <v>351.46787950120347</v>
      </c>
      <c r="BJ88" s="59">
        <f t="shared" si="92"/>
        <v>283.42185695241858</v>
      </c>
      <c r="BK88" s="15">
        <f>IF(ISNA(VLOOKUP(A88,'Données projet'!$A$87:$I$107,3,0)),0,VLOOKUP(A88,'Données projet'!$A$87:$I$107,3,0))</f>
        <v>4</v>
      </c>
      <c r="BL88" s="15">
        <f>IF(ISNA(VLOOKUP(A88,'Données projet'!$A$87:$I$107,4,0)),0,VLOOKUP(A88,'Données projet'!$A$87:$I$107,4,0))</f>
        <v>94.69</v>
      </c>
      <c r="BM88" s="16">
        <f>IF(ISNA(VLOOKUP(A88,'Données projet'!$A$87:$I$107,5,0)),0%,VLOOKUP(A88,'Données projet'!$A$87:$I$107,5,0)*VLOOKUP('Données projet'!$B$11,Paramètres!$A$1:$I$89,7,0))</f>
        <v>0.38500000000000001</v>
      </c>
      <c r="BN88" s="16">
        <f>IF(ISNA(VLOOKUP(A88,'Données projet'!$A$87:$I$107,6,0)),0%,VLOOKUP(A88,'Données projet'!$A$87:$I$107,6,0)*VLOOKUP('Données projet'!$B$11,Paramètres!$A$1:$I$89,7,0))</f>
        <v>0.16500000000000001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77.645986921615787</v>
      </c>
      <c r="BQ88" s="21">
        <f>EXP(-LN(2)/25)*BQ87+(1-EXP(-LN(2)/25))/(LN(2)/25)*Calculateur!BL88*Calculateur!BN88*VLOOKUP('Données projet'!$B$11,Paramètres!$A$1:$I$89,3,0)*0.475*44/12</f>
        <v>29.195731978901744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106.84171890051753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67.232274297324892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67.232274297324892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67.232274297324892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67.232274297324892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67.232274297324892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67.232274297324892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67.232274297324892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2.4500000000000002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8.9833333333333343</v>
      </c>
      <c r="H89" s="67">
        <f t="shared" si="56"/>
        <v>220.73333333333335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67.280288150558619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8.2910000000000021</v>
      </c>
      <c r="N89" s="13">
        <f>IF('Données projet'!$A$36&gt;35,N88+M89-V88,IF(A89&lt;'Données projet'!$A$36,$K$205^A89,IF(A89='Données projet'!$A$36,'Données projet'!$B$36,N88+M89-V88)))</f>
        <v>280.46200000000027</v>
      </c>
      <c r="O89" s="13">
        <f>N89*VLOOKUP('Données projet'!$B$9,Paramètres!$A$1:$I$89,3,0)*VLOOKUP('Données projet'!$B$9,Paramètres!$A$1:$I$89,5,0)</f>
        <v>284.38846800000033</v>
      </c>
      <c r="P89" s="13">
        <f t="shared" si="87"/>
        <v>67.893577257383939</v>
      </c>
      <c r="Q89" s="20">
        <f t="shared" si="54"/>
        <v>613.55789548994426</v>
      </c>
      <c r="R89" s="59">
        <f t="shared" si="55"/>
        <v>896.9189520419925</v>
      </c>
      <c r="S89" s="59">
        <f ca="1">AVERAGE(OFFSET($R$3,0,0,'Données projet'!$E$9+1,1))-AVERAGE(OFFSET($H$3,0,0,'Données projet'!$E$9+1,1))</f>
        <v>668.93155285055116</v>
      </c>
      <c r="T89" s="59">
        <f t="shared" si="88"/>
        <v>306.43050420339659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46.476844620985958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46.476844620985958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67.280288150558619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8.2910000000000021</v>
      </c>
      <c r="AI89" s="13">
        <f>IF('Données projet'!$A$62&gt;35,AI88+AH89-AQ88,IF(A89&lt;'Données projet'!$A$62,$AF$205^A89,IF(A89='Données projet'!$A$62,'Données projet'!$B$62,AI88+AH89-AQ88)))</f>
        <v>280.46200000000027</v>
      </c>
      <c r="AJ89" s="13">
        <f>AI89*VLOOKUP('Données projet'!$B$10,Paramètres!$A$1:$I$89,3,0)*VLOOKUP('Données projet'!$B$10,Paramètres!$A$1:$I$89,5,0)</f>
        <v>271.26284640000029</v>
      </c>
      <c r="AK89" s="13">
        <f t="shared" si="89"/>
        <v>65.117204337314064</v>
      </c>
      <c r="AL89" s="20">
        <f t="shared" si="58"/>
        <v>585.86192170082245</v>
      </c>
      <c r="AM89" s="59">
        <f t="shared" si="59"/>
        <v>869.22297825287069</v>
      </c>
      <c r="AN89" s="59">
        <f ca="1">AVERAGE(OFFSET($AM$3,0,0,'Données projet'!$E$10+1,1))-AVERAGE(OFFSET($H$3,0,0,'Données projet'!$E$10+1,1))</f>
        <v>641.25537514609562</v>
      </c>
      <c r="AO89" s="59">
        <f t="shared" si="90"/>
        <v>294.69846357521487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44.331759484632755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44.331759484632755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67.280288150558619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10.059999999999997</v>
      </c>
      <c r="BD89" s="12">
        <f>IF('Données projet'!$A$88&gt;35,BD88+BC89-BL88,IF(A89&lt;'Données projet'!$A$88,$BA$205^A89,IF(A89='Données projet'!$A$88,'Données projet'!$B$88,BD88+BC89-BL88)))</f>
        <v>335.53000000000071</v>
      </c>
      <c r="BE89" s="13">
        <f>BD89*VLOOKUP('Données projet'!$B$11,Paramètres!$A$1:$I$89,3,0)*VLOOKUP('Données projet'!$B$11,Paramètres!$A$1:$I$89,5,0)</f>
        <v>157.02804000000032</v>
      </c>
      <c r="BF89" s="13">
        <f t="shared" si="91"/>
        <v>40.171451809334279</v>
      </c>
      <c r="BG89" s="20">
        <f t="shared" si="61"/>
        <v>343.45578156792436</v>
      </c>
      <c r="BH89" s="59">
        <f t="shared" si="62"/>
        <v>626.81683811997266</v>
      </c>
      <c r="BI89" s="59">
        <f ca="1">AVERAGE(OFFSET($BH$3,0,0,'Données projet'!$E$11+1,1))-AVERAGE(OFFSET($H$3,0,0,'Données projet'!$E$11+1,1))</f>
        <v>351.46787950120347</v>
      </c>
      <c r="BJ89" s="59">
        <f t="shared" si="92"/>
        <v>283.42185695241858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76.12339647745857</v>
      </c>
      <c r="BQ89" s="21">
        <f>EXP(-LN(2)/25)*BQ88+(1-EXP(-LN(2)/25))/(LN(2)/25)*Calculateur!BL89*Calculateur!BN89*VLOOKUP('Données projet'!$B$11,Paramètres!$A$1:$I$89,3,0)*0.475*44/12</f>
        <v>28.397373152601858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104.52076963006043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67.280288150558619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67.280288150558619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67.280288150558619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67.280288150558619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67.280288150558619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67.280288150558619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67.280288150558619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2.4500000000000002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8.9833333333333343</v>
      </c>
      <c r="H90" s="67">
        <f t="shared" si="56"/>
        <v>220.73333333333335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67.327469070781632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8.2910000000000021</v>
      </c>
      <c r="N90" s="13">
        <f>IF('Données projet'!$A$36&gt;35,N89+M90-V89,IF(A90&lt;'Données projet'!$A$36,$K$205^A90,IF(A90='Données projet'!$A$36,'Données projet'!$B$36,N89+M90-V89)))</f>
        <v>288.75300000000027</v>
      </c>
      <c r="O90" s="13">
        <f>N90*VLOOKUP('Données projet'!$B$9,Paramètres!$A$1:$I$89,3,0)*VLOOKUP('Données projet'!$B$9,Paramètres!$A$1:$I$89,5,0)</f>
        <v>292.7955420000003</v>
      </c>
      <c r="P90" s="13">
        <f t="shared" si="87"/>
        <v>69.664002307656872</v>
      </c>
      <c r="Q90" s="20">
        <f t="shared" si="54"/>
        <v>631.2837063358362</v>
      </c>
      <c r="R90" s="59">
        <f t="shared" si="55"/>
        <v>914.8177595953689</v>
      </c>
      <c r="S90" s="59">
        <f ca="1">AVERAGE(OFFSET($R$3,0,0,'Données projet'!$E$9+1,1))-AVERAGE(OFFSET($H$3,0,0,'Données projet'!$E$9+1,1))</f>
        <v>668.93155285055116</v>
      </c>
      <c r="T90" s="59">
        <f t="shared" si="88"/>
        <v>306.43050420339659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45.565462046044502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45.565462046044502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67.327469070781632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8.2910000000000021</v>
      </c>
      <c r="AI90" s="13">
        <f>IF('Données projet'!$A$62&gt;35,AI89+AH90-AQ89,IF(A90&lt;'Données projet'!$A$62,$AF$205^A90,IF(A90='Données projet'!$A$62,'Données projet'!$B$62,AI89+AH90-AQ89)))</f>
        <v>288.75300000000027</v>
      </c>
      <c r="AJ90" s="13">
        <f>AI90*VLOOKUP('Données projet'!$B$10,Paramètres!$A$1:$I$89,3,0)*VLOOKUP('Données projet'!$B$10,Paramètres!$A$1:$I$89,5,0)</f>
        <v>279.28190160000025</v>
      </c>
      <c r="AK90" s="13">
        <f t="shared" si="89"/>
        <v>66.815231373442643</v>
      </c>
      <c r="AL90" s="20">
        <f t="shared" si="58"/>
        <v>602.78583992874633</v>
      </c>
      <c r="AM90" s="59">
        <f t="shared" si="59"/>
        <v>886.31989318827891</v>
      </c>
      <c r="AN90" s="59">
        <f ca="1">AVERAGE(OFFSET($AM$3,0,0,'Données projet'!$E$10+1,1))-AVERAGE(OFFSET($H$3,0,0,'Données projet'!$E$10+1,1))</f>
        <v>641.25537514609562</v>
      </c>
      <c r="AO90" s="59">
        <f t="shared" si="90"/>
        <v>294.69846357521487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43.462440720842444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43.462440720842444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67.327469070781632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10.059999999999997</v>
      </c>
      <c r="BD90" s="12">
        <f>IF('Données projet'!$A$88&gt;35,BD89+BC90-BL89,IF(A90&lt;'Données projet'!$A$88,$BA$205^A90,IF(A90='Données projet'!$A$88,'Données projet'!$B$88,BD89+BC90-BL89)))</f>
        <v>345.59000000000071</v>
      </c>
      <c r="BE90" s="13">
        <f>BD90*VLOOKUP('Données projet'!$B$11,Paramètres!$A$1:$I$89,3,0)*VLOOKUP('Données projet'!$B$11,Paramètres!$A$1:$I$89,5,0)</f>
        <v>161.73612000000031</v>
      </c>
      <c r="BF90" s="13">
        <f t="shared" si="91"/>
        <v>41.233855819285765</v>
      </c>
      <c r="BG90" s="20">
        <f t="shared" si="61"/>
        <v>353.50604121858987</v>
      </c>
      <c r="BH90" s="59">
        <f t="shared" si="62"/>
        <v>637.04009447812246</v>
      </c>
      <c r="BI90" s="59">
        <f ca="1">AVERAGE(OFFSET($BH$3,0,0,'Données projet'!$E$11+1,1))-AVERAGE(OFFSET($H$3,0,0,'Données projet'!$E$11+1,1))</f>
        <v>351.46787950120347</v>
      </c>
      <c r="BJ90" s="59">
        <f t="shared" si="92"/>
        <v>283.42185695241858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74.630663103222815</v>
      </c>
      <c r="BQ90" s="21">
        <f>EXP(-LN(2)/25)*BQ89+(1-EXP(-LN(2)/25))/(LN(2)/25)*Calculateur!BL90*Calculateur!BN90*VLOOKUP('Données projet'!$B$11,Paramètres!$A$1:$I$89,3,0)*0.475*44/12</f>
        <v>27.620845490391009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102.25150859361382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67.327469070781632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67.327469070781632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67.327469070781632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67.327469070781632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67.327469070781632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67.327469070781632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67.327469070781632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2.4500000000000002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8.9833333333333343</v>
      </c>
      <c r="H91" s="67">
        <f t="shared" si="56"/>
        <v>220.73333333333335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67.373831507519526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8.2910000000000021</v>
      </c>
      <c r="N91" s="13">
        <f>IF('Données projet'!$A$36&gt;35,N90+M91-V90,IF(A91&lt;'Données projet'!$A$36,$K$205^A91,IF(A91='Données projet'!$A$36,'Données projet'!$B$36,N90+M91-V90)))</f>
        <v>297.04400000000027</v>
      </c>
      <c r="O91" s="13">
        <f>N91*VLOOKUP('Données projet'!$B$9,Paramètres!$A$1:$I$89,3,0)*VLOOKUP('Données projet'!$B$9,Paramètres!$A$1:$I$89,5,0)</f>
        <v>301.20261600000032</v>
      </c>
      <c r="P91" s="13">
        <f t="shared" si="87"/>
        <v>71.428519249633297</v>
      </c>
      <c r="Q91" s="20">
        <f t="shared" si="54"/>
        <v>648.99922722644521</v>
      </c>
      <c r="R91" s="59">
        <f t="shared" si="55"/>
        <v>932.7032760873501</v>
      </c>
      <c r="S91" s="59">
        <f ca="1">AVERAGE(OFFSET($R$3,0,0,'Données projet'!$E$9+1,1))-AVERAGE(OFFSET($H$3,0,0,'Données projet'!$E$9+1,1))</f>
        <v>668.93155285055116</v>
      </c>
      <c r="T91" s="59">
        <f t="shared" si="88"/>
        <v>306.43050420339659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44.671951127509168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44.671951127509168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67.373831507519526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8.2910000000000021</v>
      </c>
      <c r="AI91" s="13">
        <f>IF('Données projet'!$A$62&gt;35,AI90+AH91-AQ90,IF(A91&lt;'Données projet'!$A$62,$AF$205^A91,IF(A91='Données projet'!$A$62,'Données projet'!$B$62,AI90+AH91-AQ90)))</f>
        <v>297.04400000000027</v>
      </c>
      <c r="AJ91" s="13">
        <f>AI91*VLOOKUP('Données projet'!$B$10,Paramètres!$A$1:$I$89,3,0)*VLOOKUP('Données projet'!$B$10,Paramètres!$A$1:$I$89,5,0)</f>
        <v>287.30095680000028</v>
      </c>
      <c r="AK91" s="13">
        <f t="shared" si="89"/>
        <v>68.507591901622632</v>
      </c>
      <c r="AL91" s="20">
        <f t="shared" si="58"/>
        <v>619.69988898865984</v>
      </c>
      <c r="AM91" s="59">
        <f t="shared" si="59"/>
        <v>903.40393784956473</v>
      </c>
      <c r="AN91" s="59">
        <f ca="1">AVERAGE(OFFSET($AM$3,0,0,'Données projet'!$E$10+1,1))-AVERAGE(OFFSET($H$3,0,0,'Données projet'!$E$10+1,1))</f>
        <v>641.25537514609562</v>
      </c>
      <c r="AO91" s="59">
        <f t="shared" si="90"/>
        <v>294.69846357521487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42.610168767777971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42.610168767777971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67.373831507519526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10.059999999999997</v>
      </c>
      <c r="BD91" s="12">
        <f>IF('Données projet'!$A$88&gt;35,BD90+BC91-BL90,IF(A91&lt;'Données projet'!$A$88,$BA$205^A91,IF(A91='Données projet'!$A$88,'Données projet'!$B$88,BD90+BC91-BL90)))</f>
        <v>355.65000000000072</v>
      </c>
      <c r="BE91" s="13">
        <f>BD91*VLOOKUP('Données projet'!$B$11,Paramètres!$A$1:$I$89,3,0)*VLOOKUP('Données projet'!$B$11,Paramètres!$A$1:$I$89,5,0)</f>
        <v>166.44420000000034</v>
      </c>
      <c r="BF91" s="13">
        <f t="shared" si="91"/>
        <v>42.292665575425083</v>
      </c>
      <c r="BG91" s="20">
        <f t="shared" si="61"/>
        <v>363.55004087719925</v>
      </c>
      <c r="BH91" s="59">
        <f t="shared" si="62"/>
        <v>647.2540897381042</v>
      </c>
      <c r="BI91" s="59">
        <f ca="1">AVERAGE(OFFSET($BH$3,0,0,'Données projet'!$E$11+1,1))-AVERAGE(OFFSET($H$3,0,0,'Données projet'!$E$11+1,1))</f>
        <v>351.46787950120347</v>
      </c>
      <c r="BJ91" s="59">
        <f t="shared" si="92"/>
        <v>283.42185695241858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73.167201319978361</v>
      </c>
      <c r="BQ91" s="21">
        <f>EXP(-LN(2)/25)*BQ90+(1-EXP(-LN(2)/25))/(LN(2)/25)*Calculateur!BL91*Calculateur!BN91*VLOOKUP('Données projet'!$B$11,Paramètres!$A$1:$I$89,3,0)*0.475*44/12</f>
        <v>26.86555201793913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100.03275333791748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67.373831507519526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67.373831507519526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67.373831507519526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67.373831507519526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67.373831507519526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67.373831507519526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67.373831507519526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2.4500000000000002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8.9833333333333343</v>
      </c>
      <c r="H92" s="67">
        <f t="shared" si="56"/>
        <v>220.73333333333335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67.41938965963088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8.2910000000000021</v>
      </c>
      <c r="N92" s="13">
        <f>IF('Données projet'!$A$36&gt;35,N91+M92-V91,IF(A92&lt;'Données projet'!$A$36,$K$205^A92,IF(A92='Données projet'!$A$36,'Données projet'!$B$36,N91+M92-V91)))</f>
        <v>305.33500000000026</v>
      </c>
      <c r="O92" s="13">
        <f>N92*VLOOKUP('Données projet'!$B$9,Paramètres!$A$1:$I$89,3,0)*VLOOKUP('Données projet'!$B$9,Paramètres!$A$1:$I$89,5,0)</f>
        <v>309.60969000000028</v>
      </c>
      <c r="P92" s="13">
        <f t="shared" si="87"/>
        <v>73.187311933195204</v>
      </c>
      <c r="Q92" s="20">
        <f t="shared" si="54"/>
        <v>666.70477836698205</v>
      </c>
      <c r="R92" s="59">
        <f t="shared" si="55"/>
        <v>950.57587378562857</v>
      </c>
      <c r="S92" s="59">
        <f ca="1">AVERAGE(OFFSET($R$3,0,0,'Données projet'!$E$9+1,1))-AVERAGE(OFFSET($H$3,0,0,'Données projet'!$E$9+1,1))</f>
        <v>668.93155285055116</v>
      </c>
      <c r="T92" s="59">
        <f t="shared" si="88"/>
        <v>306.43050420339659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43.79596141309846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43.79596141309846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67.41938965963088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8.2910000000000021</v>
      </c>
      <c r="AI92" s="13">
        <f>IF('Données projet'!$A$62&gt;35,AI91+AH92-AQ91,IF(A92&lt;'Données projet'!$A$62,$AF$205^A92,IF(A92='Données projet'!$A$62,'Données projet'!$B$62,AI91+AH92-AQ91)))</f>
        <v>305.33500000000026</v>
      </c>
      <c r="AJ92" s="13">
        <f>AI92*VLOOKUP('Données projet'!$B$10,Paramètres!$A$1:$I$89,3,0)*VLOOKUP('Données projet'!$B$10,Paramètres!$A$1:$I$89,5,0)</f>
        <v>295.32001200000025</v>
      </c>
      <c r="AK92" s="13">
        <f t="shared" si="89"/>
        <v>70.194462253560403</v>
      </c>
      <c r="AL92" s="20">
        <f t="shared" si="58"/>
        <v>636.60437599161821</v>
      </c>
      <c r="AM92" s="59">
        <f t="shared" si="59"/>
        <v>920.47547141026484</v>
      </c>
      <c r="AN92" s="59">
        <f ca="1">AVERAGE(OFFSET($AM$3,0,0,'Données projet'!$E$10+1,1))-AVERAGE(OFFSET($H$3,0,0,'Données projet'!$E$10+1,1))</f>
        <v>641.25537514609562</v>
      </c>
      <c r="AO92" s="59">
        <f t="shared" si="90"/>
        <v>294.69846357521487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41.774609347878531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41.774609347878531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67.41938965963088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10.059999999999997</v>
      </c>
      <c r="BD92" s="12">
        <f>IF('Données projet'!$A$88&gt;35,BD91+BC92-BL91,IF(A92&lt;'Données projet'!$A$88,$BA$205^A92,IF(A92='Données projet'!$A$88,'Données projet'!$B$88,BD91+BC92-BL91)))</f>
        <v>365.71000000000072</v>
      </c>
      <c r="BE92" s="13">
        <f>BD92*VLOOKUP('Données projet'!$B$11,Paramètres!$A$1:$I$89,3,0)*VLOOKUP('Données projet'!$B$11,Paramètres!$A$1:$I$89,5,0)</f>
        <v>171.15228000000033</v>
      </c>
      <c r="BF92" s="13">
        <f t="shared" si="91"/>
        <v>43.347994423787434</v>
      </c>
      <c r="BG92" s="20">
        <f t="shared" si="61"/>
        <v>373.58797795476374</v>
      </c>
      <c r="BH92" s="59">
        <f t="shared" si="62"/>
        <v>657.45907337341032</v>
      </c>
      <c r="BI92" s="59">
        <f ca="1">AVERAGE(OFFSET($BH$3,0,0,'Données projet'!$E$11+1,1))-AVERAGE(OFFSET($H$3,0,0,'Données projet'!$E$11+1,1))</f>
        <v>351.46787950120347</v>
      </c>
      <c r="BJ92" s="59">
        <f t="shared" si="92"/>
        <v>283.42185695241858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71.732437129679781</v>
      </c>
      <c r="BQ92" s="21">
        <f>EXP(-LN(2)/25)*BQ91+(1-EXP(-LN(2)/25))/(LN(2)/25)*Calculateur!BL92*Calculateur!BN92*VLOOKUP('Données projet'!$B$11,Paramètres!$A$1:$I$89,3,0)*0.475*44/12</f>
        <v>26.130912085210607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97.863349214890391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67.41938965963088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67.41938965963088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67.41938965963088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67.41938965963088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67.41938965963088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67.41938965963088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67.41938965963088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2.4500000000000002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8.9833333333333343</v>
      </c>
      <c r="H93" s="67">
        <f t="shared" si="56"/>
        <v>220.73333333333335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67.464157479655881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8.2910000000000021</v>
      </c>
      <c r="N93" s="13">
        <f>IF('Données projet'!$A$36&gt;35,N92+M93-V92,IF(A93&lt;'Données projet'!$A$36,$K$205^A93,IF(A93='Données projet'!$A$36,'Données projet'!$B$36,N92+M93-V92)))</f>
        <v>313.62600000000026</v>
      </c>
      <c r="O93" s="13">
        <f>N93*VLOOKUP('Données projet'!$B$9,Paramètres!$A$1:$I$89,3,0)*VLOOKUP('Données projet'!$B$9,Paramètres!$A$1:$I$89,5,0)</f>
        <v>318.01676400000025</v>
      </c>
      <c r="P93" s="13">
        <f t="shared" si="87"/>
        <v>74.940553655452632</v>
      </c>
      <c r="Q93" s="20">
        <f t="shared" si="54"/>
        <v>684.40066158324714</v>
      </c>
      <c r="R93" s="59">
        <f t="shared" si="55"/>
        <v>968.43590567531874</v>
      </c>
      <c r="S93" s="59">
        <f ca="1">AVERAGE(OFFSET($R$3,0,0,'Données projet'!$E$9+1,1))-AVERAGE(OFFSET($H$3,0,0,'Données projet'!$E$9+1,1))</f>
        <v>668.93155285055116</v>
      </c>
      <c r="T93" s="59">
        <f t="shared" si="88"/>
        <v>306.43050420339659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42.937149322686381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42.937149322686381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67.464157479655881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8.2910000000000021</v>
      </c>
      <c r="AI93" s="13">
        <f>IF('Données projet'!$A$62&gt;35,AI92+AH93-AQ92,IF(A93&lt;'Données projet'!$A$62,$AF$205^A93,IF(A93='Données projet'!$A$62,'Données projet'!$B$62,AI92+AH93-AQ92)))</f>
        <v>313.62600000000026</v>
      </c>
      <c r="AJ93" s="13">
        <f>AI93*VLOOKUP('Données projet'!$B$10,Paramètres!$A$1:$I$89,3,0)*VLOOKUP('Données projet'!$B$10,Paramètres!$A$1:$I$89,5,0)</f>
        <v>303.33906720000027</v>
      </c>
      <c r="AK93" s="13">
        <f t="shared" si="89"/>
        <v>71.876008639724958</v>
      </c>
      <c r="AL93" s="20">
        <f t="shared" si="58"/>
        <v>653.4995904208547</v>
      </c>
      <c r="AM93" s="59">
        <f t="shared" si="59"/>
        <v>937.53483451292618</v>
      </c>
      <c r="AN93" s="59">
        <f ca="1">AVERAGE(OFFSET($AM$3,0,0,'Données projet'!$E$10+1,1))-AVERAGE(OFFSET($H$3,0,0,'Données projet'!$E$10+1,1))</f>
        <v>641.25537514609562</v>
      </c>
      <c r="AO93" s="59">
        <f t="shared" si="90"/>
        <v>294.69846357521487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40.955434738562396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40.955434738562396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67.464157479655881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10.059999999999997</v>
      </c>
      <c r="BD93" s="12">
        <f>IF('Données projet'!$A$88&gt;35,BD92+BC93-BL92,IF(A93&lt;'Données projet'!$A$88,$BA$205^A93,IF(A93='Données projet'!$A$88,'Données projet'!$B$88,BD92+BC93-BL92)))</f>
        <v>375.77000000000072</v>
      </c>
      <c r="BE93" s="13">
        <f>BD93*VLOOKUP('Données projet'!$B$11,Paramètres!$A$1:$I$89,3,0)*VLOOKUP('Données projet'!$B$11,Paramètres!$A$1:$I$89,5,0)</f>
        <v>175.86036000000033</v>
      </c>
      <c r="BF93" s="13">
        <f t="shared" si="91"/>
        <v>44.399949119645072</v>
      </c>
      <c r="BG93" s="20">
        <f t="shared" si="61"/>
        <v>383.62003838338245</v>
      </c>
      <c r="BH93" s="59">
        <f t="shared" si="62"/>
        <v>667.65528247545399</v>
      </c>
      <c r="BI93" s="59">
        <f ca="1">AVERAGE(OFFSET($BH$3,0,0,'Données projet'!$E$11+1,1))-AVERAGE(OFFSET($H$3,0,0,'Données projet'!$E$11+1,1))</f>
        <v>351.46787950120347</v>
      </c>
      <c r="BJ93" s="59">
        <f t="shared" si="92"/>
        <v>283.42185695241858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70.32580779003321</v>
      </c>
      <c r="BQ93" s="21">
        <f>EXP(-LN(2)/25)*BQ92+(1-EXP(-LN(2)/25))/(LN(2)/25)*Calculateur!BL93*Calculateur!BN93*VLOOKUP('Données projet'!$B$11,Paramètres!$A$1:$I$89,3,0)*0.475*44/12</f>
        <v>25.416360920075579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95.742168710108785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67.464157479655881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67.464157479655881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67.464157479655881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67.464157479655881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67.464157479655881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67.464157479655881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67.464157479655881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2.4500000000000002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8.9833333333333343</v>
      </c>
      <c r="H94" s="67">
        <f t="shared" si="56"/>
        <v>220.73333333333335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67.508148678089299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8.2910000000000021</v>
      </c>
      <c r="N94" s="13">
        <f>IF('Données projet'!$A$36&gt;35,N93+M94-V93,IF(A94&lt;'Données projet'!$A$36,$K$205^A94,IF(A94='Données projet'!$A$36,'Données projet'!$B$36,N93+M94-V93)))</f>
        <v>321.91700000000026</v>
      </c>
      <c r="O94" s="13">
        <f>N94*VLOOKUP('Données projet'!$B$9,Paramètres!$A$1:$I$89,3,0)*VLOOKUP('Données projet'!$B$9,Paramètres!$A$1:$I$89,5,0)</f>
        <v>326.42383800000027</v>
      </c>
      <c r="P94" s="13">
        <f t="shared" si="87"/>
        <v>76.688408029206073</v>
      </c>
      <c r="Q94" s="20">
        <f t="shared" si="54"/>
        <v>702.08716183420108</v>
      </c>
      <c r="R94" s="59">
        <f t="shared" si="55"/>
        <v>986.28370698719516</v>
      </c>
      <c r="S94" s="59">
        <f ca="1">AVERAGE(OFFSET($R$3,0,0,'Données projet'!$E$9+1,1))-AVERAGE(OFFSET($H$3,0,0,'Données projet'!$E$9+1,1))</f>
        <v>668.93155285055116</v>
      </c>
      <c r="T94" s="59">
        <f t="shared" si="88"/>
        <v>306.43050420339659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42.095178013543631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42.095178013543631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67.508148678089299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8.2910000000000021</v>
      </c>
      <c r="AI94" s="13">
        <f>IF('Données projet'!$A$62&gt;35,AI93+AH94-AQ93,IF(A94&lt;'Données projet'!$A$62,$AF$205^A94,IF(A94='Données projet'!$A$62,'Données projet'!$B$62,AI93+AH94-AQ93)))</f>
        <v>321.91700000000026</v>
      </c>
      <c r="AJ94" s="13">
        <f>AI94*VLOOKUP('Données projet'!$B$10,Paramètres!$A$1:$I$89,3,0)*VLOOKUP('Données projet'!$B$10,Paramètres!$A$1:$I$89,5,0)</f>
        <v>311.35812240000024</v>
      </c>
      <c r="AK94" s="13">
        <f t="shared" si="89"/>
        <v>73.552387982296665</v>
      </c>
      <c r="AL94" s="20">
        <f t="shared" si="58"/>
        <v>670.38580558250044</v>
      </c>
      <c r="AM94" s="59">
        <f t="shared" si="59"/>
        <v>954.58235073549451</v>
      </c>
      <c r="AN94" s="59">
        <f ca="1">AVERAGE(OFFSET($AM$3,0,0,'Données projet'!$E$10+1,1))-AVERAGE(OFFSET($H$3,0,0,'Données projet'!$E$10+1,1))</f>
        <v>641.25537514609562</v>
      </c>
      <c r="AO94" s="59">
        <f t="shared" si="90"/>
        <v>294.69846357521487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40.152323643687772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40.152323643687772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67.508148678089299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10.059999999999997</v>
      </c>
      <c r="BD94" s="12">
        <f>IF('Données projet'!$A$88&gt;35,BD93+BC94-BL93,IF(A94&lt;'Données projet'!$A$88,$BA$205^A94,IF(A94='Données projet'!$A$88,'Données projet'!$B$88,BD93+BC94-BL93)))</f>
        <v>385.83000000000072</v>
      </c>
      <c r="BE94" s="13">
        <f>BD94*VLOOKUP('Données projet'!$B$11,Paramètres!$A$1:$I$89,3,0)*VLOOKUP('Données projet'!$B$11,Paramètres!$A$1:$I$89,5,0)</f>
        <v>180.56844000000032</v>
      </c>
      <c r="BF94" s="13">
        <f t="shared" si="91"/>
        <v>45.448630376792785</v>
      </c>
      <c r="BG94" s="20">
        <f t="shared" si="61"/>
        <v>393.64639757291462</v>
      </c>
      <c r="BH94" s="59">
        <f t="shared" si="62"/>
        <v>677.84294272590864</v>
      </c>
      <c r="BI94" s="59">
        <f ca="1">AVERAGE(OFFSET($BH$3,0,0,'Données projet'!$E$11+1,1))-AVERAGE(OFFSET($H$3,0,0,'Données projet'!$E$11+1,1))</f>
        <v>351.46787950120347</v>
      </c>
      <c r="BJ94" s="59">
        <f t="shared" si="92"/>
        <v>283.42185695241858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68.946761593777936</v>
      </c>
      <c r="BQ94" s="21">
        <f>EXP(-LN(2)/25)*BQ93+(1-EXP(-LN(2)/25))/(LN(2)/25)*Calculateur!BL94*Calculateur!BN94*VLOOKUP('Données projet'!$B$11,Paramètres!$A$1:$I$89,3,0)*0.475*44/12</f>
        <v>24.721349194127782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93.668110787905718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67.508148678089299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67.508148678089299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67.508148678089299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67.508148678089299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67.508148678089299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67.508148678089299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67.508148678089299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2.4500000000000002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8.9833333333333343</v>
      </c>
      <c r="H95" s="67">
        <f t="shared" si="56"/>
        <v>220.73333333333335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67.551376727579481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8.2910000000000021</v>
      </c>
      <c r="N95" s="13">
        <f>IF('Données projet'!$A$36&gt;35,N94+M95-V94,IF(A95&lt;'Données projet'!$A$36,$K$205^A95,IF(A95='Données projet'!$A$36,'Données projet'!$B$36,N94+M95-V94)))</f>
        <v>330.20800000000025</v>
      </c>
      <c r="O95" s="13">
        <f>N95*VLOOKUP('Données projet'!$B$9,Paramètres!$A$1:$I$89,3,0)*VLOOKUP('Données projet'!$B$9,Paramètres!$A$1:$I$89,5,0)</f>
        <v>334.8309120000003</v>
      </c>
      <c r="P95" s="13">
        <f t="shared" si="87"/>
        <v>78.431029759422557</v>
      </c>
      <c r="Q95" s="20">
        <f t="shared" si="54"/>
        <v>719.76454856432804</v>
      </c>
      <c r="R95" s="59">
        <f t="shared" si="55"/>
        <v>1004.1195965654529</v>
      </c>
      <c r="S95" s="59">
        <f ca="1">AVERAGE(OFFSET($R$3,0,0,'Données projet'!$E$9+1,1))-AVERAGE(OFFSET($H$3,0,0,'Données projet'!$E$9+1,1))</f>
        <v>668.93155285055116</v>
      </c>
      <c r="T95" s="59">
        <f t="shared" si="88"/>
        <v>306.43050420339659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41.269717248221383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41.269717248221383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67.551376727579481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8.2910000000000021</v>
      </c>
      <c r="AI95" s="13">
        <f>IF('Données projet'!$A$62&gt;35,AI94+AH95-AQ94,IF(A95&lt;'Données projet'!$A$62,$AF$205^A95,IF(A95='Données projet'!$A$62,'Données projet'!$B$62,AI94+AH95-AQ94)))</f>
        <v>330.20800000000025</v>
      </c>
      <c r="AJ95" s="13">
        <f>AI95*VLOOKUP('Données projet'!$B$10,Paramètres!$A$1:$I$89,3,0)*VLOOKUP('Données projet'!$B$10,Paramètres!$A$1:$I$89,5,0)</f>
        <v>319.37717760000021</v>
      </c>
      <c r="AK95" s="13">
        <f t="shared" si="89"/>
        <v>75.223748659890148</v>
      </c>
      <c r="AL95" s="20">
        <f t="shared" si="58"/>
        <v>687.26327990264235</v>
      </c>
      <c r="AM95" s="59">
        <f t="shared" si="59"/>
        <v>971.61832790376707</v>
      </c>
      <c r="AN95" s="59">
        <f ca="1">AVERAGE(OFFSET($AM$3,0,0,'Données projet'!$E$10+1,1))-AVERAGE(OFFSET($H$3,0,0,'Données projet'!$E$10+1,1))</f>
        <v>641.25537514609562</v>
      </c>
      <c r="AO95" s="59">
        <f t="shared" si="90"/>
        <v>294.69846357521487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39.364961067534239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39.364961067534239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67.551376727579481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10.059999999999997</v>
      </c>
      <c r="BD95" s="12">
        <f>IF('Données projet'!$A$88&gt;35,BD94+BC95-BL94,IF(A95&lt;'Données projet'!$A$88,$BA$205^A95,IF(A95='Données projet'!$A$88,'Données projet'!$B$88,BD94+BC95-BL94)))</f>
        <v>395.89000000000073</v>
      </c>
      <c r="BE95" s="13">
        <f>BD95*VLOOKUP('Données projet'!$B$11,Paramètres!$A$1:$I$89,3,0)*VLOOKUP('Données projet'!$B$11,Paramètres!$A$1:$I$89,5,0)</f>
        <v>185.27652000000035</v>
      </c>
      <c r="BF95" s="13">
        <f t="shared" si="91"/>
        <v>46.494133357933862</v>
      </c>
      <c r="BG95" s="20">
        <f t="shared" si="61"/>
        <v>403.66722126506875</v>
      </c>
      <c r="BH95" s="59">
        <f t="shared" si="62"/>
        <v>688.02226926619346</v>
      </c>
      <c r="BI95" s="59">
        <f ca="1">AVERAGE(OFFSET($BH$3,0,0,'Données projet'!$E$11+1,1))-AVERAGE(OFFSET($H$3,0,0,'Données projet'!$E$11+1,1))</f>
        <v>351.46787950120347</v>
      </c>
      <c r="BJ95" s="59">
        <f t="shared" si="92"/>
        <v>283.42185695241858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67.594757652296096</v>
      </c>
      <c r="BQ95" s="21">
        <f>EXP(-LN(2)/25)*BQ94+(1-EXP(-LN(2)/25))/(LN(2)/25)*Calculateur!BL95*Calculateur!BN95*VLOOKUP('Données projet'!$B$11,Paramètres!$A$1:$I$89,3,0)*0.475*44/12</f>
        <v>24.045342600375104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91.640100252671203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67.551376727579481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67.551376727579481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67.551376727579481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67.551376727579481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67.551376727579481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67.551376727579481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67.551376727579481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2.4500000000000002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8.9833333333333343</v>
      </c>
      <c r="H96" s="67">
        <f t="shared" si="56"/>
        <v>220.73333333333335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67.593854867054446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8.2910000000000021</v>
      </c>
      <c r="N96" s="13">
        <f>IF('Données projet'!$A$36&gt;35,N95+M96-V95,IF(A96&lt;'Données projet'!$A$36,$K$205^A96,IF(A96='Données projet'!$A$36,'Données projet'!$B$36,N95+M96-V95)))</f>
        <v>338.49900000000025</v>
      </c>
      <c r="O96" s="13">
        <f>N96*VLOOKUP('Données projet'!$B$9,Paramètres!$A$1:$I$89,3,0)*VLOOKUP('Données projet'!$B$9,Paramètres!$A$1:$I$89,5,0)</f>
        <v>343.23798600000026</v>
      </c>
      <c r="P96" s="13">
        <f t="shared" si="87"/>
        <v>80.16856533953208</v>
      </c>
      <c r="Q96" s="20">
        <f t="shared" si="54"/>
        <v>737.43307691635209</v>
      </c>
      <c r="R96" s="59">
        <f t="shared" si="55"/>
        <v>1021.9438780955518</v>
      </c>
      <c r="S96" s="59">
        <f ca="1">AVERAGE(OFFSET($R$3,0,0,'Données projet'!$E$9+1,1))-AVERAGE(OFFSET($H$3,0,0,'Données projet'!$E$9+1,1))</f>
        <v>668.93155285055116</v>
      </c>
      <c r="T96" s="59">
        <f t="shared" si="88"/>
        <v>306.43050420339659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40.460443265025752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40.460443265025752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67.593854867054446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8.2910000000000021</v>
      </c>
      <c r="AI96" s="13">
        <f>IF('Données projet'!$A$62&gt;35,AI95+AH96-AQ95,IF(A96&lt;'Données projet'!$A$62,$AF$205^A96,IF(A96='Données projet'!$A$62,'Données projet'!$B$62,AI95+AH96-AQ95)))</f>
        <v>338.49900000000025</v>
      </c>
      <c r="AJ96" s="13">
        <f>AI96*VLOOKUP('Données projet'!$B$10,Paramètres!$A$1:$I$89,3,0)*VLOOKUP('Données projet'!$B$10,Paramètres!$A$1:$I$89,5,0)</f>
        <v>327.39623280000023</v>
      </c>
      <c r="AK96" s="13">
        <f t="shared" si="89"/>
        <v>76.890231175377878</v>
      </c>
      <c r="AL96" s="20">
        <f t="shared" si="58"/>
        <v>704.13225809045025</v>
      </c>
      <c r="AM96" s="59">
        <f t="shared" si="59"/>
        <v>988.64305926964994</v>
      </c>
      <c r="AN96" s="59">
        <f ca="1">AVERAGE(OFFSET($AM$3,0,0,'Données projet'!$E$10+1,1))-AVERAGE(OFFSET($H$3,0,0,'Données projet'!$E$10+1,1))</f>
        <v>641.25537514609562</v>
      </c>
      <c r="AO96" s="59">
        <f t="shared" si="90"/>
        <v>294.69846357521487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38.593038191255324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38.593038191255324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67.593854867054446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10.059999999999997</v>
      </c>
      <c r="BD96" s="12">
        <f>IF('Données projet'!$A$88&gt;35,BD95+BC96-BL95,IF(A96&lt;'Données projet'!$A$88,$BA$205^A96,IF(A96='Données projet'!$A$88,'Données projet'!$B$88,BD95+BC96-BL95)))</f>
        <v>405.95000000000073</v>
      </c>
      <c r="BE96" s="13">
        <f>BD96*VLOOKUP('Données projet'!$B$11,Paramètres!$A$1:$I$89,3,0)*VLOOKUP('Données projet'!$B$11,Paramètres!$A$1:$I$89,5,0)</f>
        <v>189.98460000000034</v>
      </c>
      <c r="BF96" s="13">
        <f t="shared" si="91"/>
        <v>47.536548113819151</v>
      </c>
      <c r="BG96" s="20">
        <f t="shared" si="61"/>
        <v>413.68266629823557</v>
      </c>
      <c r="BH96" s="59">
        <f t="shared" si="62"/>
        <v>698.19346747743521</v>
      </c>
      <c r="BI96" s="59">
        <f ca="1">AVERAGE(OFFSET($BH$3,0,0,'Données projet'!$E$11+1,1))-AVERAGE(OFFSET($H$3,0,0,'Données projet'!$E$11+1,1))</f>
        <v>351.46787950120347</v>
      </c>
      <c r="BJ96" s="59">
        <f t="shared" si="92"/>
        <v>283.42185695241858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66.269265683465733</v>
      </c>
      <c r="BQ96" s="21">
        <f>EXP(-LN(2)/25)*BQ95+(1-EXP(-LN(2)/25))/(LN(2)/25)*Calculateur!BL96*Calculateur!BN96*VLOOKUP('Données projet'!$B$11,Paramètres!$A$1:$I$89,3,0)*0.475*44/12</f>
        <v>23.387821442478234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89.657087125943974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67.593854867054446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67.593854867054446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67.593854867054446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67.593854867054446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67.593854867054446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67.593854867054446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67.593854867054446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2.4500000000000002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8.9833333333333343</v>
      </c>
      <c r="H97" s="67">
        <f t="shared" si="56"/>
        <v>220.73333333333335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67.635596105776415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>
        <f>VLOOKUP(A97,'Données projet'!$A$35:$I$55,2,0)</f>
        <v>346.79</v>
      </c>
      <c r="L97" s="12">
        <f>VLOOKUP(A97,'Données projet'!$A$35:$I$55,9,0)</f>
        <v>8.2910000000000021</v>
      </c>
      <c r="M97" s="12">
        <f t="array" ref="M97">INDEX(L:L,MIN(IF(ISNUMBER(L97:L293),ROW(L97:L293),"")))</f>
        <v>8.2910000000000021</v>
      </c>
      <c r="N97" s="13">
        <f>IF('Données projet'!$A$36&gt;35,N96+M97-V96,IF(A97&lt;'Données projet'!$A$36,$K$205^A97,IF(A97='Données projet'!$A$36,'Données projet'!$B$36,N96+M97-V96)))</f>
        <v>346.79000000000025</v>
      </c>
      <c r="O97" s="13">
        <f>N97*VLOOKUP('Données projet'!$B$9,Paramètres!$A$1:$I$89,3,0)*VLOOKUP('Données projet'!$B$9,Paramètres!$A$1:$I$89,5,0)</f>
        <v>351.64506000000029</v>
      </c>
      <c r="P97" s="13">
        <f t="shared" si="87"/>
        <v>81.901153677584574</v>
      </c>
      <c r="Q97" s="20">
        <f t="shared" si="54"/>
        <v>755.09298882179371</v>
      </c>
      <c r="R97" s="59">
        <f t="shared" si="55"/>
        <v>1039.7568412096407</v>
      </c>
      <c r="S97" s="59">
        <f ca="1">AVERAGE(OFFSET($R$3,0,0,'Données projet'!$E$9+1,1))-AVERAGE(OFFSET($H$3,0,0,'Données projet'!$E$9+1,1))</f>
        <v>668.93155285055116</v>
      </c>
      <c r="T97" s="59">
        <f t="shared" si="88"/>
        <v>306.43050420339659</v>
      </c>
      <c r="U97" s="15">
        <f>IF(ISNA(VLOOKUP(A97,'Données projet'!$A$35:$I$55,3,0)),0,VLOOKUP(A97,'Données projet'!$A$35:$I$55,3,0))</f>
        <v>7</v>
      </c>
      <c r="V97" s="15">
        <f>IF(ISNA(VLOOKUP(A97,'Données projet'!$A$35:$I$55,4,0)),0,VLOOKUP(A97,'Données projet'!$A$35:$I$55,4,0))</f>
        <v>61.85</v>
      </c>
      <c r="W97" s="16">
        <f>IF(ISNA(VLOOKUP(A97,'Données projet'!$A$35:$I$55,5,0)),0%,VLOOKUP(A97,'Données projet'!$A$35:$I$55,5,0)*VLOOKUP('Données projet'!$B$9,Paramètres!$A$1:$I$89,7,0))</f>
        <v>0.25800000000000001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57.554325653175837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57.554325653175837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67.635596105776415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346.79</v>
      </c>
      <c r="AG97" s="12">
        <f>VLOOKUP(A97,'Données projet'!$A$61:$I$81,9,0)</f>
        <v>8.2910000000000021</v>
      </c>
      <c r="AH97" s="12">
        <f t="array" ref="AH97">INDEX(AG:AG,MIN(IF(ISNUMBER(AG97:AG293),ROW(AG97:AG293),"")))</f>
        <v>8.2910000000000021</v>
      </c>
      <c r="AI97" s="13">
        <f>IF('Données projet'!$A$62&gt;35,AI96+AH97-AQ96,IF(A97&lt;'Données projet'!$A$62,$AF$205^A97,IF(A97='Données projet'!$A$62,'Données projet'!$B$62,AI96+AH97-AQ96)))</f>
        <v>346.79000000000025</v>
      </c>
      <c r="AJ97" s="13">
        <f>AI97*VLOOKUP('Données projet'!$B$10,Paramètres!$A$1:$I$89,3,0)*VLOOKUP('Données projet'!$B$10,Paramètres!$A$1:$I$89,5,0)</f>
        <v>335.41528800000026</v>
      </c>
      <c r="AK97" s="13">
        <f t="shared" si="89"/>
        <v>78.551968756441127</v>
      </c>
      <c r="AL97" s="20">
        <f t="shared" si="58"/>
        <v>720.9929721841354</v>
      </c>
      <c r="AM97" s="59">
        <f t="shared" si="59"/>
        <v>1005.6568245719823</v>
      </c>
      <c r="AN97" s="59">
        <f ca="1">AVERAGE(OFFSET($AM$3,0,0,'Données projet'!$E$10+1,1))-AVERAGE(OFFSET($H$3,0,0,'Données projet'!$E$10+1,1))</f>
        <v>641.25537514609562</v>
      </c>
      <c r="AO97" s="59">
        <f t="shared" si="90"/>
        <v>294.69846357521487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0.25800000000000001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54.897972161490785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54.897972161490785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67.635596105776415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10.059999999999997</v>
      </c>
      <c r="BD97" s="12">
        <f>IF('Données projet'!$A$88&gt;35,BD96+BC97-BL96,IF(A97&lt;'Données projet'!$A$88,$BA$205^A97,IF(A97='Données projet'!$A$88,'Données projet'!$B$88,BD96+BC97-BL96)))</f>
        <v>416.01000000000073</v>
      </c>
      <c r="BE97" s="13">
        <f>BD97*VLOOKUP('Données projet'!$B$11,Paramètres!$A$1:$I$89,3,0)*VLOOKUP('Données projet'!$B$11,Paramètres!$A$1:$I$89,5,0)</f>
        <v>194.69268000000034</v>
      </c>
      <c r="BF97" s="13">
        <f t="shared" si="91"/>
        <v>48.575959977629871</v>
      </c>
      <c r="BG97" s="20">
        <f t="shared" si="61"/>
        <v>423.69288129437263</v>
      </c>
      <c r="BH97" s="59">
        <f t="shared" si="62"/>
        <v>708.35673368221956</v>
      </c>
      <c r="BI97" s="59">
        <f ca="1">AVERAGE(OFFSET($BH$3,0,0,'Données projet'!$E$11+1,1))-AVERAGE(OFFSET($H$3,0,0,'Données projet'!$E$11+1,1))</f>
        <v>351.46787950120347</v>
      </c>
      <c r="BJ97" s="59">
        <f t="shared" si="92"/>
        <v>283.42185695241858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64.969765803673866</v>
      </c>
      <c r="BQ97" s="21">
        <f>EXP(-LN(2)/25)*BQ96+(1-EXP(-LN(2)/25))/(LN(2)/25)*Calculateur!BL97*Calculateur!BN97*VLOOKUP('Données projet'!$B$11,Paramètres!$A$1:$I$89,3,0)*0.475*44/12</f>
        <v>22.748280235221589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87.718046038895451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67.635596105776415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67.635596105776415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67.635596105776415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67.635596105776415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67.635596105776415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67.635596105776415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67.635596105776415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2.4500000000000002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8.9833333333333343</v>
      </c>
      <c r="H98" s="67">
        <f t="shared" si="56"/>
        <v>220.73333333333335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67.676613227325987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8.0470000000000024</v>
      </c>
      <c r="N98" s="13">
        <f>IF('Données projet'!$A$36&gt;35,N97+M98-V97,IF(A98&lt;'Données projet'!$A$36,$K$205^A98,IF(A98='Données projet'!$A$36,'Données projet'!$B$36,N97+M98-V97)))</f>
        <v>292.98700000000025</v>
      </c>
      <c r="O98" s="13">
        <f>N98*VLOOKUP('Données projet'!$B$9,Paramètres!$A$1:$I$89,3,0)*VLOOKUP('Données projet'!$B$9,Paramètres!$A$1:$I$89,5,0)</f>
        <v>297.08881800000029</v>
      </c>
      <c r="P98" s="13">
        <f t="shared" si="87"/>
        <v>70.565821981438845</v>
      </c>
      <c r="Q98" s="20">
        <f t="shared" si="54"/>
        <v>640.33183130100645</v>
      </c>
      <c r="R98" s="59">
        <f t="shared" si="55"/>
        <v>925.14607980120172</v>
      </c>
      <c r="S98" s="59">
        <f ca="1">AVERAGE(OFFSET($R$3,0,0,'Données projet'!$E$9+1,1))-AVERAGE(OFFSET($H$3,0,0,'Données projet'!$E$9+1,1))</f>
        <v>668.93155285055116</v>
      </c>
      <c r="T98" s="59">
        <f t="shared" si="88"/>
        <v>306.43050420339659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56.425720431789408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56.425720431789408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67.676613227325987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8.0470000000000024</v>
      </c>
      <c r="AI98" s="13">
        <f>IF('Données projet'!$A$62&gt;35,AI97+AH98-AQ97,IF(A98&lt;'Données projet'!$A$62,$AF$205^A98,IF(A98='Données projet'!$A$62,'Données projet'!$B$62,AI97+AH98-AQ97)))</f>
        <v>292.98700000000025</v>
      </c>
      <c r="AJ98" s="13">
        <f>AI98*VLOOKUP('Données projet'!$B$10,Paramètres!$A$1:$I$89,3,0)*VLOOKUP('Données projet'!$B$10,Paramètres!$A$1:$I$89,5,0)</f>
        <v>283.37702640000026</v>
      </c>
      <c r="AK98" s="13">
        <f t="shared" si="89"/>
        <v>67.68017292381127</v>
      </c>
      <c r="AL98" s="20">
        <f t="shared" si="58"/>
        <v>611.42462215563842</v>
      </c>
      <c r="AM98" s="59">
        <f t="shared" si="59"/>
        <v>896.23887065583369</v>
      </c>
      <c r="AN98" s="59">
        <f ca="1">AVERAGE(OFFSET($AM$3,0,0,'Données projet'!$E$10+1,1))-AVERAGE(OFFSET($H$3,0,0,'Données projet'!$E$10+1,1))</f>
        <v>641.25537514609562</v>
      </c>
      <c r="AO98" s="59">
        <f t="shared" si="90"/>
        <v>294.69846357521487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53.821456411860652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53.821456411860652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67.676613227325987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10.059999999999997</v>
      </c>
      <c r="BD98" s="12">
        <f>IF('Données projet'!$A$88&gt;35,BD97+BC98-BL97,IF(A98&lt;'Données projet'!$A$88,$BA$205^A98,IF(A98='Données projet'!$A$88,'Données projet'!$B$88,BD97+BC98-BL97)))</f>
        <v>426.07000000000073</v>
      </c>
      <c r="BE98" s="13">
        <f>BD98*VLOOKUP('Données projet'!$B$11,Paramètres!$A$1:$I$89,3,0)*VLOOKUP('Données projet'!$B$11,Paramètres!$A$1:$I$89,5,0)</f>
        <v>199.40076000000033</v>
      </c>
      <c r="BF98" s="13">
        <f t="shared" si="91"/>
        <v>49.612449920138786</v>
      </c>
      <c r="BG98" s="20">
        <f t="shared" si="61"/>
        <v>433.69800727757553</v>
      </c>
      <c r="BH98" s="59">
        <f t="shared" si="62"/>
        <v>718.51225577777086</v>
      </c>
      <c r="BI98" s="59">
        <f ca="1">AVERAGE(OFFSET($BH$3,0,0,'Données projet'!$E$11+1,1))-AVERAGE(OFFSET($H$3,0,0,'Données projet'!$E$11+1,1))</f>
        <v>351.46787950120347</v>
      </c>
      <c r="BJ98" s="59">
        <f t="shared" si="92"/>
        <v>283.42185695241858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63.695748323908056</v>
      </c>
      <c r="BQ98" s="21">
        <f>EXP(-LN(2)/25)*BQ97+(1-EXP(-LN(2)/25))/(LN(2)/25)*Calculateur!BL98*Calculateur!BN98*VLOOKUP('Données projet'!$B$11,Paramètres!$A$1:$I$89,3,0)*0.475*44/12</f>
        <v>22.126227315909389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85.821975639817452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67.676613227325987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67.676613227325987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67.676613227325987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67.676613227325987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67.676613227325987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67.676613227325987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67.676613227325987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2.4500000000000002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8.9833333333333343</v>
      </c>
      <c r="H99" s="67">
        <f t="shared" si="56"/>
        <v>220.73333333333335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67.716918793517237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8.0470000000000024</v>
      </c>
      <c r="N99" s="13">
        <f>IF('Données projet'!$A$36&gt;35,N98+M99-V98,IF(A99&lt;'Données projet'!$A$36,$K$205^A99,IF(A99='Données projet'!$A$36,'Données projet'!$B$36,N98+M99-V98)))</f>
        <v>301.03400000000028</v>
      </c>
      <c r="O99" s="13">
        <f>N99*VLOOKUP('Données projet'!$B$9,Paramètres!$A$1:$I$89,3,0)*VLOOKUP('Données projet'!$B$9,Paramètres!$A$1:$I$89,5,0)</f>
        <v>305.24847600000032</v>
      </c>
      <c r="P99" s="13">
        <f t="shared" si="87"/>
        <v>72.275632556335026</v>
      </c>
      <c r="Q99" s="20">
        <f t="shared" ref="Q99:Q130" si="107">(O99+P99)*0.475*44/12</f>
        <v>657.52115573561741</v>
      </c>
      <c r="R99" s="59">
        <f t="shared" si="55"/>
        <v>942.48319131184735</v>
      </c>
      <c r="S99" s="59">
        <f ca="1">AVERAGE(OFFSET($R$3,0,0,'Données projet'!$E$9+1,1))-AVERAGE(OFFSET($H$3,0,0,'Données projet'!$E$9+1,1))</f>
        <v>668.93155285055116</v>
      </c>
      <c r="T99" s="59">
        <f t="shared" si="88"/>
        <v>306.43050420339659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55.319246470413155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55.319246470413155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67.716918793517237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8.0470000000000024</v>
      </c>
      <c r="AI99" s="13">
        <f>IF('Données projet'!$A$62&gt;35,AI98+AH99-AQ98,IF(A99&lt;'Données projet'!$A$62,$AF$205^A99,IF(A99='Données projet'!$A$62,'Données projet'!$B$62,AI98+AH99-AQ98)))</f>
        <v>301.03400000000028</v>
      </c>
      <c r="AJ99" s="13">
        <f>AI99*VLOOKUP('Données projet'!$B$10,Paramètres!$A$1:$I$89,3,0)*VLOOKUP('Données projet'!$B$10,Paramètres!$A$1:$I$89,5,0)</f>
        <v>291.16008480000028</v>
      </c>
      <c r="AK99" s="13">
        <f t="shared" si="89"/>
        <v>69.320064193077258</v>
      </c>
      <c r="AL99" s="20">
        <f t="shared" si="58"/>
        <v>627.83625949627674</v>
      </c>
      <c r="AM99" s="59">
        <f t="shared" si="59"/>
        <v>912.79829507250656</v>
      </c>
      <c r="AN99" s="59">
        <f ca="1">AVERAGE(OFFSET($AM$3,0,0,'Données projet'!$E$10+1,1))-AVERAGE(OFFSET($H$3,0,0,'Données projet'!$E$10+1,1))</f>
        <v>641.25537514609562</v>
      </c>
      <c r="AO99" s="59">
        <f t="shared" si="90"/>
        <v>294.69846357521487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52.766050479470998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52.766050479470998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67.716918793517237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10.059999999999997</v>
      </c>
      <c r="BD99" s="12">
        <f>IF('Données projet'!$A$88&gt;35,BD98+BC99-BL98,IF(A99&lt;'Données projet'!$A$88,$BA$205^A99,IF(A99='Données projet'!$A$88,'Données projet'!$B$88,BD98+BC99-BL98)))</f>
        <v>436.13000000000073</v>
      </c>
      <c r="BE99" s="13">
        <f>BD99*VLOOKUP('Données projet'!$B$11,Paramètres!$A$1:$I$89,3,0)*VLOOKUP('Données projet'!$B$11,Paramètres!$A$1:$I$89,5,0)</f>
        <v>204.10884000000033</v>
      </c>
      <c r="BF99" s="13">
        <f t="shared" si="91"/>
        <v>50.646094870383052</v>
      </c>
      <c r="BG99" s="20">
        <f t="shared" si="61"/>
        <v>443.69817823258433</v>
      </c>
      <c r="BH99" s="59">
        <f t="shared" si="62"/>
        <v>728.66021380881421</v>
      </c>
      <c r="BI99" s="59">
        <f ca="1">AVERAGE(OFFSET($BH$3,0,0,'Données projet'!$E$11+1,1))-AVERAGE(OFFSET($H$3,0,0,'Données projet'!$E$11+1,1))</f>
        <v>351.46787950120347</v>
      </c>
      <c r="BJ99" s="59">
        <f t="shared" si="92"/>
        <v>283.42185695241858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62.446713549846521</v>
      </c>
      <c r="BQ99" s="21">
        <f>EXP(-LN(2)/25)*BQ98+(1-EXP(-LN(2)/25))/(LN(2)/25)*Calculateur!BL99*Calculateur!BN99*VLOOKUP('Données projet'!$B$11,Paramètres!$A$1:$I$89,3,0)*0.475*44/12</f>
        <v>21.521184466388124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83.967898016234642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67.716918793517237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67.716918793517237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67.716918793517237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67.716918793517237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67.716918793517237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67.716918793517237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67.716918793517237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2.4500000000000002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8.9833333333333343</v>
      </c>
      <c r="H100" s="67">
        <f t="shared" si="56"/>
        <v>220.73333333333335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67.756525148244805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8.0470000000000024</v>
      </c>
      <c r="N100" s="13">
        <f>IF('Données projet'!$A$36&gt;35,N99+M100-V99,IF(A100&lt;'Données projet'!$A$36,$K$205^A100,IF(A100='Données projet'!$A$36,'Données projet'!$B$36,N99+M100-V99)))</f>
        <v>309.0810000000003</v>
      </c>
      <c r="O100" s="13">
        <f>N100*VLOOKUP('Données projet'!$B$9,Paramètres!$A$1:$I$89,3,0)*VLOOKUP('Données projet'!$B$9,Paramètres!$A$1:$I$89,5,0)</f>
        <v>313.4081340000003</v>
      </c>
      <c r="P100" s="13">
        <f t="shared" si="87"/>
        <v>73.980130635311994</v>
      </c>
      <c r="Q100" s="20">
        <f t="shared" si="107"/>
        <v>674.70122757316892</v>
      </c>
      <c r="R100" s="59">
        <f t="shared" si="55"/>
        <v>959.80848645006654</v>
      </c>
      <c r="S100" s="59">
        <f ca="1">AVERAGE(OFFSET($R$3,0,0,'Données projet'!$E$9+1,1))-AVERAGE(OFFSET($H$3,0,0,'Données projet'!$E$9+1,1))</f>
        <v>668.93155285055116</v>
      </c>
      <c r="T100" s="59">
        <f t="shared" si="88"/>
        <v>306.43050420339659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54.234469788537012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54.234469788537012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67.756525148244805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8.0470000000000024</v>
      </c>
      <c r="AI100" s="13">
        <f>IF('Données projet'!$A$62&gt;35,AI99+AH100-AQ99,IF(A100&lt;'Données projet'!$A$62,$AF$205^A100,IF(A100='Données projet'!$A$62,'Données projet'!$B$62,AI99+AH100-AQ99)))</f>
        <v>309.0810000000003</v>
      </c>
      <c r="AJ100" s="13">
        <f>AI100*VLOOKUP('Données projet'!$B$10,Paramètres!$A$1:$I$89,3,0)*VLOOKUP('Données projet'!$B$10,Paramètres!$A$1:$I$89,5,0)</f>
        <v>298.94314320000029</v>
      </c>
      <c r="AK100" s="13">
        <f t="shared" si="89"/>
        <v>70.954860210387238</v>
      </c>
      <c r="AL100" s="20">
        <f t="shared" si="58"/>
        <v>644.23902260642501</v>
      </c>
      <c r="AM100" s="59">
        <f t="shared" si="59"/>
        <v>929.34628148332263</v>
      </c>
      <c r="AN100" s="59">
        <f ca="1">AVERAGE(OFFSET($AM$3,0,0,'Données projet'!$E$10+1,1))-AVERAGE(OFFSET($H$3,0,0,'Données projet'!$E$10+1,1))</f>
        <v>641.25537514609562</v>
      </c>
      <c r="AO100" s="59">
        <f t="shared" si="90"/>
        <v>294.69846357521487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51.731340413681444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51.731340413681444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67.756525148244805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>
        <f>VLOOKUP(A100,'Données projet'!$A$87:$I$107,2,0)</f>
        <v>446.19</v>
      </c>
      <c r="BB100" s="12">
        <f>VLOOKUP(A100,'Données projet'!$A$87:$I$107,9,0)</f>
        <v>10.059999999999997</v>
      </c>
      <c r="BC100" s="12">
        <f t="array" ref="BC100">INDEX(BB:BB,MIN(IF(ISNUMBER(BB100:BB296),ROW(BB100:BB296),"")))</f>
        <v>10.059999999999997</v>
      </c>
      <c r="BD100" s="12">
        <f>IF('Données projet'!$A$88&gt;35,BD99+BC100-BL99,IF(A100&lt;'Données projet'!$A$88,$BA$205^A100,IF(A100='Données projet'!$A$88,'Données projet'!$B$88,BD99+BC100-BL99)))</f>
        <v>446.19000000000074</v>
      </c>
      <c r="BE100" s="13">
        <f>BD100*VLOOKUP('Données projet'!$B$11,Paramètres!$A$1:$I$89,3,0)*VLOOKUP('Données projet'!$B$11,Paramètres!$A$1:$I$89,5,0)</f>
        <v>208.81692000000035</v>
      </c>
      <c r="BF100" s="13">
        <f t="shared" si="91"/>
        <v>51.676968005916123</v>
      </c>
      <c r="BG100" s="20">
        <f t="shared" si="61"/>
        <v>453.69352161030451</v>
      </c>
      <c r="BH100" s="59">
        <f t="shared" si="62"/>
        <v>738.80078048720213</v>
      </c>
      <c r="BI100" s="59">
        <f ca="1">AVERAGE(OFFSET($BH$3,0,0,'Données projet'!$E$11+1,1))-AVERAGE(OFFSET($H$3,0,0,'Données projet'!$E$11+1,1))</f>
        <v>351.46787950120347</v>
      </c>
      <c r="BJ100" s="59">
        <f t="shared" si="92"/>
        <v>283.42185695241858</v>
      </c>
      <c r="BK100" s="15">
        <f>IF(ISNA(VLOOKUP(A100,'Données projet'!$A$87:$I$107,3,0)),0,VLOOKUP(A100,'Données projet'!$A$87:$I$107,3,0))</f>
        <v>5</v>
      </c>
      <c r="BL100" s="15">
        <f>IF(ISNA(VLOOKUP(A100,'Données projet'!$A$87:$I$107,4,0)),0,VLOOKUP(A100,'Données projet'!$A$87:$I$107,4,0))</f>
        <v>89.6</v>
      </c>
      <c r="BM100" s="16">
        <f>IF(ISNA(VLOOKUP(A100,'Données projet'!$A$87:$I$107,5,0)),0%,VLOOKUP(A100,'Données projet'!$A$87:$I$107,5,0)*VLOOKUP('Données projet'!$B$11,Paramètres!$A$1:$I$89,7,0))</f>
        <v>0.38500000000000001</v>
      </c>
      <c r="BN100" s="16">
        <f>IF(ISNA(VLOOKUP(A100,'Données projet'!$A$87:$I$107,6,0)),0%,VLOOKUP(A100,'Données projet'!$A$87:$I$107,6,0)*VLOOKUP('Données projet'!$B$11,Paramètres!$A$1:$I$89,7,0))</f>
        <v>0.16500000000000001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82.638397954734586</v>
      </c>
      <c r="BQ100" s="21">
        <f>EXP(-LN(2)/25)*BQ99+(1-EXP(-LN(2)/25))/(LN(2)/25)*Calculateur!BL100*Calculateur!BN100*VLOOKUP('Données projet'!$B$11,Paramètres!$A$1:$I$89,3,0)*0.475*44/12</f>
        <v>30.074930484874841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112.71332843960943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67.756525148244805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67.756525148244805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67.756525148244805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67.756525148244805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67.756525148244805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67.756525148244805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67.756525148244805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2.4500000000000002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8.9833333333333343</v>
      </c>
      <c r="H101" s="67">
        <f t="shared" si="56"/>
        <v>220.73333333333335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67.795444421264378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8.0470000000000024</v>
      </c>
      <c r="N101" s="13">
        <f>IF('Données projet'!$A$36&gt;35,N100+M101-V100,IF(A101&lt;'Données projet'!$A$36,$K$205^A101,IF(A101='Données projet'!$A$36,'Données projet'!$B$36,N100+M101-V100)))</f>
        <v>317.12800000000033</v>
      </c>
      <c r="O101" s="13">
        <f>N101*VLOOKUP('Données projet'!$B$9,Paramètres!$A$1:$I$89,3,0)*VLOOKUP('Données projet'!$B$9,Paramètres!$A$1:$I$89,5,0)</f>
        <v>321.56779200000034</v>
      </c>
      <c r="P101" s="13">
        <f t="shared" si="87"/>
        <v>75.679470431568902</v>
      </c>
      <c r="Q101" s="20">
        <f t="shared" si="107"/>
        <v>691.87231540164976</v>
      </c>
      <c r="R101" s="59">
        <f t="shared" si="55"/>
        <v>977.1222782796192</v>
      </c>
      <c r="S101" s="59">
        <f ca="1">AVERAGE(OFFSET($R$3,0,0,'Données projet'!$E$9+1,1))-AVERAGE(OFFSET($H$3,0,0,'Données projet'!$E$9+1,1))</f>
        <v>668.93155285055116</v>
      </c>
      <c r="T101" s="59">
        <f t="shared" si="88"/>
        <v>306.43050420339659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53.170964915744015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53.170964915744015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67.795444421264378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8.0470000000000024</v>
      </c>
      <c r="AI101" s="13">
        <f>IF('Données projet'!$A$62&gt;35,AI100+AH101-AQ100,IF(A101&lt;'Données projet'!$A$62,$AF$205^A101,IF(A101='Données projet'!$A$62,'Données projet'!$B$62,AI100+AH101-AQ100)))</f>
        <v>317.12800000000033</v>
      </c>
      <c r="AJ101" s="13">
        <f>AI101*VLOOKUP('Données projet'!$B$10,Paramètres!$A$1:$I$89,3,0)*VLOOKUP('Données projet'!$B$10,Paramètres!$A$1:$I$89,5,0)</f>
        <v>306.72620160000031</v>
      </c>
      <c r="AK101" s="13">
        <f t="shared" si="89"/>
        <v>72.584708882698152</v>
      </c>
      <c r="AL101" s="20">
        <f t="shared" si="58"/>
        <v>660.63316909069977</v>
      </c>
      <c r="AM101" s="59">
        <f t="shared" si="59"/>
        <v>945.8831319686692</v>
      </c>
      <c r="AN101" s="59">
        <f ca="1">AVERAGE(OFFSET($AM$3,0,0,'Données projet'!$E$10+1,1))-AVERAGE(OFFSET($H$3,0,0,'Données projet'!$E$10+1,1))</f>
        <v>641.25537514609562</v>
      </c>
      <c r="AO101" s="59">
        <f t="shared" si="90"/>
        <v>294.69846357521487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50.716920381171207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50.716920381171207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67.795444421264378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9.0474999999999994</v>
      </c>
      <c r="BD101" s="12">
        <f>IF('Données projet'!$A$88&gt;35,BD100+BC101-BL100,IF(A101&lt;'Données projet'!$A$88,$BA$205^A101,IF(A101='Données projet'!$A$88,'Données projet'!$B$88,BD100+BC101-BL100)))</f>
        <v>365.63750000000073</v>
      </c>
      <c r="BE101" s="13">
        <f>BD101*VLOOKUP('Données projet'!$B$11,Paramètres!$A$1:$I$89,3,0)*VLOOKUP('Données projet'!$B$11,Paramètres!$A$1:$I$89,5,0)</f>
        <v>171.11835000000036</v>
      </c>
      <c r="BF101" s="13">
        <f t="shared" si="91"/>
        <v>43.340401117854505</v>
      </c>
      <c r="BG101" s="20">
        <f t="shared" si="61"/>
        <v>373.51565819693059</v>
      </c>
      <c r="BH101" s="59">
        <f t="shared" si="62"/>
        <v>658.76562107489997</v>
      </c>
      <c r="BI101" s="59">
        <f ca="1">AVERAGE(OFFSET($BH$3,0,0,'Données projet'!$E$11+1,1))-AVERAGE(OFFSET($H$3,0,0,'Données projet'!$E$11+1,1))</f>
        <v>351.46787950120347</v>
      </c>
      <c r="BJ101" s="59">
        <f t="shared" si="92"/>
        <v>283.42185695241858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81.017909375287971</v>
      </c>
      <c r="BQ101" s="21">
        <f>EXP(-LN(2)/25)*BQ100+(1-EXP(-LN(2)/25))/(LN(2)/25)*Calculateur!BL101*Calculateur!BN101*VLOOKUP('Données projet'!$B$11,Paramètres!$A$1:$I$89,3,0)*0.475*44/12</f>
        <v>29.252529929194083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110.27043930448205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67.795444421264378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67.795444421264378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67.795444421264378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67.795444421264378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67.795444421264378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67.795444421264378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67.795444421264378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2.4500000000000002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8.9833333333333343</v>
      </c>
      <c r="H102" s="67">
        <f t="shared" si="56"/>
        <v>220.73333333333335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67.833688531907541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8.0470000000000024</v>
      </c>
      <c r="N102" s="13">
        <f>IF('Données projet'!$A$36&gt;35,N101+M102-V101,IF(A102&lt;'Données projet'!$A$36,$K$205^A102,IF(A102='Données projet'!$A$36,'Données projet'!$B$36,N101+M102-V101)))</f>
        <v>325.17500000000035</v>
      </c>
      <c r="O102" s="13">
        <f>N102*VLOOKUP('Données projet'!$B$9,Paramètres!$A$1:$I$89,3,0)*VLOOKUP('Données projet'!$B$9,Paramètres!$A$1:$I$89,5,0)</f>
        <v>329.72745000000037</v>
      </c>
      <c r="P102" s="13">
        <f t="shared" si="87"/>
        <v>77.373797886161128</v>
      </c>
      <c r="Q102" s="20">
        <f t="shared" si="107"/>
        <v>709.0346734017312</v>
      </c>
      <c r="R102" s="59">
        <f t="shared" si="55"/>
        <v>994.42486468539209</v>
      </c>
      <c r="S102" s="59">
        <f ca="1">AVERAGE(OFFSET($R$3,0,0,'Données projet'!$E$9+1,1))-AVERAGE(OFFSET($H$3,0,0,'Données projet'!$E$9+1,1))</f>
        <v>668.93155285055116</v>
      </c>
      <c r="T102" s="59">
        <f t="shared" si="88"/>
        <v>306.43050420339659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52.12831472483257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52.12831472483257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67.833688531907541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8.0470000000000024</v>
      </c>
      <c r="AI102" s="13">
        <f>IF('Données projet'!$A$62&gt;35,AI101+AH102-AQ101,IF(A102&lt;'Données projet'!$A$62,$AF$205^A102,IF(A102='Données projet'!$A$62,'Données projet'!$B$62,AI101+AH102-AQ101)))</f>
        <v>325.17500000000035</v>
      </c>
      <c r="AJ102" s="13">
        <f>AI102*VLOOKUP('Données projet'!$B$10,Paramètres!$A$1:$I$89,3,0)*VLOOKUP('Données projet'!$B$10,Paramètres!$A$1:$I$89,5,0)</f>
        <v>314.50926000000038</v>
      </c>
      <c r="AK102" s="13">
        <f t="shared" si="89"/>
        <v>74.209750183096105</v>
      </c>
      <c r="AL102" s="20">
        <f t="shared" si="58"/>
        <v>677.01894273555968</v>
      </c>
      <c r="AM102" s="59">
        <f t="shared" si="59"/>
        <v>962.40913401922057</v>
      </c>
      <c r="AN102" s="59">
        <f ca="1">AVERAGE(OFFSET($AM$3,0,0,'Données projet'!$E$10+1,1))-AVERAGE(OFFSET($H$3,0,0,'Données projet'!$E$10+1,1))</f>
        <v>641.25537514609562</v>
      </c>
      <c r="AO102" s="59">
        <f t="shared" si="90"/>
        <v>294.69846357521487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49.72239250676337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49.72239250676337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67.833688531907541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9.0474999999999994</v>
      </c>
      <c r="BD102" s="12">
        <f>IF('Données projet'!$A$88&gt;35,BD101+BC102-BL101,IF(A102&lt;'Données projet'!$A$88,$BA$205^A102,IF(A102='Données projet'!$A$88,'Données projet'!$B$88,BD101+BC102-BL101)))</f>
        <v>374.68500000000074</v>
      </c>
      <c r="BE102" s="13">
        <f>BD102*VLOOKUP('Données projet'!$B$11,Paramètres!$A$1:$I$89,3,0)*VLOOKUP('Données projet'!$B$11,Paramètres!$A$1:$I$89,5,0)</f>
        <v>175.35258000000036</v>
      </c>
      <c r="BF102" s="13">
        <f t="shared" si="91"/>
        <v>44.286652000427587</v>
      </c>
      <c r="BG102" s="20">
        <f t="shared" si="61"/>
        <v>382.53832906741195</v>
      </c>
      <c r="BH102" s="59">
        <f t="shared" si="62"/>
        <v>667.92852035107285</v>
      </c>
      <c r="BI102" s="59">
        <f ca="1">AVERAGE(OFFSET($BH$3,0,0,'Données projet'!$E$11+1,1))-AVERAGE(OFFSET($H$3,0,0,'Données projet'!$E$11+1,1))</f>
        <v>351.46787950120347</v>
      </c>
      <c r="BJ102" s="59">
        <f t="shared" si="92"/>
        <v>283.42185695241858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79.429197588483859</v>
      </c>
      <c r="BQ102" s="21">
        <f>EXP(-LN(2)/25)*BQ101+(1-EXP(-LN(2)/25))/(LN(2)/25)*Calculateur!BL102*Calculateur!BN102*VLOOKUP('Données projet'!$B$11,Paramètres!$A$1:$I$89,3,0)*0.475*44/12</f>
        <v>28.45261795995658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107.88181554844044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67.833688531907541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67.833688531907541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67.833688531907541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67.833688531907541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67.833688531907541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67.833688531907541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67.833688531907541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2.4500000000000002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8.9833333333333343</v>
      </c>
      <c r="H103" s="67">
        <f t="shared" si="56"/>
        <v>220.73333333333335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67.871269192732044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8.0470000000000024</v>
      </c>
      <c r="N103" s="13">
        <f>IF('Données projet'!$A$36&gt;35,N102+M103-V102,IF(A103&lt;'Données projet'!$A$36,$K$205^A103,IF(A103='Données projet'!$A$36,'Données projet'!$B$36,N102+M103-V102)))</f>
        <v>333.22200000000038</v>
      </c>
      <c r="O103" s="13">
        <f>N103*VLOOKUP('Données projet'!$B$9,Paramètres!$A$1:$I$89,3,0)*VLOOKUP('Données projet'!$B$9,Paramètres!$A$1:$I$89,5,0)</f>
        <v>337.88710800000041</v>
      </c>
      <c r="P103" s="13">
        <f t="shared" si="87"/>
        <v>79.063251305296689</v>
      </c>
      <c r="Q103" s="20">
        <f t="shared" si="107"/>
        <v>726.18854245672571</v>
      </c>
      <c r="R103" s="59">
        <f t="shared" si="55"/>
        <v>1011.7165294967432</v>
      </c>
      <c r="S103" s="59">
        <f ca="1">AVERAGE(OFFSET($R$3,0,0,'Données projet'!$E$9+1,1))-AVERAGE(OFFSET($H$3,0,0,'Données projet'!$E$9+1,1))</f>
        <v>668.93155285055116</v>
      </c>
      <c r="T103" s="59">
        <f t="shared" si="88"/>
        <v>306.43050420339659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51.106110268211076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51.106110268211076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67.871269192732044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8.0470000000000024</v>
      </c>
      <c r="AI103" s="13">
        <f>IF('Données projet'!$A$62&gt;35,AI102+AH103-AQ102,IF(A103&lt;'Données projet'!$A$62,$AF$205^A103,IF(A103='Données projet'!$A$62,'Données projet'!$B$62,AI102+AH103-AQ102)))</f>
        <v>333.22200000000038</v>
      </c>
      <c r="AJ103" s="13">
        <f>AI103*VLOOKUP('Données projet'!$B$10,Paramètres!$A$1:$I$89,3,0)*VLOOKUP('Données projet'!$B$10,Paramètres!$A$1:$I$89,5,0)</f>
        <v>322.2923184000004</v>
      </c>
      <c r="AK103" s="13">
        <f t="shared" si="89"/>
        <v>75.830116762031381</v>
      </c>
      <c r="AL103" s="20">
        <f t="shared" si="58"/>
        <v>693.39657457387193</v>
      </c>
      <c r="AM103" s="59">
        <f t="shared" si="59"/>
        <v>978.92456161388941</v>
      </c>
      <c r="AN103" s="59">
        <f ca="1">AVERAGE(OFFSET($AM$3,0,0,'Données projet'!$E$10+1,1))-AVERAGE(OFFSET($H$3,0,0,'Données projet'!$E$10+1,1))</f>
        <v>641.25537514609562</v>
      </c>
      <c r="AO103" s="59">
        <f t="shared" si="90"/>
        <v>294.69846357521487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48.747366717370561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48.747366717370561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67.871269192732044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9.0474999999999994</v>
      </c>
      <c r="BD103" s="12">
        <f>IF('Données projet'!$A$88&gt;35,BD102+BC103-BL102,IF(A103&lt;'Données projet'!$A$88,$BA$205^A103,IF(A103='Données projet'!$A$88,'Données projet'!$B$88,BD102+BC103-BL102)))</f>
        <v>383.73250000000075</v>
      </c>
      <c r="BE103" s="13">
        <f>BD103*VLOOKUP('Données projet'!$B$11,Paramètres!$A$1:$I$89,3,0)*VLOOKUP('Données projet'!$B$11,Paramètres!$A$1:$I$89,5,0)</f>
        <v>179.58681000000038</v>
      </c>
      <c r="BF103" s="13">
        <f t="shared" si="91"/>
        <v>45.230246712340069</v>
      </c>
      <c r="BG103" s="20">
        <f t="shared" si="61"/>
        <v>391.5563737739929</v>
      </c>
      <c r="BH103" s="59">
        <f t="shared" si="62"/>
        <v>677.08436081401032</v>
      </c>
      <c r="BI103" s="59">
        <f ca="1">AVERAGE(OFFSET($BH$3,0,0,'Données projet'!$E$11+1,1))-AVERAGE(OFFSET($H$3,0,0,'Données projet'!$E$11+1,1))</f>
        <v>351.46787950120347</v>
      </c>
      <c r="BJ103" s="59">
        <f t="shared" si="92"/>
        <v>283.42185695241858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77.871639470800474</v>
      </c>
      <c r="BQ103" s="21">
        <f>EXP(-LN(2)/25)*BQ102+(1-EXP(-LN(2)/25))/(LN(2)/25)*Calculateur!BL103*Calculateur!BN103*VLOOKUP('Données projet'!$B$11,Paramètres!$A$1:$I$89,3,0)*0.475*44/12</f>
        <v>27.674579625583419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105.54621909638389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67.871269192732044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67.871269192732044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67.871269192732044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67.871269192732044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67.871269192732044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67.871269192732044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67.871269192732044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2.4500000000000002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8.9833333333333343</v>
      </c>
      <c r="H104" s="67">
        <f t="shared" si="56"/>
        <v>220.73333333333335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67.908197913109035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8.0470000000000024</v>
      </c>
      <c r="N104" s="13">
        <f>IF('Données projet'!$A$36&gt;35,N103+M104-V103,IF(A104&lt;'Données projet'!$A$36,$K$205^A104,IF(A104='Données projet'!$A$36,'Données projet'!$B$36,N103+M104-V103)))</f>
        <v>341.2690000000004</v>
      </c>
      <c r="O104" s="13">
        <f>N104*VLOOKUP('Données projet'!$B$9,Paramètres!$A$1:$I$89,3,0)*VLOOKUP('Données projet'!$B$9,Paramètres!$A$1:$I$89,5,0)</f>
        <v>346.04676600000045</v>
      </c>
      <c r="P104" s="13">
        <f t="shared" si="87"/>
        <v>80.747961934338676</v>
      </c>
      <c r="Q104" s="20">
        <f t="shared" si="107"/>
        <v>743.33415115230719</v>
      </c>
      <c r="R104" s="59">
        <f t="shared" si="55"/>
        <v>1028.9975435003737</v>
      </c>
      <c r="S104" s="59">
        <f ca="1">AVERAGE(OFFSET($R$3,0,0,'Données projet'!$E$9+1,1))-AVERAGE(OFFSET($H$3,0,0,'Données projet'!$E$9+1,1))</f>
        <v>668.93155285055116</v>
      </c>
      <c r="T104" s="59">
        <f t="shared" si="88"/>
        <v>306.43050420339659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50.103950617500779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50.103950617500779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67.908197913109035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8.0470000000000024</v>
      </c>
      <c r="AI104" s="13">
        <f>IF('Données projet'!$A$62&gt;35,AI103+AH104-AQ103,IF(A104&lt;'Données projet'!$A$62,$AF$205^A104,IF(A104='Données projet'!$A$62,'Données projet'!$B$62,AI103+AH104-AQ103)))</f>
        <v>341.2690000000004</v>
      </c>
      <c r="AJ104" s="13">
        <f>AI104*VLOOKUP('Données projet'!$B$10,Paramètres!$A$1:$I$89,3,0)*VLOOKUP('Données projet'!$B$10,Paramètres!$A$1:$I$89,5,0)</f>
        <v>330.07537680000041</v>
      </c>
      <c r="AK104" s="13">
        <f t="shared" si="89"/>
        <v>77.445934497848739</v>
      </c>
      <c r="AL104" s="20">
        <f t="shared" si="58"/>
        <v>709.76628384375397</v>
      </c>
      <c r="AM104" s="59">
        <f t="shared" si="59"/>
        <v>995.42967619182036</v>
      </c>
      <c r="AN104" s="59">
        <f ca="1">AVERAGE(OFFSET($AM$3,0,0,'Données projet'!$E$10+1,1))-AVERAGE(OFFSET($H$3,0,0,'Données projet'!$E$10+1,1))</f>
        <v>641.25537514609562</v>
      </c>
      <c r="AO104" s="59">
        <f t="shared" si="90"/>
        <v>294.69846357521487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47.791460589000735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47.791460589000735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67.908197913109035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9.0474999999999994</v>
      </c>
      <c r="BD104" s="12">
        <f>IF('Données projet'!$A$88&gt;35,BD103+BC104-BL103,IF(A104&lt;'Données projet'!$A$88,$BA$205^A104,IF(A104='Données projet'!$A$88,'Données projet'!$B$88,BD103+BC104-BL103)))</f>
        <v>392.78000000000077</v>
      </c>
      <c r="BE104" s="13">
        <f>BD104*VLOOKUP('Données projet'!$B$11,Paramètres!$A$1:$I$89,3,0)*VLOOKUP('Données projet'!$B$11,Paramètres!$A$1:$I$89,5,0)</f>
        <v>183.82104000000035</v>
      </c>
      <c r="BF104" s="13">
        <f t="shared" si="91"/>
        <v>46.17125508669745</v>
      </c>
      <c r="BG104" s="20">
        <f t="shared" si="61"/>
        <v>400.56991394266532</v>
      </c>
      <c r="BH104" s="59">
        <f t="shared" si="62"/>
        <v>686.23330629073178</v>
      </c>
      <c r="BI104" s="59">
        <f ca="1">AVERAGE(OFFSET($BH$3,0,0,'Données projet'!$E$11+1,1))-AVERAGE(OFFSET($H$3,0,0,'Données projet'!$E$11+1,1))</f>
        <v>351.46787950120347</v>
      </c>
      <c r="BJ104" s="59">
        <f t="shared" si="92"/>
        <v>283.42185695241858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76.344624117788214</v>
      </c>
      <c r="BQ104" s="21">
        <f>EXP(-LN(2)/25)*BQ103+(1-EXP(-LN(2)/25))/(LN(2)/25)*Calculateur!BL104*Calculateur!BN104*VLOOKUP('Données projet'!$B$11,Paramètres!$A$1:$I$89,3,0)*0.475*44/12</f>
        <v>26.91781679037895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103.26244090816716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67.908197913109035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67.908197913109035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67.908197913109035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67.908197913109035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67.908197913109035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67.908197913109035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67.908197913109035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2.4500000000000002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8.9833333333333343</v>
      </c>
      <c r="H105" s="67">
        <f t="shared" si="56"/>
        <v>220.73333333333335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67.944486002747723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8.0470000000000024</v>
      </c>
      <c r="N105" s="13">
        <f>IF('Données projet'!$A$36&gt;35,N104+M105-V104,IF(A105&lt;'Données projet'!$A$36,$K$205^A105,IF(A105='Données projet'!$A$36,'Données projet'!$B$36,N104+M105-V104)))</f>
        <v>349.31600000000043</v>
      </c>
      <c r="O105" s="13">
        <f>N105*VLOOKUP('Données projet'!$B$9,Paramètres!$A$1:$I$89,3,0)*VLOOKUP('Données projet'!$B$9,Paramètres!$A$1:$I$89,5,0)</f>
        <v>354.20642400000042</v>
      </c>
      <c r="P105" s="13">
        <f t="shared" si="87"/>
        <v>82.42805447614306</v>
      </c>
      <c r="Q105" s="20">
        <f t="shared" si="107"/>
        <v>760.4717166792833</v>
      </c>
      <c r="R105" s="59">
        <f t="shared" si="55"/>
        <v>1046.2681653560248</v>
      </c>
      <c r="S105" s="59">
        <f ca="1">AVERAGE(OFFSET($R$3,0,0,'Données projet'!$E$9+1,1))-AVERAGE(OFFSET($H$3,0,0,'Données projet'!$E$9+1,1))</f>
        <v>668.93155285055116</v>
      </c>
      <c r="T105" s="59">
        <f t="shared" si="88"/>
        <v>306.43050420339659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49.121442706283879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49.121442706283879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67.944486002747723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8.0470000000000024</v>
      </c>
      <c r="AI105" s="13">
        <f>IF('Données projet'!$A$62&gt;35,AI104+AH105-AQ104,IF(A105&lt;'Données projet'!$A$62,$AF$205^A105,IF(A105='Données projet'!$A$62,'Données projet'!$B$62,AI104+AH105-AQ104)))</f>
        <v>349.31600000000043</v>
      </c>
      <c r="AJ105" s="13">
        <f>AI105*VLOOKUP('Données projet'!$B$10,Paramètres!$A$1:$I$89,3,0)*VLOOKUP('Données projet'!$B$10,Paramètres!$A$1:$I$89,5,0)</f>
        <v>337.85843520000043</v>
      </c>
      <c r="AK105" s="13">
        <f t="shared" si="89"/>
        <v>79.057322993928835</v>
      </c>
      <c r="AL105" s="20">
        <f t="shared" si="58"/>
        <v>726.12827885442675</v>
      </c>
      <c r="AM105" s="59">
        <f t="shared" si="59"/>
        <v>1011.9247275311684</v>
      </c>
      <c r="AN105" s="59">
        <f ca="1">AVERAGE(OFFSET($AM$3,0,0,'Données projet'!$E$10+1,1))-AVERAGE(OFFSET($H$3,0,0,'Données projet'!$E$10+1,1))</f>
        <v>641.25537514609562</v>
      </c>
      <c r="AO105" s="59">
        <f t="shared" si="90"/>
        <v>294.69846357521487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46.854299196763073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46.854299196763073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67.944486002747723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9.0474999999999994</v>
      </c>
      <c r="BD105" s="12">
        <f>IF('Données projet'!$A$88&gt;35,BD104+BC105-BL104,IF(A105&lt;'Données projet'!$A$88,$BA$205^A105,IF(A105='Données projet'!$A$88,'Données projet'!$B$88,BD104+BC105-BL104)))</f>
        <v>401.82750000000078</v>
      </c>
      <c r="BE105" s="13">
        <f>BD105*VLOOKUP('Données projet'!$B$11,Paramètres!$A$1:$I$89,3,0)*VLOOKUP('Données projet'!$B$11,Paramètres!$A$1:$I$89,5,0)</f>
        <v>188.05527000000035</v>
      </c>
      <c r="BF105" s="13">
        <f t="shared" si="91"/>
        <v>47.109743555877948</v>
      </c>
      <c r="BG105" s="20">
        <f t="shared" si="61"/>
        <v>409.57906527648794</v>
      </c>
      <c r="BH105" s="59">
        <f t="shared" si="62"/>
        <v>695.37551395322953</v>
      </c>
      <c r="BI105" s="59">
        <f ca="1">AVERAGE(OFFSET($BH$3,0,0,'Données projet'!$E$11+1,1))-AVERAGE(OFFSET($H$3,0,0,'Données projet'!$E$11+1,1))</f>
        <v>351.46787950120347</v>
      </c>
      <c r="BJ105" s="59">
        <f t="shared" si="92"/>
        <v>283.42185695241858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74.847552604461129</v>
      </c>
      <c r="BQ105" s="21">
        <f>EXP(-LN(2)/25)*BQ104+(1-EXP(-LN(2)/25))/(LN(2)/25)*Calculateur!BL105*Calculateur!BN105*VLOOKUP('Données projet'!$B$11,Paramètres!$A$1:$I$89,3,0)*0.475*44/12</f>
        <v>26.181747674699576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101.02930027916071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67.944486002747723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67.944486002747723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67.944486002747723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67.944486002747723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67.944486002747723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67.944486002747723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67.944486002747723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2.4500000000000002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8.9833333333333343</v>
      </c>
      <c r="H106" s="67">
        <f t="shared" si="56"/>
        <v>220.73333333333335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67.980144575159201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8.0470000000000024</v>
      </c>
      <c r="N106" s="13">
        <f>IF('Données projet'!$A$36&gt;35,N105+M106-V105,IF(A106&lt;'Données projet'!$A$36,$K$205^A106,IF(A106='Données projet'!$A$36,'Données projet'!$B$36,N105+M106-V105)))</f>
        <v>357.36300000000045</v>
      </c>
      <c r="O106" s="13">
        <f>N106*VLOOKUP('Données projet'!$B$9,Paramètres!$A$1:$I$89,3,0)*VLOOKUP('Données projet'!$B$9,Paramètres!$A$1:$I$89,5,0)</f>
        <v>362.36608200000046</v>
      </c>
      <c r="P106" s="13">
        <f t="shared" si="87"/>
        <v>84.103647560288479</v>
      </c>
      <c r="Q106" s="20">
        <f t="shared" si="107"/>
        <v>777.60144565083658</v>
      </c>
      <c r="R106" s="59">
        <f t="shared" si="55"/>
        <v>1063.5286424264204</v>
      </c>
      <c r="S106" s="59">
        <f ca="1">AVERAGE(OFFSET($R$3,0,0,'Données projet'!$E$9+1,1))-AVERAGE(OFFSET($H$3,0,0,'Données projet'!$E$9+1,1))</f>
        <v>668.93155285055116</v>
      </c>
      <c r="T106" s="59">
        <f t="shared" si="88"/>
        <v>306.43050420339659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48.158201175935289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48.158201175935289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67.980144575159201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8.0470000000000024</v>
      </c>
      <c r="AI106" s="13">
        <f>IF('Données projet'!$A$62&gt;35,AI105+AH106-AQ105,IF(A106&lt;'Données projet'!$A$62,$AF$205^A106,IF(A106='Données projet'!$A$62,'Données projet'!$B$62,AI105+AH106-AQ105)))</f>
        <v>357.36300000000045</v>
      </c>
      <c r="AJ106" s="13">
        <f>AI106*VLOOKUP('Données projet'!$B$10,Paramètres!$A$1:$I$89,3,0)*VLOOKUP('Données projet'!$B$10,Paramètres!$A$1:$I$89,5,0)</f>
        <v>345.64149360000044</v>
      </c>
      <c r="AK106" s="13">
        <f t="shared" si="89"/>
        <v>80.664396028729414</v>
      </c>
      <c r="AL106" s="20">
        <f t="shared" si="58"/>
        <v>742.48275777003767</v>
      </c>
      <c r="AM106" s="59">
        <f t="shared" si="59"/>
        <v>1028.4099545456215</v>
      </c>
      <c r="AN106" s="59">
        <f ca="1">AVERAGE(OFFSET($AM$3,0,0,'Données projet'!$E$10+1,1))-AVERAGE(OFFSET($H$3,0,0,'Données projet'!$E$10+1,1))</f>
        <v>641.25537514609562</v>
      </c>
      <c r="AO106" s="59">
        <f t="shared" si="90"/>
        <v>294.69846357521487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45.935514967815188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45.935514967815188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67.980144575159201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9.0474999999999994</v>
      </c>
      <c r="BD106" s="12">
        <f>IF('Données projet'!$A$88&gt;35,BD105+BC106-BL105,IF(A106&lt;'Données projet'!$A$88,$BA$205^A106,IF(A106='Données projet'!$A$88,'Données projet'!$B$88,BD105+BC106-BL105)))</f>
        <v>410.8750000000008</v>
      </c>
      <c r="BE106" s="13">
        <f>BD106*VLOOKUP('Données projet'!$B$11,Paramètres!$A$1:$I$89,3,0)*VLOOKUP('Données projet'!$B$11,Paramètres!$A$1:$I$89,5,0)</f>
        <v>192.28950000000037</v>
      </c>
      <c r="BF106" s="13">
        <f t="shared" si="91"/>
        <v>48.045775389924884</v>
      </c>
      <c r="BG106" s="20">
        <f t="shared" si="61"/>
        <v>418.58393797078651</v>
      </c>
      <c r="BH106" s="59">
        <f t="shared" si="62"/>
        <v>704.51113474637032</v>
      </c>
      <c r="BI106" s="59">
        <f ca="1">AVERAGE(OFFSET($BH$3,0,0,'Données projet'!$E$11+1,1))-AVERAGE(OFFSET($H$3,0,0,'Données projet'!$E$11+1,1))</f>
        <v>351.46787950120347</v>
      </c>
      <c r="BJ106" s="59">
        <f t="shared" si="92"/>
        <v>283.42185695241858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73.379837750386926</v>
      </c>
      <c r="BQ106" s="21">
        <f>EXP(-LN(2)/25)*BQ105+(1-EXP(-LN(2)/25))/(LN(2)/25)*Calculateur!BL106*Calculateur!BN106*VLOOKUP('Données projet'!$B$11,Paramètres!$A$1:$I$89,3,0)*0.475*44/12</f>
        <v>25.465806407696643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98.845644158083573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67.980144575159201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67.980144575159201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67.980144575159201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67.980144575159201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67.980144575159201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67.980144575159201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67.980144575159201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2.4500000000000002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8.9833333333333343</v>
      </c>
      <c r="H107" s="67">
        <f t="shared" si="56"/>
        <v>220.73333333333335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68.01518455105996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>
        <f>VLOOKUP(A107,'Données projet'!$A$35:$I$55,2,0)</f>
        <v>365.41</v>
      </c>
      <c r="L107" s="12">
        <f>VLOOKUP(A107,'Données projet'!$A$35:$I$55,9,0)</f>
        <v>8.0470000000000024</v>
      </c>
      <c r="M107" s="12">
        <f t="array" ref="M107">INDEX(L:L,MIN(IF(ISNUMBER(L107:L303),ROW(L107:L303),"")))</f>
        <v>8.0470000000000024</v>
      </c>
      <c r="N107" s="13">
        <f>IF('Données projet'!$A$36&gt;35,N106+M107-V106,IF(A107&lt;'Données projet'!$A$36,$K$205^A107,IF(A107='Données projet'!$A$36,'Données projet'!$B$36,N106+M107-V106)))</f>
        <v>365.41000000000048</v>
      </c>
      <c r="O107" s="13">
        <f>N107*VLOOKUP('Données projet'!$B$9,Paramètres!$A$1:$I$89,3,0)*VLOOKUP('Données projet'!$B$9,Paramètres!$A$1:$I$89,5,0)</f>
        <v>370.5257400000005</v>
      </c>
      <c r="P107" s="13">
        <f t="shared" si="87"/>
        <v>85.774854168850283</v>
      </c>
      <c r="Q107" s="20">
        <f t="shared" si="107"/>
        <v>794.72353484408177</v>
      </c>
      <c r="R107" s="59">
        <f t="shared" si="55"/>
        <v>1080.7792115313016</v>
      </c>
      <c r="S107" s="59">
        <f ca="1">AVERAGE(OFFSET($R$3,0,0,'Données projet'!$E$9+1,1))-AVERAGE(OFFSET($H$3,0,0,'Données projet'!$E$9+1,1))</f>
        <v>668.93155285055116</v>
      </c>
      <c r="T107" s="59">
        <f t="shared" si="88"/>
        <v>306.43050420339659</v>
      </c>
      <c r="U107" s="15">
        <f>IF(ISNA(VLOOKUP(A107,'Données projet'!$A$35:$I$55,3,0)),0,VLOOKUP(A107,'Données projet'!$A$35:$I$55,3,0))</f>
        <v>8</v>
      </c>
      <c r="V107" s="15">
        <f>IF(ISNA(VLOOKUP(A107,'Données projet'!$A$35:$I$55,4,0)),0,VLOOKUP(A107,'Données projet'!$A$35:$I$55,4,0))</f>
        <v>60.19</v>
      </c>
      <c r="W107" s="16">
        <f>IF(ISNA(VLOOKUP(A107,'Données projet'!$A$35:$I$55,5,0)),0%,VLOOKUP(A107,'Données projet'!$A$35:$I$55,5,0)*VLOOKUP('Données projet'!$B$9,Paramètres!$A$1:$I$89,7,0))</f>
        <v>0.25800000000000001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64.621056060516736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64.621056060516736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68.01518455105996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365.41</v>
      </c>
      <c r="AG107" s="12">
        <f>VLOOKUP(A107,'Données projet'!$A$61:$I$81,9,0)</f>
        <v>8.0470000000000024</v>
      </c>
      <c r="AH107" s="12">
        <f t="array" ref="AH107">INDEX(AG:AG,MIN(IF(ISNUMBER(AG107:AG303),ROW(AG107:AG303),"")))</f>
        <v>8.0470000000000024</v>
      </c>
      <c r="AI107" s="13">
        <f>IF('Données projet'!$A$62&gt;35,AI106+AH107-AQ106,IF(A107&lt;'Données projet'!$A$62,$AF$205^A107,IF(A107='Données projet'!$A$62,'Données projet'!$B$62,AI106+AH107-AQ106)))</f>
        <v>365.41000000000048</v>
      </c>
      <c r="AJ107" s="13">
        <f>AI107*VLOOKUP('Données projet'!$B$10,Paramètres!$A$1:$I$89,3,0)*VLOOKUP('Données projet'!$B$10,Paramètres!$A$1:$I$89,5,0)</f>
        <v>353.42455200000046</v>
      </c>
      <c r="AK107" s="13">
        <f t="shared" si="89"/>
        <v>82.267261964148275</v>
      </c>
      <c r="AL107" s="20">
        <f t="shared" si="58"/>
        <v>758.8299093208924</v>
      </c>
      <c r="AM107" s="59">
        <f t="shared" si="59"/>
        <v>1044.8855860081123</v>
      </c>
      <c r="AN107" s="59">
        <f ca="1">AVERAGE(OFFSET($AM$3,0,0,'Données projet'!$E$10+1,1))-AVERAGE(OFFSET($H$3,0,0,'Données projet'!$E$10+1,1))</f>
        <v>641.25537514609562</v>
      </c>
      <c r="AO107" s="59">
        <f t="shared" si="90"/>
        <v>294.69846357521487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0.25800000000000001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61.638545780800555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61.638545780800555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68.01518455105996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9.0474999999999994</v>
      </c>
      <c r="BD107" s="12">
        <f>IF('Données projet'!$A$88&gt;35,BD106+BC107-BL106,IF(A107&lt;'Données projet'!$A$88,$BA$205^A107,IF(A107='Données projet'!$A$88,'Données projet'!$B$88,BD106+BC107-BL106)))</f>
        <v>419.92250000000081</v>
      </c>
      <c r="BE107" s="13">
        <f>BD107*VLOOKUP('Données projet'!$B$11,Paramètres!$A$1:$I$89,3,0)*VLOOKUP('Données projet'!$B$11,Paramètres!$A$1:$I$89,5,0)</f>
        <v>196.52373000000037</v>
      </c>
      <c r="BF107" s="13">
        <f t="shared" si="91"/>
        <v>48.979410913349057</v>
      </c>
      <c r="BG107" s="20">
        <f t="shared" si="61"/>
        <v>427.58463709075022</v>
      </c>
      <c r="BH107" s="59">
        <f t="shared" si="62"/>
        <v>713.64031377797005</v>
      </c>
      <c r="BI107" s="59">
        <f ca="1">AVERAGE(OFFSET($BH$3,0,0,'Données projet'!$E$11+1,1))-AVERAGE(OFFSET($H$3,0,0,'Données projet'!$E$11+1,1))</f>
        <v>351.46787950120347</v>
      </c>
      <c r="BJ107" s="59">
        <f t="shared" si="92"/>
        <v>283.42185695241858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71.940903889383449</v>
      </c>
      <c r="BQ107" s="21">
        <f>EXP(-LN(2)/25)*BQ106+(1-EXP(-LN(2)/25))/(LN(2)/25)*Calculateur!BL107*Calculateur!BN107*VLOOKUP('Données projet'!$B$11,Paramètres!$A$1:$I$89,3,0)*0.475*44/12</f>
        <v>24.769442592289622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96.710346481673071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68.01518455105996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68.01518455105996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68.01518455105996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68.01518455105996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68.01518455105996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68.01518455105996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68.01518455105996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2.4500000000000002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8.9833333333333343</v>
      </c>
      <c r="H108" s="67">
        <f t="shared" si="56"/>
        <v>220.73333333333335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68.049616661716499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7.9349999999999969</v>
      </c>
      <c r="N108" s="13">
        <f>IF('Données projet'!$A$36&gt;35,N107+M108-V107,IF(A108&lt;'Données projet'!$A$36,$K$205^A108,IF(A108='Données projet'!$A$36,'Données projet'!$B$36,N107+M108-V107)))</f>
        <v>313.15500000000048</v>
      </c>
      <c r="O108" s="13">
        <f>N108*VLOOKUP('Données projet'!$B$9,Paramètres!$A$1:$I$89,3,0)*VLOOKUP('Données projet'!$B$9,Paramètres!$A$1:$I$89,5,0)</f>
        <v>317.53917000000052</v>
      </c>
      <c r="P108" s="13">
        <f t="shared" si="87"/>
        <v>74.841100302084755</v>
      </c>
      <c r="Q108" s="20">
        <f t="shared" si="107"/>
        <v>683.39563744279849</v>
      </c>
      <c r="R108" s="59">
        <f t="shared" si="55"/>
        <v>969.5775652024256</v>
      </c>
      <c r="S108" s="59">
        <f ca="1">AVERAGE(OFFSET($R$3,0,0,'Données projet'!$E$9+1,1))-AVERAGE(OFFSET($H$3,0,0,'Données projet'!$E$9+1,1))</f>
        <v>668.93155285055116</v>
      </c>
      <c r="T108" s="59">
        <f t="shared" si="88"/>
        <v>306.43050420339659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63.353876566122295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63.353876566122295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68.049616661716499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7.9349999999999969</v>
      </c>
      <c r="AI108" s="13">
        <f>IF('Données projet'!$A$62&gt;35,AI107+AH108-AQ107,IF(A108&lt;'Données projet'!$A$62,$AF$205^A108,IF(A108='Données projet'!$A$62,'Données projet'!$B$62,AI107+AH108-AQ107)))</f>
        <v>313.15500000000048</v>
      </c>
      <c r="AJ108" s="13">
        <f>AI108*VLOOKUP('Données projet'!$B$10,Paramètres!$A$1:$I$89,3,0)*VLOOKUP('Données projet'!$B$10,Paramètres!$A$1:$I$89,5,0)</f>
        <v>302.88351600000044</v>
      </c>
      <c r="AK108" s="13">
        <f t="shared" si="89"/>
        <v>71.780622233603793</v>
      </c>
      <c r="AL108" s="20">
        <f t="shared" si="58"/>
        <v>652.54004075686078</v>
      </c>
      <c r="AM108" s="59">
        <f t="shared" si="59"/>
        <v>938.721968516488</v>
      </c>
      <c r="AN108" s="59">
        <f ca="1">AVERAGE(OFFSET($AM$3,0,0,'Données projet'!$E$10+1,1))-AVERAGE(OFFSET($H$3,0,0,'Données projet'!$E$10+1,1))</f>
        <v>641.25537514609562</v>
      </c>
      <c r="AO108" s="59">
        <f t="shared" si="90"/>
        <v>294.69846357521487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60.429851493839706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60.429851493839706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68.049616661716499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9.0474999999999994</v>
      </c>
      <c r="BD108" s="12">
        <f>IF('Données projet'!$A$88&gt;35,BD107+BC108-BL107,IF(A108&lt;'Données projet'!$A$88,$BA$205^A108,IF(A108='Données projet'!$A$88,'Données projet'!$B$88,BD107+BC108-BL107)))</f>
        <v>428.97000000000082</v>
      </c>
      <c r="BE108" s="13">
        <f>BD108*VLOOKUP('Données projet'!$B$11,Paramètres!$A$1:$I$89,3,0)*VLOOKUP('Données projet'!$B$11,Paramètres!$A$1:$I$89,5,0)</f>
        <v>200.75796000000039</v>
      </c>
      <c r="BF108" s="13">
        <f t="shared" si="91"/>
        <v>49.910707702719861</v>
      </c>
      <c r="BG108" s="20">
        <f t="shared" si="61"/>
        <v>436.58126291557113</v>
      </c>
      <c r="BH108" s="59">
        <f t="shared" si="62"/>
        <v>722.7631906751983</v>
      </c>
      <c r="BI108" s="59">
        <f ca="1">AVERAGE(OFFSET($BH$3,0,0,'Données projet'!$E$11+1,1))-AVERAGE(OFFSET($H$3,0,0,'Données projet'!$E$11+1,1))</f>
        <v>351.46787950120347</v>
      </c>
      <c r="BJ108" s="59">
        <f t="shared" si="92"/>
        <v>283.42185695241858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70.530186643731255</v>
      </c>
      <c r="BQ108" s="21">
        <f>EXP(-LN(2)/25)*BQ107+(1-EXP(-LN(2)/25))/(LN(2)/25)*Calculateur!BL108*Calculateur!BN108*VLOOKUP('Données projet'!$B$11,Paramètres!$A$1:$I$89,3,0)*0.475*44/12</f>
        <v>24.092120882035086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94.622307525766345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68.049616661716499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68.049616661716499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68.049616661716499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68.049616661716499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68.049616661716499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68.049616661716499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68.049616661716499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2.4500000000000002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8.9833333333333343</v>
      </c>
      <c r="H109" s="67">
        <f t="shared" si="56"/>
        <v>220.73333333333335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68.083451452231799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7.9349999999999969</v>
      </c>
      <c r="N109" s="13">
        <f>IF('Données projet'!$A$36&gt;35,N108+M109-V108,IF(A109&lt;'Données projet'!$A$36,$K$205^A109,IF(A109='Données projet'!$A$36,'Données projet'!$B$36,N108+M109-V108)))</f>
        <v>321.09000000000049</v>
      </c>
      <c r="O109" s="13">
        <f>N109*VLOOKUP('Données projet'!$B$9,Paramètres!$A$1:$I$89,3,0)*VLOOKUP('Données projet'!$B$9,Paramètres!$A$1:$I$89,5,0)</f>
        <v>325.58526000000052</v>
      </c>
      <c r="P109" s="13">
        <f t="shared" si="87"/>
        <v>76.514302718659977</v>
      </c>
      <c r="Q109" s="20">
        <f t="shared" si="107"/>
        <v>700.32340506833361</v>
      </c>
      <c r="R109" s="59">
        <f t="shared" si="55"/>
        <v>986.62939372651681</v>
      </c>
      <c r="S109" s="59">
        <f ca="1">AVERAGE(OFFSET($R$3,0,0,'Données projet'!$E$9+1,1))-AVERAGE(OFFSET($H$3,0,0,'Données projet'!$E$9+1,1))</f>
        <v>668.93155285055116</v>
      </c>
      <c r="T109" s="59">
        <f t="shared" si="88"/>
        <v>306.43050420339659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62.111545688709754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62.111545688709754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68.083451452231799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7.9349999999999969</v>
      </c>
      <c r="AI109" s="13">
        <f>IF('Données projet'!$A$62&gt;35,AI108+AH109-AQ108,IF(A109&lt;'Données projet'!$A$62,$AF$205^A109,IF(A109='Données projet'!$A$62,'Données projet'!$B$62,AI108+AH109-AQ108)))</f>
        <v>321.09000000000049</v>
      </c>
      <c r="AJ109" s="13">
        <f>AI109*VLOOKUP('Données projet'!$B$10,Paramètres!$A$1:$I$89,3,0)*VLOOKUP('Données projet'!$B$10,Paramètres!$A$1:$I$89,5,0)</f>
        <v>310.5582480000005</v>
      </c>
      <c r="AK109" s="13">
        <f t="shared" si="89"/>
        <v>73.385402362433595</v>
      </c>
      <c r="AL109" s="20">
        <f t="shared" si="58"/>
        <v>668.70185771457261</v>
      </c>
      <c r="AM109" s="59">
        <f t="shared" si="59"/>
        <v>955.00784637275592</v>
      </c>
      <c r="AN109" s="59">
        <f ca="1">AVERAGE(OFFSET($AM$3,0,0,'Données projet'!$E$10+1,1))-AVERAGE(OFFSET($H$3,0,0,'Données projet'!$E$10+1,1))</f>
        <v>641.25537514609562</v>
      </c>
      <c r="AO109" s="59">
        <f t="shared" si="90"/>
        <v>294.69846357521487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59.244858964615439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59.244858964615439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68.083451452231799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9.0474999999999994</v>
      </c>
      <c r="BD109" s="12">
        <f>IF('Données projet'!$A$88&gt;35,BD108+BC109-BL108,IF(A109&lt;'Données projet'!$A$88,$BA$205^A109,IF(A109='Données projet'!$A$88,'Données projet'!$B$88,BD108+BC109-BL108)))</f>
        <v>438.01750000000084</v>
      </c>
      <c r="BE109" s="13">
        <f>BD109*VLOOKUP('Données projet'!$B$11,Paramètres!$A$1:$I$89,3,0)*VLOOKUP('Données projet'!$B$11,Paramètres!$A$1:$I$89,5,0)</f>
        <v>204.99219000000039</v>
      </c>
      <c r="BF109" s="13">
        <f t="shared" si="91"/>
        <v>50.839720767115892</v>
      </c>
      <c r="BG109" s="20">
        <f t="shared" si="61"/>
        <v>445.57391125272744</v>
      </c>
      <c r="BH109" s="59">
        <f t="shared" si="62"/>
        <v>731.87989991091069</v>
      </c>
      <c r="BI109" s="59">
        <f ca="1">AVERAGE(OFFSET($BH$3,0,0,'Données projet'!$E$11+1,1))-AVERAGE(OFFSET($H$3,0,0,'Données projet'!$E$11+1,1))</f>
        <v>351.46787950120347</v>
      </c>
      <c r="BJ109" s="59">
        <f t="shared" si="92"/>
        <v>283.42185695241858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69.147132702813749</v>
      </c>
      <c r="BQ109" s="21">
        <f>EXP(-LN(2)/25)*BQ108+(1-EXP(-LN(2)/25))/(LN(2)/25)*Calculateur!BL109*Calculateur!BN109*VLOOKUP('Données projet'!$B$11,Paramètres!$A$1:$I$89,3,0)*0.475*44/12</f>
        <v>23.433320569566263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92.580453272380012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68.083451452231799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68.083451452231799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68.083451452231799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68.083451452231799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68.083451452231799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68.083451452231799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68.083451452231799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2.4500000000000002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8.9833333333333343</v>
      </c>
      <c r="H110" s="67">
        <f t="shared" si="56"/>
        <v>220.73333333333335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68.116699284774938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7.9349999999999969</v>
      </c>
      <c r="N110" s="13">
        <f>IF('Données projet'!$A$36&gt;35,N109+M110-V109,IF(A110&lt;'Données projet'!$A$36,$K$205^A110,IF(A110='Données projet'!$A$36,'Données projet'!$B$36,N109+M110-V109)))</f>
        <v>329.02500000000049</v>
      </c>
      <c r="O110" s="13">
        <f>N110*VLOOKUP('Données projet'!$B$9,Paramètres!$A$1:$I$89,3,0)*VLOOKUP('Données projet'!$B$9,Paramètres!$A$1:$I$89,5,0)</f>
        <v>333.63135000000051</v>
      </c>
      <c r="P110" s="13">
        <f t="shared" si="87"/>
        <v>78.182698470317533</v>
      </c>
      <c r="Q110" s="20">
        <f t="shared" si="107"/>
        <v>717.24280108580388</v>
      </c>
      <c r="R110" s="59">
        <f t="shared" si="55"/>
        <v>1003.670698463312</v>
      </c>
      <c r="S110" s="59">
        <f ca="1">AVERAGE(OFFSET($R$3,0,0,'Données projet'!$E$9+1,1))-AVERAGE(OFFSET($H$3,0,0,'Données projet'!$E$9+1,1))</f>
        <v>668.93155285055116</v>
      </c>
      <c r="T110" s="59">
        <f t="shared" si="88"/>
        <v>306.43050420339659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60.893576162056263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60.893576162056263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68.116699284774938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7.9349999999999969</v>
      </c>
      <c r="AI110" s="13">
        <f>IF('Données projet'!$A$62&gt;35,AI109+AH110-AQ109,IF(A110&lt;'Données projet'!$A$62,$AF$205^A110,IF(A110='Données projet'!$A$62,'Données projet'!$B$62,AI109+AH110-AQ109)))</f>
        <v>329.02500000000049</v>
      </c>
      <c r="AJ110" s="13">
        <f>AI110*VLOOKUP('Données projet'!$B$10,Paramètres!$A$1:$I$89,3,0)*VLOOKUP('Données projet'!$B$10,Paramètres!$A$1:$I$89,5,0)</f>
        <v>318.23298000000051</v>
      </c>
      <c r="AK110" s="13">
        <f t="shared" si="89"/>
        <v>74.985572385355411</v>
      </c>
      <c r="AL110" s="20">
        <f t="shared" si="58"/>
        <v>684.85564540449479</v>
      </c>
      <c r="AM110" s="59">
        <f t="shared" si="59"/>
        <v>971.28354278200288</v>
      </c>
      <c r="AN110" s="59">
        <f ca="1">AVERAGE(OFFSET($AM$3,0,0,'Données projet'!$E$10+1,1))-AVERAGE(OFFSET($H$3,0,0,'Données projet'!$E$10+1,1))</f>
        <v>641.25537514609562</v>
      </c>
      <c r="AO110" s="59">
        <f t="shared" si="90"/>
        <v>294.69846357521487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58.083103416115186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58.083103416115186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68.116699284774938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9.0474999999999994</v>
      </c>
      <c r="BD110" s="12">
        <f>IF('Données projet'!$A$88&gt;35,BD109+BC110-BL109,IF(A110&lt;'Données projet'!$A$88,$BA$205^A110,IF(A110='Données projet'!$A$88,'Données projet'!$B$88,BD109+BC110-BL109)))</f>
        <v>447.06500000000085</v>
      </c>
      <c r="BE110" s="13">
        <f>BD110*VLOOKUP('Données projet'!$B$11,Paramètres!$A$1:$I$89,3,0)*VLOOKUP('Données projet'!$B$11,Paramètres!$A$1:$I$89,5,0)</f>
        <v>209.22642000000042</v>
      </c>
      <c r="BF110" s="13">
        <f t="shared" si="91"/>
        <v>51.76650271324506</v>
      </c>
      <c r="BG110" s="20">
        <f t="shared" si="61"/>
        <v>454.56267372556914</v>
      </c>
      <c r="BH110" s="59">
        <f t="shared" si="62"/>
        <v>740.99057110307717</v>
      </c>
      <c r="BI110" s="59">
        <f ca="1">AVERAGE(OFFSET($BH$3,0,0,'Données projet'!$E$11+1,1))-AVERAGE(OFFSET($H$3,0,0,'Données projet'!$E$11+1,1))</f>
        <v>351.46787950120347</v>
      </c>
      <c r="BJ110" s="59">
        <f t="shared" si="92"/>
        <v>283.42185695241858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67.791199606098033</v>
      </c>
      <c r="BQ110" s="21">
        <f>EXP(-LN(2)/25)*BQ109+(1-EXP(-LN(2)/25))/(LN(2)/25)*Calculateur!BL110*Calculateur!BN110*VLOOKUP('Données projet'!$B$11,Paramètres!$A$1:$I$89,3,0)*0.475*44/12</f>
        <v>22.792535186286702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90.583734792384732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68.116699284774938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68.116699284774938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68.116699284774938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68.116699284774938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68.116699284774938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68.116699284774938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68.116699284774938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2.4500000000000002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8.9833333333333343</v>
      </c>
      <c r="H111" s="67">
        <f t="shared" si="56"/>
        <v>220.73333333333335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68.149370341754462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7.9349999999999969</v>
      </c>
      <c r="N111" s="13">
        <f>IF('Données projet'!$A$36&gt;35,N110+M111-V110,IF(A111&lt;'Données projet'!$A$36,$K$205^A111,IF(A111='Données projet'!$A$36,'Données projet'!$B$36,N110+M111-V110)))</f>
        <v>336.96000000000049</v>
      </c>
      <c r="O111" s="13">
        <f>N111*VLOOKUP('Données projet'!$B$9,Paramètres!$A$1:$I$89,3,0)*VLOOKUP('Données projet'!$B$9,Paramètres!$A$1:$I$89,5,0)</f>
        <v>341.6774400000005</v>
      </c>
      <c r="P111" s="13">
        <f t="shared" si="87"/>
        <v>79.846416815053246</v>
      </c>
      <c r="Q111" s="20">
        <f t="shared" si="107"/>
        <v>734.15405061955198</v>
      </c>
      <c r="R111" s="59">
        <f t="shared" si="55"/>
        <v>1020.7017418726516</v>
      </c>
      <c r="S111" s="59">
        <f ca="1">AVERAGE(OFFSET($R$3,0,0,'Données projet'!$E$9+1,1))-AVERAGE(OFFSET($H$3,0,0,'Données projet'!$E$9+1,1))</f>
        <v>668.93155285055116</v>
      </c>
      <c r="T111" s="59">
        <f t="shared" si="88"/>
        <v>306.43050420339659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59.699490274932387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59.699490274932387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68.149370341754462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7.9349999999999969</v>
      </c>
      <c r="AI111" s="13">
        <f>IF('Données projet'!$A$62&gt;35,AI110+AH111-AQ110,IF(A111&lt;'Données projet'!$A$62,$AF$205^A111,IF(A111='Données projet'!$A$62,'Données projet'!$B$62,AI110+AH111-AQ110)))</f>
        <v>336.96000000000049</v>
      </c>
      <c r="AJ111" s="13">
        <f>AI111*VLOOKUP('Données projet'!$B$10,Paramètres!$A$1:$I$89,3,0)*VLOOKUP('Données projet'!$B$10,Paramètres!$A$1:$I$89,5,0)</f>
        <v>325.90771200000052</v>
      </c>
      <c r="AK111" s="13">
        <f t="shared" si="89"/>
        <v>76.581256274616251</v>
      </c>
      <c r="AL111" s="20">
        <f t="shared" si="58"/>
        <v>701.00161974495734</v>
      </c>
      <c r="AM111" s="59">
        <f t="shared" si="59"/>
        <v>987.54931099805708</v>
      </c>
      <c r="AN111" s="59">
        <f ca="1">AVERAGE(OFFSET($AM$3,0,0,'Données projet'!$E$10+1,1))-AVERAGE(OFFSET($H$3,0,0,'Données projet'!$E$10+1,1))</f>
        <v>641.25537514609562</v>
      </c>
      <c r="AO111" s="59">
        <f t="shared" si="90"/>
        <v>294.69846357521487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56.944129185320108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56.944129185320108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68.149370341754462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9.0474999999999994</v>
      </c>
      <c r="BD111" s="12">
        <f>IF('Données projet'!$A$88&gt;35,BD110+BC111-BL110,IF(A111&lt;'Données projet'!$A$88,$BA$205^A111,IF(A111='Données projet'!$A$88,'Données projet'!$B$88,BD110+BC111-BL110)))</f>
        <v>456.11250000000086</v>
      </c>
      <c r="BE111" s="13">
        <f>BD111*VLOOKUP('Données projet'!$B$11,Paramètres!$A$1:$I$89,3,0)*VLOOKUP('Données projet'!$B$11,Paramètres!$A$1:$I$89,5,0)</f>
        <v>213.46065000000041</v>
      </c>
      <c r="BF111" s="13">
        <f t="shared" si="91"/>
        <v>52.691103896821531</v>
      </c>
      <c r="BG111" s="20">
        <f t="shared" si="61"/>
        <v>463.54763803696488</v>
      </c>
      <c r="BH111" s="59">
        <f t="shared" si="62"/>
        <v>750.09532929006457</v>
      </c>
      <c r="BI111" s="59">
        <f ca="1">AVERAGE(OFFSET($BH$3,0,0,'Données projet'!$E$11+1,1))-AVERAGE(OFFSET($H$3,0,0,'Données projet'!$E$11+1,1))</f>
        <v>351.46787950120347</v>
      </c>
      <c r="BJ111" s="59">
        <f t="shared" si="92"/>
        <v>283.42185695241858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66.46185553037138</v>
      </c>
      <c r="BQ111" s="21">
        <f>EXP(-LN(2)/25)*BQ110+(1-EXP(-LN(2)/25))/(LN(2)/25)*Calculateur!BL111*Calculateur!BN111*VLOOKUP('Données projet'!$B$11,Paramètres!$A$1:$I$89,3,0)*0.475*44/12</f>
        <v>22.169272113010361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88.631127643381745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68.149370341754462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68.149370341754462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68.149370341754462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68.149370341754462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68.149370341754462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68.149370341754462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68.149370341754462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2.4500000000000002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8.9833333333333343</v>
      </c>
      <c r="H112" s="67">
        <f t="shared" si="56"/>
        <v>220.73333333333335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68.18147462893694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7.9349999999999969</v>
      </c>
      <c r="N112" s="13">
        <f>IF('Données projet'!$A$36&gt;35,N111+M112-V111,IF(A112&lt;'Données projet'!$A$36,$K$205^A112,IF(A112='Données projet'!$A$36,'Données projet'!$B$36,N111+M112-V111)))</f>
        <v>344.89500000000049</v>
      </c>
      <c r="O112" s="13">
        <f>N112*VLOOKUP('Données projet'!$B$9,Paramètres!$A$1:$I$89,3,0)*VLOOKUP('Données projet'!$B$9,Paramètres!$A$1:$I$89,5,0)</f>
        <v>349.72353000000055</v>
      </c>
      <c r="P112" s="13">
        <f t="shared" si="87"/>
        <v>81.505580575848711</v>
      </c>
      <c r="Q112" s="20">
        <f t="shared" si="107"/>
        <v>751.05736758627074</v>
      </c>
      <c r="R112" s="59">
        <f t="shared" si="55"/>
        <v>1037.7227745590394</v>
      </c>
      <c r="S112" s="59">
        <f ca="1">AVERAGE(OFFSET($R$3,0,0,'Données projet'!$E$9+1,1))-AVERAGE(OFFSET($H$3,0,0,'Données projet'!$E$9+1,1))</f>
        <v>668.93155285055116</v>
      </c>
      <c r="T112" s="59">
        <f t="shared" si="88"/>
        <v>306.43050420339659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58.52881968373454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58.52881968373454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68.18147462893694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7.9349999999999969</v>
      </c>
      <c r="AI112" s="13">
        <f>IF('Données projet'!$A$62&gt;35,AI111+AH112-AQ111,IF(A112&lt;'Données projet'!$A$62,$AF$205^A112,IF(A112='Données projet'!$A$62,'Données projet'!$B$62,AI111+AH112-AQ111)))</f>
        <v>344.89500000000049</v>
      </c>
      <c r="AJ112" s="13">
        <f>AI112*VLOOKUP('Données projet'!$B$10,Paramètres!$A$1:$I$89,3,0)*VLOOKUP('Données projet'!$B$10,Paramètres!$A$1:$I$89,5,0)</f>
        <v>333.58244400000052</v>
      </c>
      <c r="AK112" s="13">
        <f t="shared" si="89"/>
        <v>78.172571830595942</v>
      </c>
      <c r="AL112" s="20">
        <f t="shared" si="58"/>
        <v>717.13998590495532</v>
      </c>
      <c r="AM112" s="59">
        <f t="shared" si="59"/>
        <v>1003.8053928777241</v>
      </c>
      <c r="AN112" s="59">
        <f ca="1">AVERAGE(OFFSET($AM$3,0,0,'Données projet'!$E$10+1,1))-AVERAGE(OFFSET($H$3,0,0,'Données projet'!$E$10+1,1))</f>
        <v>641.25537514609562</v>
      </c>
      <c r="AO112" s="59">
        <f t="shared" si="90"/>
        <v>294.69846357521487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55.827489544485232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55.827489544485232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68.18147462893694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>
        <f>VLOOKUP(A112,'Données projet'!$A$87:$I$107,2,0)</f>
        <v>465.16</v>
      </c>
      <c r="BB112" s="12">
        <f>VLOOKUP(A112,'Données projet'!$A$87:$I$107,9,0)</f>
        <v>9.0474999999999994</v>
      </c>
      <c r="BC112" s="12">
        <f t="array" ref="BC112">INDEX(BB:BB,MIN(IF(ISNUMBER(BB112:BB308),ROW(BB112:BB308),"")))</f>
        <v>9.0474999999999994</v>
      </c>
      <c r="BD112" s="12">
        <f>IF('Données projet'!$A$88&gt;35,BD111+BC112-BL111,IF(A112&lt;'Données projet'!$A$88,$BA$205^A112,IF(A112='Données projet'!$A$88,'Données projet'!$B$88,BD111+BC112-BL111)))</f>
        <v>465.16000000000088</v>
      </c>
      <c r="BE112" s="13">
        <f>BD112*VLOOKUP('Données projet'!$B$11,Paramètres!$A$1:$I$89,3,0)*VLOOKUP('Données projet'!$B$11,Paramètres!$A$1:$I$89,5,0)</f>
        <v>217.69488000000038</v>
      </c>
      <c r="BF112" s="13">
        <f t="shared" si="91"/>
        <v>53.613572561591781</v>
      </c>
      <c r="BG112" s="20">
        <f t="shared" si="61"/>
        <v>472.52888821143966</v>
      </c>
      <c r="BH112" s="59">
        <f t="shared" si="62"/>
        <v>759.19429518420839</v>
      </c>
      <c r="BI112" s="59">
        <f ca="1">AVERAGE(OFFSET($BH$3,0,0,'Données projet'!$E$11+1,1))-AVERAGE(OFFSET($H$3,0,0,'Données projet'!$E$11+1,1))</f>
        <v>351.46787950120347</v>
      </c>
      <c r="BJ112" s="59">
        <f t="shared" si="92"/>
        <v>283.42185695241858</v>
      </c>
      <c r="BK112" s="15">
        <f>IF(ISNA(VLOOKUP(A112,'Données projet'!$A$87:$I$107,3,0)),0,VLOOKUP(A112,'Données projet'!$A$87:$I$107,3,0))</f>
        <v>6</v>
      </c>
      <c r="BL112" s="15">
        <f>IF(ISNA(VLOOKUP(A112,'Données projet'!$A$87:$I$107,4,0)),0,VLOOKUP(A112,'Données projet'!$A$87:$I$107,4,0))</f>
        <v>91.09</v>
      </c>
      <c r="BM112" s="16">
        <f>IF(ISNA(VLOOKUP(A112,'Données projet'!$A$87:$I$107,5,0)),0%,VLOOKUP(A112,'Données projet'!$A$87:$I$107,5,0)*VLOOKUP('Données projet'!$B$11,Paramètres!$A$1:$I$89,7,0))</f>
        <v>0.38500000000000001</v>
      </c>
      <c r="BN112" s="16">
        <f>IF(ISNA(VLOOKUP(A112,'Données projet'!$A$87:$I$107,6,0)),0%,VLOOKUP(A112,'Données projet'!$A$87:$I$107,6,0)*VLOOKUP('Données projet'!$B$11,Paramètres!$A$1:$I$89,7,0))</f>
        <v>0.16500000000000001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86.930945821551987</v>
      </c>
      <c r="BQ112" s="21">
        <f>EXP(-LN(2)/25)*BQ111+(1-EXP(-LN(2)/25))/(LN(2)/25)*Calculateur!BL112*Calculateur!BN112*VLOOKUP('Données projet'!$B$11,Paramètres!$A$1:$I$89,3,0)*0.475*44/12</f>
        <v>30.857326759801449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117.78827258135344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68.18147462893694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68.18147462893694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68.18147462893694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68.18147462893694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68.18147462893694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68.18147462893694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68.18147462893694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2.4500000000000002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8.9833333333333343</v>
      </c>
      <c r="H113" s="67">
        <f t="shared" si="56"/>
        <v>220.73333333333335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68.213021978511222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7.9349999999999969</v>
      </c>
      <c r="N113" s="13">
        <f>IF('Données projet'!$A$36&gt;35,N112+M113-V112,IF(A113&lt;'Données projet'!$A$36,$K$205^A113,IF(A113='Données projet'!$A$36,'Données projet'!$B$36,N112+M113-V112)))</f>
        <v>352.8300000000005</v>
      </c>
      <c r="O113" s="13">
        <f>N113*VLOOKUP('Données projet'!$B$9,Paramètres!$A$1:$I$89,3,0)*VLOOKUP('Données projet'!$B$9,Paramètres!$A$1:$I$89,5,0)</f>
        <v>357.76962000000054</v>
      </c>
      <c r="P113" s="13">
        <f t="shared" si="87"/>
        <v>83.160306601601619</v>
      </c>
      <c r="Q113" s="20">
        <f t="shared" si="107"/>
        <v>767.95295549779041</v>
      </c>
      <c r="R113" s="59">
        <f t="shared" si="55"/>
        <v>1054.7340360856649</v>
      </c>
      <c r="S113" s="59">
        <f ca="1">AVERAGE(OFFSET($R$3,0,0,'Données projet'!$E$9+1,1))-AVERAGE(OFFSET($H$3,0,0,'Données projet'!$E$9+1,1))</f>
        <v>668.93155285055116</v>
      </c>
      <c r="T113" s="59">
        <f t="shared" si="88"/>
        <v>306.43050420339659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57.381105228791526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57.381105228791526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68.213021978511222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7.9349999999999969</v>
      </c>
      <c r="AI113" s="13">
        <f>IF('Données projet'!$A$62&gt;35,AI112+AH113-AQ112,IF(A113&lt;'Données projet'!$A$62,$AF$205^A113,IF(A113='Données projet'!$A$62,'Données projet'!$B$62,AI112+AH113-AQ112)))</f>
        <v>352.8300000000005</v>
      </c>
      <c r="AJ113" s="13">
        <f>AI113*VLOOKUP('Données projet'!$B$10,Paramètres!$A$1:$I$89,3,0)*VLOOKUP('Données projet'!$B$10,Paramètres!$A$1:$I$89,5,0)</f>
        <v>341.25717600000047</v>
      </c>
      <c r="AK113" s="13">
        <f t="shared" si="89"/>
        <v>79.759631123888809</v>
      </c>
      <c r="AL113" s="20">
        <f t="shared" si="58"/>
        <v>733.2709390741071</v>
      </c>
      <c r="AM113" s="59">
        <f t="shared" si="59"/>
        <v>1020.0520196619816</v>
      </c>
      <c r="AN113" s="59">
        <f ca="1">AVERAGE(OFFSET($AM$3,0,0,'Données projet'!$E$10+1,1))-AVERAGE(OFFSET($H$3,0,0,'Données projet'!$E$10+1,1))</f>
        <v>641.25537514609562</v>
      </c>
      <c r="AO113" s="59">
        <f t="shared" si="90"/>
        <v>294.69846357521487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54.732746525924199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54.732746525924199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68.213021978511222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8.0958333333333314</v>
      </c>
      <c r="BD113" s="12">
        <f>IF('Données projet'!$A$88&gt;35,BD112+BC113-BL112,IF(A113&lt;'Données projet'!$A$88,$BA$205^A113,IF(A113='Données projet'!$A$88,'Données projet'!$B$88,BD112+BC113-BL112)))</f>
        <v>382.16583333333415</v>
      </c>
      <c r="BE113" s="13">
        <f>BD113*VLOOKUP('Données projet'!$B$11,Paramètres!$A$1:$I$89,3,0)*VLOOKUP('Données projet'!$B$11,Paramètres!$A$1:$I$89,5,0)</f>
        <v>178.85361000000037</v>
      </c>
      <c r="BF113" s="13">
        <f t="shared" si="91"/>
        <v>45.067040749095575</v>
      </c>
      <c r="BG113" s="20">
        <f t="shared" si="61"/>
        <v>389.99513338800875</v>
      </c>
      <c r="BH113" s="59">
        <f t="shared" si="62"/>
        <v>676.77621397588314</v>
      </c>
      <c r="BI113" s="59">
        <f ca="1">AVERAGE(OFFSET($BH$3,0,0,'Données projet'!$E$11+1,1))-AVERAGE(OFFSET($H$3,0,0,'Données projet'!$E$11+1,1))</f>
        <v>351.46787950120347</v>
      </c>
      <c r="BJ113" s="59">
        <f t="shared" si="92"/>
        <v>283.42185695241858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85.226282996632747</v>
      </c>
      <c r="BQ113" s="21">
        <f>EXP(-LN(2)/25)*BQ112+(1-EXP(-LN(2)/25))/(LN(2)/25)*Calculateur!BL113*Calculateur!BN113*VLOOKUP('Données projet'!$B$11,Paramètres!$A$1:$I$89,3,0)*0.475*44/12</f>
        <v>30.013531536838389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115.23981453347113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68.213021978511222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68.213021978511222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68.213021978511222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68.213021978511222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68.213021978511222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68.213021978511222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68.213021978511222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2.4500000000000002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8.9833333333333343</v>
      </c>
      <c r="H114" s="67">
        <f t="shared" si="56"/>
        <v>220.73333333333335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68.244022052099695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7.9349999999999969</v>
      </c>
      <c r="N114" s="13">
        <f>IF('Données projet'!$A$36&gt;35,N113+M114-V113,IF(A114&lt;'Données projet'!$A$36,$K$205^A114,IF(A114='Données projet'!$A$36,'Données projet'!$B$36,N113+M114-V113)))</f>
        <v>360.7650000000005</v>
      </c>
      <c r="O114" s="13">
        <f>N114*VLOOKUP('Données projet'!$B$9,Paramètres!$A$1:$I$89,3,0)*VLOOKUP('Données projet'!$B$9,Paramètres!$A$1:$I$89,5,0)</f>
        <v>365.81571000000054</v>
      </c>
      <c r="P114" s="13">
        <f t="shared" si="87"/>
        <v>84.810706185422944</v>
      </c>
      <c r="Q114" s="20">
        <f t="shared" si="107"/>
        <v>784.84100818961235</v>
      </c>
      <c r="R114" s="59">
        <f t="shared" si="55"/>
        <v>1071.7357557139778</v>
      </c>
      <c r="S114" s="59">
        <f ca="1">AVERAGE(OFFSET($R$3,0,0,'Données projet'!$E$9+1,1))-AVERAGE(OFFSET($H$3,0,0,'Données projet'!$E$9+1,1))</f>
        <v>668.93155285055116</v>
      </c>
      <c r="T114" s="59">
        <f t="shared" si="88"/>
        <v>306.43050420339659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56.255896754273245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56.255896754273245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68.244022052099695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7.9349999999999969</v>
      </c>
      <c r="AI114" s="13">
        <f>IF('Données projet'!$A$62&gt;35,AI113+AH114-AQ113,IF(A114&lt;'Données projet'!$A$62,$AF$205^A114,IF(A114='Données projet'!$A$62,'Données projet'!$B$62,AI113+AH114-AQ113)))</f>
        <v>360.7650000000005</v>
      </c>
      <c r="AJ114" s="13">
        <f>AI114*VLOOKUP('Données projet'!$B$10,Paramètres!$A$1:$I$89,3,0)*VLOOKUP('Données projet'!$B$10,Paramètres!$A$1:$I$89,5,0)</f>
        <v>348.93190800000048</v>
      </c>
      <c r="AK114" s="13">
        <f t="shared" si="89"/>
        <v>81.342540896495009</v>
      </c>
      <c r="AL114" s="20">
        <f t="shared" si="58"/>
        <v>749.39466516139635</v>
      </c>
      <c r="AM114" s="59">
        <f t="shared" si="59"/>
        <v>1036.2894126857618</v>
      </c>
      <c r="AN114" s="59">
        <f ca="1">AVERAGE(OFFSET($AM$3,0,0,'Données projet'!$E$10+1,1))-AVERAGE(OFFSET($H$3,0,0,'Données projet'!$E$10+1,1))</f>
        <v>641.25537514609562</v>
      </c>
      <c r="AO114" s="59">
        <f t="shared" si="90"/>
        <v>294.69846357521487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53.659470750229843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53.659470750229843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68.244022052099695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8.0958333333333314</v>
      </c>
      <c r="BD114" s="12">
        <f>IF('Données projet'!$A$88&gt;35,BD113+BC114-BL113,IF(A114&lt;'Données projet'!$A$88,$BA$205^A114,IF(A114='Données projet'!$A$88,'Données projet'!$B$88,BD113+BC114-BL113)))</f>
        <v>390.26166666666745</v>
      </c>
      <c r="BE114" s="13">
        <f>BD114*VLOOKUP('Données projet'!$B$11,Paramètres!$A$1:$I$89,3,0)*VLOOKUP('Données projet'!$B$11,Paramètres!$A$1:$I$89,5,0)</f>
        <v>182.6424600000004</v>
      </c>
      <c r="BF114" s="13">
        <f t="shared" si="91"/>
        <v>45.909585257164984</v>
      </c>
      <c r="BG114" s="20">
        <f t="shared" si="61"/>
        <v>398.06147882289639</v>
      </c>
      <c r="BH114" s="59">
        <f t="shared" si="62"/>
        <v>684.95622634726192</v>
      </c>
      <c r="BI114" s="59">
        <f ca="1">AVERAGE(OFFSET($BH$3,0,0,'Données projet'!$E$11+1,1))-AVERAGE(OFFSET($H$3,0,0,'Données projet'!$E$11+1,1))</f>
        <v>351.46787950120347</v>
      </c>
      <c r="BJ114" s="59">
        <f t="shared" si="92"/>
        <v>283.42185695241858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83.555047569968522</v>
      </c>
      <c r="BQ114" s="21">
        <f>EXP(-LN(2)/25)*BQ113+(1-EXP(-LN(2)/25))/(LN(2)/25)*Calculateur!BL114*Calculateur!BN114*VLOOKUP('Données projet'!$B$11,Paramètres!$A$1:$I$89,3,0)*0.475*44/12</f>
        <v>29.192809938620517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112.74785750858904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68.244022052099695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68.244022052099695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68.244022052099695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68.244022052099695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68.244022052099695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68.244022052099695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68.244022052099695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2.4500000000000002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8.9833333333333343</v>
      </c>
      <c r="H115" s="67">
        <f t="shared" si="56"/>
        <v>220.73333333333335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68.274484343717205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7.9349999999999969</v>
      </c>
      <c r="N115" s="13">
        <f>IF('Données projet'!$A$36&gt;35,N114+M115-V114,IF(A115&lt;'Données projet'!$A$36,$K$205^A115,IF(A115='Données projet'!$A$36,'Données projet'!$B$36,N114+M115-V114)))</f>
        <v>368.7000000000005</v>
      </c>
      <c r="O115" s="13">
        <f>N115*VLOOKUP('Données projet'!$B$9,Paramètres!$A$1:$I$89,3,0)*VLOOKUP('Données projet'!$B$9,Paramètres!$A$1:$I$89,5,0)</f>
        <v>373.86180000000053</v>
      </c>
      <c r="P115" s="13">
        <f t="shared" si="87"/>
        <v>86.456885445094045</v>
      </c>
      <c r="Q115" s="20">
        <f t="shared" si="107"/>
        <v>801.7217104835396</v>
      </c>
      <c r="R115" s="59">
        <f t="shared" si="55"/>
        <v>1088.7281530771693</v>
      </c>
      <c r="S115" s="59">
        <f ca="1">AVERAGE(OFFSET($R$3,0,0,'Données projet'!$E$9+1,1))-AVERAGE(OFFSET($H$3,0,0,'Données projet'!$E$9+1,1))</f>
        <v>668.93155285055116</v>
      </c>
      <c r="T115" s="59">
        <f t="shared" si="88"/>
        <v>306.43050420339659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55.152752931630864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55.152752931630864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68.274484343717205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7.9349999999999969</v>
      </c>
      <c r="AI115" s="13">
        <f>IF('Données projet'!$A$62&gt;35,AI114+AH115-AQ114,IF(A115&lt;'Données projet'!$A$62,$AF$205^A115,IF(A115='Données projet'!$A$62,'Données projet'!$B$62,AI114+AH115-AQ114)))</f>
        <v>368.7000000000005</v>
      </c>
      <c r="AJ115" s="13">
        <f>AI115*VLOOKUP('Données projet'!$B$10,Paramètres!$A$1:$I$89,3,0)*VLOOKUP('Données projet'!$B$10,Paramètres!$A$1:$I$89,5,0)</f>
        <v>356.60664000000048</v>
      </c>
      <c r="AK115" s="13">
        <f t="shared" si="89"/>
        <v>82.921402926720376</v>
      </c>
      <c r="AL115" s="20">
        <f t="shared" si="58"/>
        <v>765.51134143070556</v>
      </c>
      <c r="AM115" s="59">
        <f t="shared" si="59"/>
        <v>1052.5177840243352</v>
      </c>
      <c r="AN115" s="59">
        <f ca="1">AVERAGE(OFFSET($AM$3,0,0,'Données projet'!$E$10+1,1))-AVERAGE(OFFSET($H$3,0,0,'Données projet'!$E$10+1,1))</f>
        <v>641.25537514609562</v>
      </c>
      <c r="AO115" s="59">
        <f t="shared" si="90"/>
        <v>294.69846357521487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52.607241257863272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52.607241257863272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68.274484343717205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8.0958333333333314</v>
      </c>
      <c r="BD115" s="12">
        <f>IF('Données projet'!$A$88&gt;35,BD114+BC115-BL114,IF(A115&lt;'Données projet'!$A$88,$BA$205^A115,IF(A115='Données projet'!$A$88,'Données projet'!$B$88,BD114+BC115-BL114)))</f>
        <v>398.35750000000075</v>
      </c>
      <c r="BE115" s="13">
        <f>BD115*VLOOKUP('Données projet'!$B$11,Paramètres!$A$1:$I$89,3,0)*VLOOKUP('Données projet'!$B$11,Paramètres!$A$1:$I$89,5,0)</f>
        <v>186.43131000000037</v>
      </c>
      <c r="BF115" s="13">
        <f t="shared" si="91"/>
        <v>46.750097594518834</v>
      </c>
      <c r="BG115" s="20">
        <f t="shared" si="61"/>
        <v>406.12428489378766</v>
      </c>
      <c r="BH115" s="59">
        <f t="shared" si="62"/>
        <v>693.1307274874174</v>
      </c>
      <c r="BI115" s="59">
        <f ca="1">AVERAGE(OFFSET($BH$3,0,0,'Données projet'!$E$11+1,1))-AVERAGE(OFFSET($H$3,0,0,'Données projet'!$E$11+1,1))</f>
        <v>351.46787950120347</v>
      </c>
      <c r="BJ115" s="59">
        <f t="shared" si="92"/>
        <v>283.42185695241858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81.91658405066822</v>
      </c>
      <c r="BQ115" s="21">
        <f>EXP(-LN(2)/25)*BQ114+(1-EXP(-LN(2)/25))/(LN(2)/25)*Calculateur!BL115*Calculateur!BN115*VLOOKUP('Données projet'!$B$11,Paramètres!$A$1:$I$89,3,0)*0.475*44/12</f>
        <v>28.394531015665784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110.311115066334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68.274484343717205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68.274484343717205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68.274484343717205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68.274484343717205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68.274484343717205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68.274484343717205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68.274484343717205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2.4500000000000002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8.9833333333333343</v>
      </c>
      <c r="H116" s="67">
        <f t="shared" si="56"/>
        <v>220.73333333333335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68.304418182678631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7.9349999999999969</v>
      </c>
      <c r="N116" s="13">
        <f>IF('Données projet'!$A$36&gt;35,N115+M116-V115,IF(A116&lt;'Données projet'!$A$36,$K$205^A116,IF(A116='Données projet'!$A$36,'Données projet'!$B$36,N115+M116-V115)))</f>
        <v>376.6350000000005</v>
      </c>
      <c r="O116" s="13">
        <f>N116*VLOOKUP('Données projet'!$B$9,Paramètres!$A$1:$I$89,3,0)*VLOOKUP('Données projet'!$B$9,Paramètres!$A$1:$I$89,5,0)</f>
        <v>381.90789000000052</v>
      </c>
      <c r="P116" s="13">
        <f t="shared" si="87"/>
        <v>88.098945669848248</v>
      </c>
      <c r="Q116" s="20">
        <f t="shared" si="107"/>
        <v>818.59523879165329</v>
      </c>
      <c r="R116" s="59">
        <f t="shared" si="55"/>
        <v>1105.7114387948081</v>
      </c>
      <c r="S116" s="59">
        <f ca="1">AVERAGE(OFFSET($R$3,0,0,'Données projet'!$E$9+1,1))-AVERAGE(OFFSET($H$3,0,0,'Données projet'!$E$9+1,1))</f>
        <v>668.93155285055116</v>
      </c>
      <c r="T116" s="59">
        <f t="shared" si="88"/>
        <v>306.43050420339659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54.071241086499214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54.071241086499214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68.304418182678631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7.9349999999999969</v>
      </c>
      <c r="AI116" s="13">
        <f>IF('Données projet'!$A$62&gt;35,AI115+AH116-AQ115,IF(A116&lt;'Données projet'!$A$62,$AF$205^A116,IF(A116='Données projet'!$A$62,'Données projet'!$B$62,AI115+AH116-AQ115)))</f>
        <v>376.6350000000005</v>
      </c>
      <c r="AJ116" s="13">
        <f>AI116*VLOOKUP('Données projet'!$B$10,Paramètres!$A$1:$I$89,3,0)*VLOOKUP('Données projet'!$B$10,Paramètres!$A$1:$I$89,5,0)</f>
        <v>364.28137200000049</v>
      </c>
      <c r="AK116" s="13">
        <f t="shared" si="89"/>
        <v>84.496314361776058</v>
      </c>
      <c r="AL116" s="20">
        <f t="shared" si="58"/>
        <v>781.62113708009417</v>
      </c>
      <c r="AM116" s="59">
        <f t="shared" si="59"/>
        <v>1068.7373370832493</v>
      </c>
      <c r="AN116" s="59">
        <f ca="1">AVERAGE(OFFSET($AM$3,0,0,'Données projet'!$E$10+1,1))-AVERAGE(OFFSET($H$3,0,0,'Données projet'!$E$10+1,1))</f>
        <v>641.25537514609562</v>
      </c>
      <c r="AO116" s="59">
        <f t="shared" si="90"/>
        <v>294.69846357521487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51.575645344045391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51.575645344045391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68.304418182678631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8.0958333333333314</v>
      </c>
      <c r="BD116" s="12">
        <f>IF('Données projet'!$A$88&gt;35,BD115+BC116-BL115,IF(A116&lt;'Données projet'!$A$88,$BA$205^A116,IF(A116='Données projet'!$A$88,'Données projet'!$B$88,BD115+BC116-BL115)))</f>
        <v>406.45333333333406</v>
      </c>
      <c r="BE116" s="13">
        <f>BD116*VLOOKUP('Données projet'!$B$11,Paramètres!$A$1:$I$89,3,0)*VLOOKUP('Données projet'!$B$11,Paramètres!$A$1:$I$89,5,0)</f>
        <v>190.22016000000033</v>
      </c>
      <c r="BF116" s="13">
        <f t="shared" si="91"/>
        <v>47.58862382024622</v>
      </c>
      <c r="BG116" s="20">
        <f t="shared" si="61"/>
        <v>414.18363182026269</v>
      </c>
      <c r="BH116" s="59">
        <f t="shared" si="62"/>
        <v>701.29983182341766</v>
      </c>
      <c r="BI116" s="59">
        <f ca="1">AVERAGE(OFFSET($BH$3,0,0,'Données projet'!$E$11+1,1))-AVERAGE(OFFSET($H$3,0,0,'Données projet'!$E$11+1,1))</f>
        <v>351.46787950120347</v>
      </c>
      <c r="BJ116" s="59">
        <f t="shared" si="92"/>
        <v>283.42185695241858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80.310249801617331</v>
      </c>
      <c r="BQ116" s="21">
        <f>EXP(-LN(2)/25)*BQ115+(1-EXP(-LN(2)/25))/(LN(2)/25)*Calculateur!BL116*Calculateur!BN116*VLOOKUP('Données projet'!$B$11,Paramètres!$A$1:$I$89,3,0)*0.475*44/12</f>
        <v>27.618081071838912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107.92833087345625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68.304418182678631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68.304418182678631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68.304418182678631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68.304418182678631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68.304418182678631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68.304418182678631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68.304418182678631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2.4500000000000002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8.9833333333333343</v>
      </c>
      <c r="H117" s="67">
        <f t="shared" si="56"/>
        <v>220.73333333333335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68.333832736456088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384.57</v>
      </c>
      <c r="L117" s="12">
        <f>VLOOKUP(A117,'Données projet'!$A$35:$I$55,9,0)</f>
        <v>7.9349999999999969</v>
      </c>
      <c r="M117" s="12">
        <f t="array" ref="M117">INDEX(L:L,MIN(IF(ISNUMBER(L117:L313),ROW(L117:L313),"")))</f>
        <v>7.9349999999999969</v>
      </c>
      <c r="N117" s="13">
        <f>IF('Données projet'!$A$36&gt;35,N116+M117-V116,IF(A117&lt;'Données projet'!$A$36,$K$205^A117,IF(A117='Données projet'!$A$36,'Données projet'!$B$36,N116+M117-V116)))</f>
        <v>384.5700000000005</v>
      </c>
      <c r="O117" s="13">
        <f>N117*VLOOKUP('Données projet'!$B$9,Paramètres!$A$1:$I$89,3,0)*VLOOKUP('Données projet'!$B$9,Paramètres!$A$1:$I$89,5,0)</f>
        <v>389.95398000000051</v>
      </c>
      <c r="P117" s="13">
        <f t="shared" si="87"/>
        <v>89.736983637102725</v>
      </c>
      <c r="Q117" s="20">
        <f t="shared" si="107"/>
        <v>835.46176166795476</v>
      </c>
      <c r="R117" s="59">
        <f t="shared" si="55"/>
        <v>1122.6858150349603</v>
      </c>
      <c r="S117" s="59">
        <f ca="1">AVERAGE(OFFSET($R$3,0,0,'Données projet'!$E$9+1,1))-AVERAGE(OFFSET($H$3,0,0,'Données projet'!$E$9+1,1))</f>
        <v>668.93155285055116</v>
      </c>
      <c r="T117" s="59">
        <f t="shared" si="88"/>
        <v>306.43050420339659</v>
      </c>
      <c r="U117" s="15">
        <f>IF(ISNA(VLOOKUP(A117,'Données projet'!$A$35:$I$55,3,0)),0,VLOOKUP(A117,'Données projet'!$A$35:$I$55,3,0))</f>
        <v>9</v>
      </c>
      <c r="V117" s="15">
        <f>IF(ISNA(VLOOKUP(A117,'Données projet'!$A$35:$I$55,4,0)),0,VLOOKUP(A117,'Données projet'!$A$35:$I$55,4,0))</f>
        <v>56.07</v>
      </c>
      <c r="W117" s="16">
        <f>IF(ISNA(VLOOKUP(A117,'Données projet'!$A$35:$I$55,5,0)),0%,VLOOKUP(A117,'Données projet'!$A$35:$I$55,5,0)*VLOOKUP('Données projet'!$B$9,Paramètres!$A$1:$I$89,7,0))</f>
        <v>0.25800000000000001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69.226623079279591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69.226623079279591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68.333832736456088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384.57</v>
      </c>
      <c r="AG117" s="12">
        <f>VLOOKUP(A117,'Données projet'!$A$61:$I$81,9,0)</f>
        <v>7.9349999999999969</v>
      </c>
      <c r="AH117" s="12">
        <f t="array" ref="AH117">INDEX(AG:AG,MIN(IF(ISNUMBER(AG117:AG313),ROW(AG117:AG313),"")))</f>
        <v>7.9349999999999969</v>
      </c>
      <c r="AI117" s="13">
        <f>IF('Données projet'!$A$62&gt;35,AI116+AH117-AQ116,IF(A117&lt;'Données projet'!$A$62,$AF$205^A117,IF(A117='Données projet'!$A$62,'Données projet'!$B$62,AI116+AH117-AQ116)))</f>
        <v>384.5700000000005</v>
      </c>
      <c r="AJ117" s="13">
        <f>AI117*VLOOKUP('Données projet'!$B$10,Paramètres!$A$1:$I$89,3,0)*VLOOKUP('Données projet'!$B$10,Paramètres!$A$1:$I$89,5,0)</f>
        <v>371.95610400000049</v>
      </c>
      <c r="AK117" s="13">
        <f t="shared" si="89"/>
        <v>86.067368021559375</v>
      </c>
      <c r="AL117" s="20">
        <f t="shared" si="58"/>
        <v>797.72421377088347</v>
      </c>
      <c r="AM117" s="59">
        <f t="shared" si="59"/>
        <v>1084.9482671378892</v>
      </c>
      <c r="AN117" s="59">
        <f ca="1">AVERAGE(OFFSET($AM$3,0,0,'Données projet'!$E$10+1,1))-AVERAGE(OFFSET($H$3,0,0,'Données projet'!$E$10+1,1))</f>
        <v>641.25537514609562</v>
      </c>
      <c r="AO117" s="59">
        <f t="shared" si="90"/>
        <v>294.69846357521487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0.25800000000000001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66.031548167928207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66.031548167928207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68.333832736456088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8.0958333333333314</v>
      </c>
      <c r="BD117" s="12">
        <f>IF('Données projet'!$A$88&gt;35,BD116+BC117-BL116,IF(A117&lt;'Données projet'!$A$88,$BA$205^A117,IF(A117='Données projet'!$A$88,'Données projet'!$B$88,BD116+BC117-BL116)))</f>
        <v>414.54916666666736</v>
      </c>
      <c r="BE117" s="13">
        <f>BD117*VLOOKUP('Données projet'!$B$11,Paramètres!$A$1:$I$89,3,0)*VLOOKUP('Données projet'!$B$11,Paramètres!$A$1:$I$89,5,0)</f>
        <v>194.00901000000033</v>
      </c>
      <c r="BF117" s="13">
        <f t="shared" si="91"/>
        <v>48.425208053681985</v>
      </c>
      <c r="BG117" s="20">
        <f t="shared" si="61"/>
        <v>422.23959644349662</v>
      </c>
      <c r="BH117" s="59">
        <f t="shared" si="62"/>
        <v>709.46364981050226</v>
      </c>
      <c r="BI117" s="59">
        <f ca="1">AVERAGE(OFFSET($BH$3,0,0,'Données projet'!$E$11+1,1))-AVERAGE(OFFSET($H$3,0,0,'Données projet'!$E$11+1,1))</f>
        <v>351.46787950120347</v>
      </c>
      <c r="BJ117" s="59">
        <f t="shared" si="92"/>
        <v>283.42185695241858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78.735414787423181</v>
      </c>
      <c r="BQ117" s="21">
        <f>EXP(-LN(2)/25)*BQ116+(1-EXP(-LN(2)/25))/(LN(2)/25)*Calculateur!BL117*Calculateur!BN117*VLOOKUP('Données projet'!$B$11,Paramètres!$A$1:$I$89,3,0)*0.475*44/12</f>
        <v>26.862863192557715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105.59827797998089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68.333832736456088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68.333832736456088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68.333832736456088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68.333832736456088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68.333832736456088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68.333832736456088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68.333832736456088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2.4500000000000002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8.9833333333333343</v>
      </c>
      <c r="H118" s="67">
        <f t="shared" si="56"/>
        <v>220.73333333333335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68.362737013486623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7.9920000000000018</v>
      </c>
      <c r="N118" s="13">
        <f>IF('Données projet'!$A$36&gt;35,N117+M118-V117,IF(A118&lt;'Données projet'!$A$36,$K$205^A118,IF(A118='Données projet'!$A$36,'Données projet'!$B$36,N117+M118-V117)))</f>
        <v>336.49200000000053</v>
      </c>
      <c r="O118" s="13">
        <f>N118*VLOOKUP('Données projet'!$B$9,Paramètres!$A$1:$I$89,3,0)*VLOOKUP('Données projet'!$B$9,Paramètres!$A$1:$I$89,5,0)</f>
        <v>341.2028880000006</v>
      </c>
      <c r="P118" s="13">
        <f t="shared" si="87"/>
        <v>79.748419593074587</v>
      </c>
      <c r="Q118" s="20">
        <f t="shared" si="107"/>
        <v>733.15686072460585</v>
      </c>
      <c r="R118" s="59">
        <f t="shared" si="55"/>
        <v>1020.4868964407235</v>
      </c>
      <c r="S118" s="59">
        <f ca="1">AVERAGE(OFFSET($R$3,0,0,'Données projet'!$E$9+1,1))-AVERAGE(OFFSET($H$3,0,0,'Données projet'!$E$9+1,1))</f>
        <v>668.93155285055116</v>
      </c>
      <c r="T118" s="59">
        <f t="shared" si="88"/>
        <v>306.43050420339659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67.869131224765709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67.869131224765709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68.362737013486623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7.9920000000000018</v>
      </c>
      <c r="AI118" s="13">
        <f>IF('Données projet'!$A$62&gt;35,AI117+AH118-AQ117,IF(A118&lt;'Données projet'!$A$62,$AF$205^A118,IF(A118='Données projet'!$A$62,'Données projet'!$B$62,AI117+AH118-AQ117)))</f>
        <v>336.49200000000053</v>
      </c>
      <c r="AJ118" s="13">
        <f>AI118*VLOOKUP('Données projet'!$B$10,Paramètres!$A$1:$I$89,3,0)*VLOOKUP('Données projet'!$B$10,Paramètres!$A$1:$I$89,5,0)</f>
        <v>325.45506240000054</v>
      </c>
      <c r="AK118" s="13">
        <f t="shared" si="89"/>
        <v>76.487266454284907</v>
      </c>
      <c r="AL118" s="20">
        <f t="shared" si="58"/>
        <v>700.04955608788043</v>
      </c>
      <c r="AM118" s="59">
        <f t="shared" si="59"/>
        <v>987.37959180399798</v>
      </c>
      <c r="AN118" s="59">
        <f ca="1">AVERAGE(OFFSET($AM$3,0,0,'Données projet'!$E$10+1,1))-AVERAGE(OFFSET($H$3,0,0,'Données projet'!$E$10+1,1))</f>
        <v>641.25537514609562</v>
      </c>
      <c r="AO118" s="59">
        <f t="shared" si="90"/>
        <v>294.69846357521487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64.736709783622672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64.736709783622672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68.362737013486623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8.0958333333333314</v>
      </c>
      <c r="BD118" s="12">
        <f>IF('Données projet'!$A$88&gt;35,BD117+BC118-BL117,IF(A118&lt;'Données projet'!$A$88,$BA$205^A118,IF(A118='Données projet'!$A$88,'Données projet'!$B$88,BD117+BC118-BL117)))</f>
        <v>422.64500000000066</v>
      </c>
      <c r="BE118" s="13">
        <f>BD118*VLOOKUP('Données projet'!$B$11,Paramètres!$A$1:$I$89,3,0)*VLOOKUP('Données projet'!$B$11,Paramètres!$A$1:$I$89,5,0)</f>
        <v>197.7978600000003</v>
      </c>
      <c r="BF118" s="13">
        <f t="shared" si="91"/>
        <v>49.259892592357573</v>
      </c>
      <c r="BG118" s="20">
        <f t="shared" si="61"/>
        <v>430.29225243168997</v>
      </c>
      <c r="BH118" s="59">
        <f t="shared" si="62"/>
        <v>717.62228814780758</v>
      </c>
      <c r="BI118" s="59">
        <f ca="1">AVERAGE(OFFSET($BH$3,0,0,'Données projet'!$E$11+1,1))-AVERAGE(OFFSET($H$3,0,0,'Données projet'!$E$11+1,1))</f>
        <v>351.46787950120347</v>
      </c>
      <c r="BJ118" s="59">
        <f t="shared" si="92"/>
        <v>283.42185695241858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77.191461327302875</v>
      </c>
      <c r="BQ118" s="21">
        <f>EXP(-LN(2)/25)*BQ117+(1-EXP(-LN(2)/25))/(LN(2)/25)*Calculateur!BL118*Calculateur!BN118*VLOOKUP('Données projet'!$B$11,Paramètres!$A$1:$I$89,3,0)*0.475*44/12</f>
        <v>26.128296785900645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103.31975811320352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68.362737013486623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68.362737013486623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68.362737013486623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68.362737013486623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68.362737013486623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68.362737013486623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68.362737013486623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2.4500000000000002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8.9833333333333343</v>
      </c>
      <c r="H119" s="67">
        <f t="shared" si="56"/>
        <v>220.73333333333335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68.391139865930967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7.9920000000000018</v>
      </c>
      <c r="N119" s="13">
        <f>IF('Données projet'!$A$36&gt;35,N118+M119-V118,IF(A119&lt;'Données projet'!$A$36,$K$205^A119,IF(A119='Données projet'!$A$36,'Données projet'!$B$36,N118+M119-V118)))</f>
        <v>344.48400000000055</v>
      </c>
      <c r="O119" s="13">
        <f>N119*VLOOKUP('Données projet'!$B$9,Paramètres!$A$1:$I$89,3,0)*VLOOKUP('Données projet'!$B$9,Paramètres!$A$1:$I$89,5,0)</f>
        <v>349.30677600000058</v>
      </c>
      <c r="P119" s="13">
        <f t="shared" si="87"/>
        <v>81.419752750490431</v>
      </c>
      <c r="Q119" s="20">
        <f t="shared" si="107"/>
        <v>750.18203757377194</v>
      </c>
      <c r="R119" s="59">
        <f t="shared" si="55"/>
        <v>1037.6162170821854</v>
      </c>
      <c r="S119" s="59">
        <f ca="1">AVERAGE(OFFSET($R$3,0,0,'Données projet'!$E$9+1,1))-AVERAGE(OFFSET($H$3,0,0,'Données projet'!$E$9+1,1))</f>
        <v>668.93155285055116</v>
      </c>
      <c r="T119" s="59">
        <f t="shared" si="88"/>
        <v>306.43050420339659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66.538258957530573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66.538258957530573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68.391139865930967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7.9920000000000018</v>
      </c>
      <c r="AI119" s="13">
        <f>IF('Données projet'!$A$62&gt;35,AI118+AH119-AQ118,IF(A119&lt;'Données projet'!$A$62,$AF$205^A119,IF(A119='Données projet'!$A$62,'Données projet'!$B$62,AI118+AH119-AQ118)))</f>
        <v>344.48400000000055</v>
      </c>
      <c r="AJ119" s="13">
        <f>AI119*VLOOKUP('Données projet'!$B$10,Paramètres!$A$1:$I$89,3,0)*VLOOKUP('Données projet'!$B$10,Paramètres!$A$1:$I$89,5,0)</f>
        <v>333.18492480000054</v>
      </c>
      <c r="AK119" s="13">
        <f t="shared" si="89"/>
        <v>78.090253763593893</v>
      </c>
      <c r="AL119" s="20">
        <f t="shared" si="58"/>
        <v>716.30426933159345</v>
      </c>
      <c r="AM119" s="59">
        <f t="shared" si="59"/>
        <v>1003.738448840007</v>
      </c>
      <c r="AN119" s="59">
        <f ca="1">AVERAGE(OFFSET($AM$3,0,0,'Données projet'!$E$10+1,1))-AVERAGE(OFFSET($H$3,0,0,'Données projet'!$E$10+1,1))</f>
        <v>641.25537514609562</v>
      </c>
      <c r="AO119" s="59">
        <f t="shared" si="90"/>
        <v>294.69846357521487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63.467262390259933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63.467262390259933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68.391139865930967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8.0958333333333314</v>
      </c>
      <c r="BD119" s="12">
        <f>IF('Données projet'!$A$88&gt;35,BD118+BC119-BL118,IF(A119&lt;'Données projet'!$A$88,$BA$205^A119,IF(A119='Données projet'!$A$88,'Données projet'!$B$88,BD118+BC119-BL118)))</f>
        <v>430.74083333333397</v>
      </c>
      <c r="BE119" s="13">
        <f>BD119*VLOOKUP('Données projet'!$B$11,Paramètres!$A$1:$I$89,3,0)*VLOOKUP('Données projet'!$B$11,Paramètres!$A$1:$I$89,5,0)</f>
        <v>201.58671000000029</v>
      </c>
      <c r="BF119" s="13">
        <f t="shared" si="91"/>
        <v>50.092718020659504</v>
      </c>
      <c r="BG119" s="20">
        <f t="shared" si="61"/>
        <v>438.34167046931583</v>
      </c>
      <c r="BH119" s="59">
        <f t="shared" si="62"/>
        <v>725.77584997772942</v>
      </c>
      <c r="BI119" s="59">
        <f ca="1">AVERAGE(OFFSET($BH$3,0,0,'Données projet'!$E$11+1,1))-AVERAGE(OFFSET($H$3,0,0,'Données projet'!$E$11+1,1))</f>
        <v>351.46787950120347</v>
      </c>
      <c r="BJ119" s="59">
        <f t="shared" si="92"/>
        <v>283.42185695241858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75.677783852816901</v>
      </c>
      <c r="BQ119" s="21">
        <f>EXP(-LN(2)/25)*BQ118+(1-EXP(-LN(2)/25))/(LN(2)/25)*Calculateur!BL119*Calculateur!BN119*VLOOKUP('Données projet'!$B$11,Paramètres!$A$1:$I$89,3,0)*0.475*44/12</f>
        <v>25.413817136262782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101.09160098907968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68.391139865930967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68.391139865930967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68.391139865930967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68.391139865930967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68.391139865930967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68.391139865930967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68.391139865930967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2.4500000000000002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8.9833333333333343</v>
      </c>
      <c r="H120" s="67">
        <f t="shared" si="56"/>
        <v>220.73333333333335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68.419049992384657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7.9920000000000018</v>
      </c>
      <c r="N120" s="13">
        <f>IF('Données projet'!$A$36&gt;35,N119+M120-V119,IF(A120&lt;'Données projet'!$A$36,$K$205^A120,IF(A120='Données projet'!$A$36,'Données projet'!$B$36,N119+M120-V119)))</f>
        <v>352.47600000000057</v>
      </c>
      <c r="O120" s="13">
        <f>N120*VLOOKUP('Données projet'!$B$9,Paramètres!$A$1:$I$89,3,0)*VLOOKUP('Données projet'!$B$9,Paramètres!$A$1:$I$89,5,0)</f>
        <v>357.41066400000057</v>
      </c>
      <c r="P120" s="13">
        <f t="shared" si="87"/>
        <v>83.086578183672941</v>
      </c>
      <c r="Q120" s="20">
        <f t="shared" si="107"/>
        <v>767.199363469898</v>
      </c>
      <c r="R120" s="59">
        <f t="shared" si="55"/>
        <v>1054.7358801086418</v>
      </c>
      <c r="S120" s="59">
        <f ca="1">AVERAGE(OFFSET($R$3,0,0,'Données projet'!$E$9+1,1))-AVERAGE(OFFSET($H$3,0,0,'Données projet'!$E$9+1,1))</f>
        <v>668.93155285055116</v>
      </c>
      <c r="T120" s="59">
        <f t="shared" si="88"/>
        <v>306.43050420339659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65.233484283703987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65.233484283703987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68.419049992384657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7.9920000000000018</v>
      </c>
      <c r="AI120" s="13">
        <f>IF('Données projet'!$A$62&gt;35,AI119+AH120-AQ119,IF(A120&lt;'Données projet'!$A$62,$AF$205^A120,IF(A120='Données projet'!$A$62,'Données projet'!$B$62,AI119+AH120-AQ119)))</f>
        <v>352.47600000000057</v>
      </c>
      <c r="AJ120" s="13">
        <f>AI120*VLOOKUP('Données projet'!$B$10,Paramètres!$A$1:$I$89,3,0)*VLOOKUP('Données projet'!$B$10,Paramètres!$A$1:$I$89,5,0)</f>
        <v>340.91478720000055</v>
      </c>
      <c r="AK120" s="13">
        <f t="shared" si="89"/>
        <v>79.68891768309399</v>
      </c>
      <c r="AL120" s="20">
        <f t="shared" si="58"/>
        <v>732.55145267138971</v>
      </c>
      <c r="AM120" s="59">
        <f t="shared" si="59"/>
        <v>1020.0879693101335</v>
      </c>
      <c r="AN120" s="59">
        <f ca="1">AVERAGE(OFFSET($AM$3,0,0,'Données projet'!$E$10+1,1))-AVERAGE(OFFSET($H$3,0,0,'Données projet'!$E$10+1,1))</f>
        <v>641.25537514609562</v>
      </c>
      <c r="AO120" s="59">
        <f t="shared" si="90"/>
        <v>294.69846357521487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62.222708085994576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62.222708085994576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68.419049992384657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8.0958333333333314</v>
      </c>
      <c r="BD120" s="12">
        <f>IF('Données projet'!$A$88&gt;35,BD119+BC120-BL119,IF(A120&lt;'Données projet'!$A$88,$BA$205^A120,IF(A120='Données projet'!$A$88,'Données projet'!$B$88,BD119+BC120-BL119)))</f>
        <v>438.83666666666727</v>
      </c>
      <c r="BE120" s="13">
        <f>BD120*VLOOKUP('Données projet'!$B$11,Paramètres!$A$1:$I$89,3,0)*VLOOKUP('Données projet'!$B$11,Paramètres!$A$1:$I$89,5,0)</f>
        <v>205.37556000000026</v>
      </c>
      <c r="BF120" s="13">
        <f t="shared" si="91"/>
        <v>50.923723310087418</v>
      </c>
      <c r="BG120" s="20">
        <f t="shared" si="61"/>
        <v>446.38791843173607</v>
      </c>
      <c r="BH120" s="59">
        <f t="shared" si="62"/>
        <v>733.92443507047983</v>
      </c>
      <c r="BI120" s="59">
        <f ca="1">AVERAGE(OFFSET($BH$3,0,0,'Données projet'!$E$11+1,1))-AVERAGE(OFFSET($H$3,0,0,'Données projet'!$E$11+1,1))</f>
        <v>351.46787950120347</v>
      </c>
      <c r="BJ120" s="59">
        <f t="shared" si="92"/>
        <v>283.42185695241858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74.193788670353499</v>
      </c>
      <c r="BQ120" s="21">
        <f>EXP(-LN(2)/25)*BQ119+(1-EXP(-LN(2)/25))/(LN(2)/25)*Calculateur!BL120*Calculateur!BN120*VLOOKUP('Données projet'!$B$11,Paramètres!$A$1:$I$89,3,0)*0.475*44/12</f>
        <v>24.718874970217119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98.912663640570614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68.419049992384657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68.419049992384657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68.419049992384657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68.419049992384657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68.419049992384657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68.419049992384657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68.419049992384657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2.4500000000000002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8.9833333333333343</v>
      </c>
      <c r="H121" s="67">
        <f t="shared" si="56"/>
        <v>220.73333333333335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68.446475940542058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7.9920000000000018</v>
      </c>
      <c r="N121" s="13">
        <f>IF('Données projet'!$A$36&gt;35,N120+M121-V120,IF(A121&lt;'Données projet'!$A$36,$K$205^A121,IF(A121='Données projet'!$A$36,'Données projet'!$B$36,N120+M121-V120)))</f>
        <v>360.46800000000059</v>
      </c>
      <c r="O121" s="13">
        <f>N121*VLOOKUP('Données projet'!$B$9,Paramètres!$A$1:$I$89,3,0)*VLOOKUP('Données projet'!$B$9,Paramètres!$A$1:$I$89,5,0)</f>
        <v>365.51455200000061</v>
      </c>
      <c r="P121" s="13">
        <f t="shared" si="87"/>
        <v>84.749009866498071</v>
      </c>
      <c r="Q121" s="20">
        <f t="shared" si="107"/>
        <v>784.20903691748515</v>
      </c>
      <c r="R121" s="59">
        <f t="shared" si="55"/>
        <v>1071.8461153661394</v>
      </c>
      <c r="S121" s="59">
        <f ca="1">AVERAGE(OFFSET($R$3,0,0,'Données projet'!$E$9+1,1))-AVERAGE(OFFSET($H$3,0,0,'Données projet'!$E$9+1,1))</f>
        <v>668.93155285055116</v>
      </c>
      <c r="T121" s="59">
        <f t="shared" si="88"/>
        <v>306.43050420339659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63.954295445397179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63.954295445397179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68.446475940542058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7.9920000000000018</v>
      </c>
      <c r="AI121" s="13">
        <f>IF('Données projet'!$A$62&gt;35,AI120+AH121-AQ120,IF(A121&lt;'Données projet'!$A$62,$AF$205^A121,IF(A121='Données projet'!$A$62,'Données projet'!$B$62,AI120+AH121-AQ120)))</f>
        <v>360.46800000000059</v>
      </c>
      <c r="AJ121" s="13">
        <f>AI121*VLOOKUP('Données projet'!$B$10,Paramètres!$A$1:$I$89,3,0)*VLOOKUP('Données projet'!$B$10,Paramètres!$A$1:$I$89,5,0)</f>
        <v>348.64464960000061</v>
      </c>
      <c r="AK121" s="13">
        <f t="shared" si="89"/>
        <v>81.283367525926224</v>
      </c>
      <c r="AL121" s="20">
        <f t="shared" si="58"/>
        <v>748.79129649432252</v>
      </c>
      <c r="AM121" s="59">
        <f t="shared" si="59"/>
        <v>1036.4283749429767</v>
      </c>
      <c r="AN121" s="59">
        <f ca="1">AVERAGE(OFFSET($AM$3,0,0,'Données projet'!$E$10+1,1))-AVERAGE(OFFSET($H$3,0,0,'Données projet'!$E$10+1,1))</f>
        <v>641.25537514609562</v>
      </c>
      <c r="AO121" s="59">
        <f t="shared" si="90"/>
        <v>294.69846357521487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61.002558732532698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61.002558732532698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68.446475940542058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8.0958333333333314</v>
      </c>
      <c r="BD121" s="12">
        <f>IF('Données projet'!$A$88&gt;35,BD120+BC121-BL120,IF(A121&lt;'Données projet'!$A$88,$BA$205^A121,IF(A121='Données projet'!$A$88,'Données projet'!$B$88,BD120+BC121-BL120)))</f>
        <v>446.93250000000057</v>
      </c>
      <c r="BE121" s="13">
        <f>BD121*VLOOKUP('Données projet'!$B$11,Paramètres!$A$1:$I$89,3,0)*VLOOKUP('Données projet'!$B$11,Paramètres!$A$1:$I$89,5,0)</f>
        <v>209.16441000000026</v>
      </c>
      <c r="BF121" s="13">
        <f t="shared" si="91"/>
        <v>51.752945911904789</v>
      </c>
      <c r="BG121" s="20">
        <f t="shared" si="61"/>
        <v>454.43106154656789</v>
      </c>
      <c r="BH121" s="59">
        <f t="shared" si="62"/>
        <v>742.06813999522205</v>
      </c>
      <c r="BI121" s="59">
        <f ca="1">AVERAGE(OFFSET($BH$3,0,0,'Données projet'!$E$11+1,1))-AVERAGE(OFFSET($H$3,0,0,'Données projet'!$E$11+1,1))</f>
        <v>351.46787950120347</v>
      </c>
      <c r="BJ121" s="59">
        <f t="shared" si="92"/>
        <v>283.42185695241858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72.738893728270526</v>
      </c>
      <c r="BQ121" s="21">
        <f>EXP(-LN(2)/25)*BQ120+(1-EXP(-LN(2)/25))/(LN(2)/25)*Calculateur!BL121*Calculateur!BN121*VLOOKUP('Données projet'!$B$11,Paramètres!$A$1:$I$89,3,0)*0.475*44/12</f>
        <v>24.042936034247393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96.781829762517916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68.446475940542058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68.446475940542058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68.446475940542058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68.446475940542058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68.446475940542058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68.446475940542058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68.446475940542058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2.4500000000000002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8.9833333333333343</v>
      </c>
      <c r="H122" s="67">
        <f t="shared" si="56"/>
        <v>220.73333333333335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68.47342610981417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7.9920000000000018</v>
      </c>
      <c r="N122" s="13">
        <f>IF('Données projet'!$A$36&gt;35,N121+M122-V121,IF(A122&lt;'Données projet'!$A$36,$K$205^A122,IF(A122='Données projet'!$A$36,'Données projet'!$B$36,N121+M122-V121)))</f>
        <v>368.4600000000006</v>
      </c>
      <c r="O122" s="13">
        <f>N122*VLOOKUP('Données projet'!$B$9,Paramètres!$A$1:$I$89,3,0)*VLOOKUP('Données projet'!$B$9,Paramètres!$A$1:$I$89,5,0)</f>
        <v>373.61844000000065</v>
      </c>
      <c r="P122" s="13">
        <f t="shared" si="87"/>
        <v>86.407156430415824</v>
      </c>
      <c r="Q122" s="20">
        <f t="shared" si="107"/>
        <v>801.21124711630875</v>
      </c>
      <c r="R122" s="59">
        <f t="shared" si="55"/>
        <v>1088.9471428522941</v>
      </c>
      <c r="S122" s="59">
        <f ca="1">AVERAGE(OFFSET($R$3,0,0,'Données projet'!$E$9+1,1))-AVERAGE(OFFSET($H$3,0,0,'Données projet'!$E$9+1,1))</f>
        <v>668.93155285055116</v>
      </c>
      <c r="T122" s="59">
        <f t="shared" si="88"/>
        <v>306.43050420339659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62.700190719981414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62.700190719981414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68.47342610981417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7.9920000000000018</v>
      </c>
      <c r="AI122" s="13">
        <f>IF('Données projet'!$A$62&gt;35,AI121+AH122-AQ121,IF(A122&lt;'Données projet'!$A$62,$AF$205^A122,IF(A122='Données projet'!$A$62,'Données projet'!$B$62,AI121+AH122-AQ121)))</f>
        <v>368.4600000000006</v>
      </c>
      <c r="AJ122" s="13">
        <f>AI122*VLOOKUP('Données projet'!$B$10,Paramètres!$A$1:$I$89,3,0)*VLOOKUP('Données projet'!$B$10,Paramètres!$A$1:$I$89,5,0)</f>
        <v>356.37451200000061</v>
      </c>
      <c r="AK122" s="13">
        <f t="shared" si="89"/>
        <v>82.873707481273101</v>
      </c>
      <c r="AL122" s="20">
        <f t="shared" si="58"/>
        <v>765.02398226321839</v>
      </c>
      <c r="AM122" s="59">
        <f t="shared" si="59"/>
        <v>1052.7598779992036</v>
      </c>
      <c r="AN122" s="59">
        <f ca="1">AVERAGE(OFFSET($AM$3,0,0,'Données projet'!$E$10+1,1))-AVERAGE(OFFSET($H$3,0,0,'Données projet'!$E$10+1,1))</f>
        <v>641.25537514609562</v>
      </c>
      <c r="AO122" s="59">
        <f t="shared" si="90"/>
        <v>294.69846357521487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59.806335763674582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59.806335763674582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68.47342610981417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8.0958333333333314</v>
      </c>
      <c r="BD122" s="12">
        <f>IF('Données projet'!$A$88&gt;35,BD121+BC122-BL121,IF(A122&lt;'Données projet'!$A$88,$BA$205^A122,IF(A122='Données projet'!$A$88,'Données projet'!$B$88,BD121+BC122-BL121)))</f>
        <v>455.02833333333388</v>
      </c>
      <c r="BE122" s="13">
        <f>BD122*VLOOKUP('Données projet'!$B$11,Paramètres!$A$1:$I$89,3,0)*VLOOKUP('Données projet'!$B$11,Paramètres!$A$1:$I$89,5,0)</f>
        <v>212.95326000000023</v>
      </c>
      <c r="BF122" s="13">
        <f t="shared" si="91"/>
        <v>52.58042184288621</v>
      </c>
      <c r="BG122" s="20">
        <f t="shared" si="61"/>
        <v>462.47116254302722</v>
      </c>
      <c r="BH122" s="59">
        <f t="shared" si="62"/>
        <v>750.20705827901247</v>
      </c>
      <c r="BI122" s="59">
        <f ca="1">AVERAGE(OFFSET($BH$3,0,0,'Données projet'!$E$11+1,1))-AVERAGE(OFFSET($H$3,0,0,'Données projet'!$E$11+1,1))</f>
        <v>351.46787950120347</v>
      </c>
      <c r="BJ122" s="59">
        <f t="shared" si="92"/>
        <v>283.42185695241858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71.312528388603496</v>
      </c>
      <c r="BQ122" s="21">
        <f>EXP(-LN(2)/25)*BQ121+(1-EXP(-LN(2)/25))/(LN(2)/25)*Calculateur!BL122*Calculateur!BN122*VLOOKUP('Données projet'!$B$11,Paramètres!$A$1:$I$89,3,0)*0.475*44/12</f>
        <v>23.385480684027844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94.698009072631336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68.47342610981417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68.47342610981417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68.47342610981417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68.47342610981417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68.47342610981417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68.47342610981417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68.47342610981417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2.4500000000000002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8.9833333333333343</v>
      </c>
      <c r="H123" s="67">
        <f t="shared" si="56"/>
        <v>220.73333333333335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68.499908753900968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7.9920000000000018</v>
      </c>
      <c r="N123" s="13">
        <f>IF('Données projet'!$A$36&gt;35,N122+M123-V122,IF(A123&lt;'Données projet'!$A$36,$K$205^A123,IF(A123='Données projet'!$A$36,'Données projet'!$B$36,N122+M123-V122)))</f>
        <v>376.45200000000062</v>
      </c>
      <c r="O123" s="13">
        <f>N123*VLOOKUP('Données projet'!$B$9,Paramètres!$A$1:$I$89,3,0)*VLOOKUP('Données projet'!$B$9,Paramètres!$A$1:$I$89,5,0)</f>
        <v>381.72232800000063</v>
      </c>
      <c r="P123" s="13">
        <f t="shared" si="87"/>
        <v>88.061121525232409</v>
      </c>
      <c r="Q123" s="20">
        <f t="shared" si="107"/>
        <v>818.20617458978086</v>
      </c>
      <c r="R123" s="59">
        <f t="shared" si="55"/>
        <v>1106.0391733540844</v>
      </c>
      <c r="S123" s="59">
        <f ca="1">AVERAGE(OFFSET($R$3,0,0,'Données projet'!$E$9+1,1))-AVERAGE(OFFSET($H$3,0,0,'Données projet'!$E$9+1,1))</f>
        <v>668.93155285055116</v>
      </c>
      <c r="T123" s="59">
        <f t="shared" si="88"/>
        <v>306.43050420339659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61.470678223302698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61.470678223302698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68.499908753900968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7.9920000000000018</v>
      </c>
      <c r="AI123" s="13">
        <f>IF('Données projet'!$A$62&gt;35,AI122+AH123-AQ122,IF(A123&lt;'Données projet'!$A$62,$AF$205^A123,IF(A123='Données projet'!$A$62,'Données projet'!$B$62,AI122+AH123-AQ122)))</f>
        <v>376.45200000000062</v>
      </c>
      <c r="AJ123" s="13">
        <f>AI123*VLOOKUP('Données projet'!$B$10,Paramètres!$A$1:$I$89,3,0)*VLOOKUP('Données projet'!$B$10,Paramètres!$A$1:$I$89,5,0)</f>
        <v>364.10437440000061</v>
      </c>
      <c r="AK123" s="13">
        <f t="shared" si="89"/>
        <v>84.460036960388123</v>
      </c>
      <c r="AL123" s="20">
        <f t="shared" si="58"/>
        <v>781.24968311934356</v>
      </c>
      <c r="AM123" s="59">
        <f t="shared" si="59"/>
        <v>1069.0826818836472</v>
      </c>
      <c r="AN123" s="59">
        <f ca="1">AVERAGE(OFFSET($AM$3,0,0,'Données projet'!$E$10+1,1))-AVERAGE(OFFSET($H$3,0,0,'Données projet'!$E$10+1,1))</f>
        <v>641.25537514609562</v>
      </c>
      <c r="AO123" s="59">
        <f t="shared" si="90"/>
        <v>294.69846357521487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58.633569997611808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58.633569997611808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68.499908753900968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8.0958333333333314</v>
      </c>
      <c r="BD123" s="12">
        <f>IF('Données projet'!$A$88&gt;35,BD122+BC123-BL122,IF(A123&lt;'Données projet'!$A$88,$BA$205^A123,IF(A123='Données projet'!$A$88,'Données projet'!$B$88,BD122+BC123-BL122)))</f>
        <v>463.12416666666718</v>
      </c>
      <c r="BE123" s="13">
        <f>BD123*VLOOKUP('Données projet'!$B$11,Paramètres!$A$1:$I$89,3,0)*VLOOKUP('Données projet'!$B$11,Paramètres!$A$1:$I$89,5,0)</f>
        <v>216.74211000000025</v>
      </c>
      <c r="BF123" s="13">
        <f t="shared" si="91"/>
        <v>53.406185764789505</v>
      </c>
      <c r="BG123" s="20">
        <f t="shared" si="61"/>
        <v>470.50828179034215</v>
      </c>
      <c r="BH123" s="59">
        <f t="shared" si="62"/>
        <v>758.34128055464566</v>
      </c>
      <c r="BI123" s="59">
        <f ca="1">AVERAGE(OFFSET($BH$3,0,0,'Données projet'!$E$11+1,1))-AVERAGE(OFFSET($H$3,0,0,'Données projet'!$E$11+1,1))</f>
        <v>351.46787950120347</v>
      </c>
      <c r="BJ123" s="59">
        <f t="shared" si="92"/>
        <v>283.42185695241858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69.914133203250387</v>
      </c>
      <c r="BQ123" s="21">
        <f>EXP(-LN(2)/25)*BQ122+(1-EXP(-LN(2)/25))/(LN(2)/25)*Calculateur!BL123*Calculateur!BN123*VLOOKUP('Données projet'!$B$11,Paramètres!$A$1:$I$89,3,0)*0.475*44/12</f>
        <v>22.746003484934121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92.660136688184508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68.499908753900968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68.499908753900968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68.499908753900968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68.499908753900968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68.499908753900968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68.499908753900968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68.499908753900968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2.4500000000000002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8.9833333333333343</v>
      </c>
      <c r="H124" s="67">
        <f t="shared" si="56"/>
        <v>220.73333333333335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68.525931983319197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7.9920000000000018</v>
      </c>
      <c r="N124" s="13">
        <f>IF('Données projet'!$A$36&gt;35,N123+M124-V123,IF(A124&lt;'Données projet'!$A$36,$K$205^A124,IF(A124='Données projet'!$A$36,'Données projet'!$B$36,N123+M124-V123)))</f>
        <v>384.44400000000064</v>
      </c>
      <c r="O124" s="13">
        <f>N124*VLOOKUP('Données projet'!$B$9,Paramètres!$A$1:$I$89,3,0)*VLOOKUP('Données projet'!$B$9,Paramètres!$A$1:$I$89,5,0)</f>
        <v>389.82621600000067</v>
      </c>
      <c r="P124" s="13">
        <f t="shared" si="87"/>
        <v>89.711004148391098</v>
      </c>
      <c r="Q124" s="20">
        <f t="shared" si="107"/>
        <v>835.19399175844899</v>
      </c>
      <c r="R124" s="59">
        <f t="shared" si="55"/>
        <v>1123.1224090306193</v>
      </c>
      <c r="S124" s="59">
        <f ca="1">AVERAGE(OFFSET($R$3,0,0,'Données projet'!$E$9+1,1))-AVERAGE(OFFSET($H$3,0,0,'Données projet'!$E$9+1,1))</f>
        <v>668.93155285055116</v>
      </c>
      <c r="T124" s="59">
        <f t="shared" si="88"/>
        <v>306.43050420339659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60.265275716755283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60.265275716755283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68.525931983319197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7.9920000000000018</v>
      </c>
      <c r="AI124" s="13">
        <f>IF('Données projet'!$A$62&gt;35,AI123+AH124-AQ123,IF(A124&lt;'Données projet'!$A$62,$AF$205^A124,IF(A124='Données projet'!$A$62,'Données projet'!$B$62,AI123+AH124-AQ123)))</f>
        <v>384.44400000000064</v>
      </c>
      <c r="AJ124" s="13">
        <f>AI124*VLOOKUP('Données projet'!$B$10,Paramètres!$A$1:$I$89,3,0)*VLOOKUP('Données projet'!$B$10,Paramètres!$A$1:$I$89,5,0)</f>
        <v>371.83423680000061</v>
      </c>
      <c r="AK124" s="13">
        <f t="shared" si="89"/>
        <v>86.042450912410658</v>
      </c>
      <c r="AL124" s="20">
        <f t="shared" si="58"/>
        <v>797.46856443244951</v>
      </c>
      <c r="AM124" s="59">
        <f t="shared" si="59"/>
        <v>1085.39698170462</v>
      </c>
      <c r="AN124" s="59">
        <f ca="1">AVERAGE(OFFSET($AM$3,0,0,'Données projet'!$E$10+1,1))-AVERAGE(OFFSET($H$3,0,0,'Données projet'!$E$10+1,1))</f>
        <v>641.25537514609562</v>
      </c>
      <c r="AO124" s="59">
        <f t="shared" si="90"/>
        <v>294.69846357521487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57.483801452905041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57.483801452905041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68.525931983319197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>
        <f>VLOOKUP(A124,'Données projet'!$A$87:$I$107,2,0)</f>
        <v>471.22</v>
      </c>
      <c r="BB124" s="12">
        <f>VLOOKUP(A124,'Données projet'!$A$87:$I$107,9,0)</f>
        <v>8.0958333333333314</v>
      </c>
      <c r="BC124" s="12">
        <f t="array" ref="BC124">INDEX(BB:BB,MIN(IF(ISNUMBER(BB124:BB320),ROW(BB124:BB320),"")))</f>
        <v>8.0958333333333314</v>
      </c>
      <c r="BD124" s="12">
        <f>IF('Données projet'!$A$88&gt;35,BD123+BC124-BL123,IF(A124&lt;'Données projet'!$A$88,$BA$205^A124,IF(A124='Données projet'!$A$88,'Données projet'!$B$88,BD123+BC124-BL123)))</f>
        <v>471.22000000000048</v>
      </c>
      <c r="BE124" s="13">
        <f>BD124*VLOOKUP('Données projet'!$B$11,Paramètres!$A$1:$I$89,3,0)*VLOOKUP('Données projet'!$B$11,Paramètres!$A$1:$I$89,5,0)</f>
        <v>220.53096000000022</v>
      </c>
      <c r="BF124" s="13">
        <f t="shared" si="91"/>
        <v>54.230271058113757</v>
      </c>
      <c r="BG124" s="20">
        <f t="shared" si="61"/>
        <v>478.54247742621516</v>
      </c>
      <c r="BH124" s="59">
        <f t="shared" si="62"/>
        <v>766.47089469838556</v>
      </c>
      <c r="BI124" s="59">
        <f ca="1">AVERAGE(OFFSET($BH$3,0,0,'Données projet'!$E$11+1,1))-AVERAGE(OFFSET($H$3,0,0,'Données projet'!$E$11+1,1))</f>
        <v>351.46787950120347</v>
      </c>
      <c r="BJ124" s="59">
        <f t="shared" si="92"/>
        <v>283.42185695241858</v>
      </c>
      <c r="BK124" s="15">
        <f>IF(ISNA(VLOOKUP(A124,'Données projet'!$A$87:$I$107,3,0)),0,VLOOKUP(A124,'Données projet'!$A$87:$I$107,3,0))</f>
        <v>7</v>
      </c>
      <c r="BL124" s="15">
        <f>IF(ISNA(VLOOKUP(A124,'Données projet'!$A$87:$I$107,4,0)),0,VLOOKUP(A124,'Données projet'!$A$87:$I$107,4,0))</f>
        <v>233.54</v>
      </c>
      <c r="BM124" s="16">
        <f>IF(ISNA(VLOOKUP(A124,'Données projet'!$A$87:$I$107,5,0)),0%,VLOOKUP(A124,'Données projet'!$A$87:$I$107,5,0)*VLOOKUP('Données projet'!$B$11,Paramètres!$A$1:$I$89,7,0))</f>
        <v>0.38500000000000001</v>
      </c>
      <c r="BN124" s="16">
        <f>IF(ISNA(VLOOKUP(A124,'Données projet'!$A$87:$I$107,6,0)),0%,VLOOKUP(A124,'Données projet'!$A$87:$I$107,6,0)*VLOOKUP('Données projet'!$B$11,Paramètres!$A$1:$I$89,7,0))</f>
        <v>0.16500000000000001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124.36398007607445</v>
      </c>
      <c r="BQ124" s="21">
        <f>EXP(-LN(2)/25)*BQ123+(1-EXP(-LN(2)/25))/(LN(2)/25)*Calculateur!BL124*Calculateur!BN124*VLOOKUP('Données projet'!$B$11,Paramètres!$A$1:$I$89,3,0)*0.475*44/12</f>
        <v>45.953026770172727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170.31700684624718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68.525931983319197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68.525931983319197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68.525931983319197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68.525931983319197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68.525931983319197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68.525931983319197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68.525931983319197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2.4500000000000002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8.9833333333333343</v>
      </c>
      <c r="H125" s="67">
        <f t="shared" si="56"/>
        <v>220.73333333333335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68.551503767886217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7.9920000000000018</v>
      </c>
      <c r="N125" s="13">
        <f>IF('Données projet'!$A$36&gt;35,N124+M125-V124,IF(A125&lt;'Données projet'!$A$36,$K$205^A125,IF(A125='Données projet'!$A$36,'Données projet'!$B$36,N124+M125-V124)))</f>
        <v>392.43600000000066</v>
      </c>
      <c r="O125" s="13">
        <f>N125*VLOOKUP('Données projet'!$B$9,Paramètres!$A$1:$I$89,3,0)*VLOOKUP('Données projet'!$B$9,Paramètres!$A$1:$I$89,5,0)</f>
        <v>397.93010400000071</v>
      </c>
      <c r="P125" s="13">
        <f t="shared" si="87"/>
        <v>91.356898946098624</v>
      </c>
      <c r="Q125" s="20">
        <f t="shared" si="107"/>
        <v>852.17486346445639</v>
      </c>
      <c r="R125" s="59">
        <f t="shared" si="55"/>
        <v>1140.1970439467059</v>
      </c>
      <c r="S125" s="59">
        <f ca="1">AVERAGE(OFFSET($R$3,0,0,'Données projet'!$E$9+1,1))-AVERAGE(OFFSET($H$3,0,0,'Données projet'!$E$9+1,1))</f>
        <v>668.93155285055116</v>
      </c>
      <c r="T125" s="59">
        <f t="shared" si="88"/>
        <v>306.43050420339659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59.083510418138331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59.083510418138331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68.551503767886217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7.9920000000000018</v>
      </c>
      <c r="AI125" s="13">
        <f>IF('Données projet'!$A$62&gt;35,AI124+AH125-AQ124,IF(A125&lt;'Données projet'!$A$62,$AF$205^A125,IF(A125='Données projet'!$A$62,'Données projet'!$B$62,AI124+AH125-AQ124)))</f>
        <v>392.43600000000066</v>
      </c>
      <c r="AJ125" s="13">
        <f>AI125*VLOOKUP('Données projet'!$B$10,Paramètres!$A$1:$I$89,3,0)*VLOOKUP('Données projet'!$B$10,Paramètres!$A$1:$I$89,5,0)</f>
        <v>379.56409920000067</v>
      </c>
      <c r="AK125" s="13">
        <f t="shared" si="89"/>
        <v>87.621040113179006</v>
      </c>
      <c r="AL125" s="20">
        <f t="shared" si="58"/>
        <v>813.68078430378785</v>
      </c>
      <c r="AM125" s="59">
        <f t="shared" si="59"/>
        <v>1101.7029647860372</v>
      </c>
      <c r="AN125" s="59">
        <f ca="1">AVERAGE(OFFSET($AM$3,0,0,'Données projet'!$E$10+1,1))-AVERAGE(OFFSET($H$3,0,0,'Données projet'!$E$10+1,1))</f>
        <v>641.25537514609562</v>
      </c>
      <c r="AO125" s="59">
        <f t="shared" si="90"/>
        <v>294.69846357521487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56.356579168070411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56.356579168070411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68.551503767886217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5.6409999999999938</v>
      </c>
      <c r="BD125" s="12">
        <f>IF('Données projet'!$A$88&gt;35,BD124+BC125-BL124,IF(A125&lt;'Données projet'!$A$88,$BA$205^A125,IF(A125='Données projet'!$A$88,'Données projet'!$B$88,BD124+BC125-BL124)))</f>
        <v>243.32100000000051</v>
      </c>
      <c r="BE125" s="13">
        <f>BD125*VLOOKUP('Données projet'!$B$11,Paramètres!$A$1:$I$89,3,0)*VLOOKUP('Données projet'!$B$11,Paramètres!$A$1:$I$89,5,0)</f>
        <v>113.87422800000023</v>
      </c>
      <c r="BF125" s="13">
        <f t="shared" si="91"/>
        <v>30.241935912260949</v>
      </c>
      <c r="BG125" s="20">
        <f t="shared" si="61"/>
        <v>251.00231881385491</v>
      </c>
      <c r="BH125" s="59">
        <f t="shared" si="62"/>
        <v>539.0244992961043</v>
      </c>
      <c r="BI125" s="59">
        <f ca="1">AVERAGE(OFFSET($BH$3,0,0,'Données projet'!$E$11+1,1))-AVERAGE(OFFSET($H$3,0,0,'Données projet'!$E$11+1,1))</f>
        <v>351.46787950120347</v>
      </c>
      <c r="BJ125" s="59">
        <f t="shared" si="92"/>
        <v>283.42185695241858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121.92527828132047</v>
      </c>
      <c r="BQ125" s="21">
        <f>EXP(-LN(2)/25)*BQ124+(1-EXP(-LN(2)/25))/(LN(2)/25)*Calculateur!BL125*Calculateur!BN125*VLOOKUP('Données projet'!$B$11,Paramètres!$A$1:$I$89,3,0)*0.475*44/12</f>
        <v>44.696438836577705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166.62171711789819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68.551503767886217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68.551503767886217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68.551503767886217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68.551503767886217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68.551503767886217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68.551503767886217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68.551503767886217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2.4500000000000002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8.9833333333333343</v>
      </c>
      <c r="H126" s="67">
        <f t="shared" si="56"/>
        <v>220.73333333333335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68.576631939160961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7.9920000000000018</v>
      </c>
      <c r="N126" s="13">
        <f>IF('Données projet'!$A$36&gt;35,N125+M126-V125,IF(A126&lt;'Données projet'!$A$36,$K$205^A126,IF(A126='Données projet'!$A$36,'Données projet'!$B$36,N125+M126-V125)))</f>
        <v>400.42800000000068</v>
      </c>
      <c r="O126" s="13">
        <f>N126*VLOOKUP('Données projet'!$B$9,Paramètres!$A$1:$I$89,3,0)*VLOOKUP('Données projet'!$B$9,Paramètres!$A$1:$I$89,5,0)</f>
        <v>406.03399200000069</v>
      </c>
      <c r="P126" s="13">
        <f t="shared" si="87"/>
        <v>92.998896489228883</v>
      </c>
      <c r="Q126" s="20">
        <f t="shared" si="107"/>
        <v>869.14894745207482</v>
      </c>
      <c r="R126" s="59">
        <f t="shared" si="55"/>
        <v>1157.2632645623316</v>
      </c>
      <c r="S126" s="59">
        <f ca="1">AVERAGE(OFFSET($R$3,0,0,'Données projet'!$E$9+1,1))-AVERAGE(OFFSET($H$3,0,0,'Données projet'!$E$9+1,1))</f>
        <v>668.93155285055116</v>
      </c>
      <c r="T126" s="59">
        <f t="shared" si="88"/>
        <v>306.43050420339659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57.924918816221599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57.924918816221599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68.576631939160961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7.9920000000000018</v>
      </c>
      <c r="AI126" s="13">
        <f>IF('Données projet'!$A$62&gt;35,AI125+AH126-AQ125,IF(A126&lt;'Données projet'!$A$62,$AF$205^A126,IF(A126='Données projet'!$A$62,'Données projet'!$B$62,AI125+AH126-AQ125)))</f>
        <v>400.42800000000068</v>
      </c>
      <c r="AJ126" s="13">
        <f>AI126*VLOOKUP('Données projet'!$B$10,Paramètres!$A$1:$I$89,3,0)*VLOOKUP('Données projet'!$B$10,Paramètres!$A$1:$I$89,5,0)</f>
        <v>387.29396160000067</v>
      </c>
      <c r="AK126" s="13">
        <f t="shared" si="89"/>
        <v>89.195891429851343</v>
      </c>
      <c r="AL126" s="20">
        <f t="shared" si="58"/>
        <v>829.8864940269923</v>
      </c>
      <c r="AM126" s="59">
        <f t="shared" si="59"/>
        <v>1118.0008111372492</v>
      </c>
      <c r="AN126" s="59">
        <f ca="1">AVERAGE(OFFSET($AM$3,0,0,'Données projet'!$E$10+1,1))-AVERAGE(OFFSET($H$3,0,0,'Données projet'!$E$10+1,1))</f>
        <v>641.25537514609562</v>
      </c>
      <c r="AO126" s="59">
        <f t="shared" si="90"/>
        <v>294.69846357521487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55.25146102470368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55.25146102470368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68.576631939160961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5.6409999999999938</v>
      </c>
      <c r="BD126" s="12">
        <f>IF('Données projet'!$A$88&gt;35,BD125+BC126-BL125,IF(A126&lt;'Données projet'!$A$88,$BA$205^A126,IF(A126='Données projet'!$A$88,'Données projet'!$B$88,BD125+BC126-BL125)))</f>
        <v>248.9620000000005</v>
      </c>
      <c r="BE126" s="13">
        <f>BD126*VLOOKUP('Données projet'!$B$11,Paramètres!$A$1:$I$89,3,0)*VLOOKUP('Données projet'!$B$11,Paramètres!$A$1:$I$89,5,0)</f>
        <v>116.51421600000023</v>
      </c>
      <c r="BF126" s="13">
        <f t="shared" si="91"/>
        <v>30.860607863693374</v>
      </c>
      <c r="BG126" s="20">
        <f t="shared" si="61"/>
        <v>256.67781822926639</v>
      </c>
      <c r="BH126" s="59">
        <f t="shared" si="62"/>
        <v>544.79213533952327</v>
      </c>
      <c r="BI126" s="59">
        <f ca="1">AVERAGE(OFFSET($BH$3,0,0,'Données projet'!$E$11+1,1))-AVERAGE(OFFSET($H$3,0,0,'Données projet'!$E$11+1,1))</f>
        <v>351.46787950120347</v>
      </c>
      <c r="BJ126" s="59">
        <f t="shared" si="92"/>
        <v>283.42185695241858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119.5343979413004</v>
      </c>
      <c r="BQ126" s="21">
        <f>EXP(-LN(2)/25)*BQ125+(1-EXP(-LN(2)/25))/(LN(2)/25)*Calculateur!BL126*Calculateur!BN126*VLOOKUP('Données projet'!$B$11,Paramètres!$A$1:$I$89,3,0)*0.475*44/12</f>
        <v>43.474212366107928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163.00861030740833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68.576631939160961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68.576631939160961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68.576631939160961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68.576631939160961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68.576631939160961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68.576631939160961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68.576631939160961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2.4500000000000002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8.9833333333333343</v>
      </c>
      <c r="H127" s="67">
        <f t="shared" si="56"/>
        <v>220.73333333333335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68.601324192842256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>
        <f>VLOOKUP(A127,'Données projet'!$A$35:$I$55,2,0)</f>
        <v>408.42</v>
      </c>
      <c r="L127" s="12">
        <f>VLOOKUP(A127,'Données projet'!$A$35:$I$55,9,0)</f>
        <v>7.9920000000000018</v>
      </c>
      <c r="M127" s="12">
        <f t="array" ref="M127">INDEX(L:L,MIN(IF(ISNUMBER(L127:L323),ROW(L127:L323),"")))</f>
        <v>7.9920000000000018</v>
      </c>
      <c r="N127" s="13">
        <f>IF('Données projet'!$A$36&gt;35,N126+M127-V126,IF(A127&lt;'Données projet'!$A$36,$K$205^A127,IF(A127='Données projet'!$A$36,'Données projet'!$B$36,N126+M127-V126)))</f>
        <v>408.4200000000007</v>
      </c>
      <c r="O127" s="13">
        <f>N127*VLOOKUP('Données projet'!$B$9,Paramètres!$A$1:$I$89,3,0)*VLOOKUP('Données projet'!$B$9,Paramètres!$A$1:$I$89,5,0)</f>
        <v>414.13788000000073</v>
      </c>
      <c r="P127" s="13">
        <f t="shared" si="87"/>
        <v>94.637083526579147</v>
      </c>
      <c r="Q127" s="20">
        <f t="shared" si="107"/>
        <v>886.1163948087933</v>
      </c>
      <c r="R127" s="59">
        <f t="shared" si="55"/>
        <v>1174.3212501825483</v>
      </c>
      <c r="S127" s="59">
        <f ca="1">AVERAGE(OFFSET($R$3,0,0,'Données projet'!$E$9+1,1))-AVERAGE(OFFSET($H$3,0,0,'Données projet'!$E$9+1,1))</f>
        <v>668.93155285055116</v>
      </c>
      <c r="T127" s="59">
        <f t="shared" si="88"/>
        <v>306.43050420339659</v>
      </c>
      <c r="U127" s="15">
        <f>IF(ISNA(VLOOKUP(A127,'Données projet'!$A$35:$I$55,3,0)),0,VLOOKUP(A127,'Données projet'!$A$35:$I$55,3,0))</f>
        <v>10</v>
      </c>
      <c r="V127" s="15">
        <f>IF(ISNA(VLOOKUP(A127,'Données projet'!$A$35:$I$55,4,0)),0,VLOOKUP(A127,'Données projet'!$A$35:$I$55,4,0))</f>
        <v>52.53</v>
      </c>
      <c r="W127" s="16">
        <f>IF(ISNA(VLOOKUP(A127,'Données projet'!$A$35:$I$55,5,0)),0%,VLOOKUP(A127,'Données projet'!$A$35:$I$55,5,0)*VLOOKUP('Données projet'!$B$9,Paramètres!$A$1:$I$89,7,0))</f>
        <v>0.25800000000000001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71.980949257299912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71.980949257299912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68.601324192842256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408.42</v>
      </c>
      <c r="AG127" s="12">
        <f>VLOOKUP(A127,'Données projet'!$A$61:$I$81,9,0)</f>
        <v>7.9920000000000018</v>
      </c>
      <c r="AH127" s="12">
        <f t="array" ref="AH127">INDEX(AG:AG,MIN(IF(ISNUMBER(AG127:AG323),ROW(AG127:AG323),"")))</f>
        <v>7.9920000000000018</v>
      </c>
      <c r="AI127" s="13">
        <f>IF('Données projet'!$A$62&gt;35,AI126+AH127-AQ126,IF(A127&lt;'Données projet'!$A$62,$AF$205^A127,IF(A127='Données projet'!$A$62,'Données projet'!$B$62,AI126+AH127-AQ126)))</f>
        <v>408.4200000000007</v>
      </c>
      <c r="AJ127" s="13">
        <f>AI127*VLOOKUP('Données projet'!$B$10,Paramètres!$A$1:$I$89,3,0)*VLOOKUP('Données projet'!$B$10,Paramètres!$A$1:$I$89,5,0)</f>
        <v>395.02382400000067</v>
      </c>
      <c r="AK127" s="13">
        <f t="shared" si="89"/>
        <v>90.767088063805105</v>
      </c>
      <c r="AL127" s="20">
        <f t="shared" si="58"/>
        <v>846.08583851112826</v>
      </c>
      <c r="AM127" s="59">
        <f t="shared" si="59"/>
        <v>1134.2906938848832</v>
      </c>
      <c r="AN127" s="59">
        <f ca="1">AVERAGE(OFFSET($AM$3,0,0,'Données projet'!$E$10+1,1))-AVERAGE(OFFSET($H$3,0,0,'Données projet'!$E$10+1,1))</f>
        <v>641.25537514609562</v>
      </c>
      <c r="AO127" s="59">
        <f t="shared" si="90"/>
        <v>294.69846357521487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0.25800000000000001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68.658751599270687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68.658751599270687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68.601324192842256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5.6409999999999938</v>
      </c>
      <c r="BD127" s="12">
        <f>IF('Données projet'!$A$88&gt;35,BD126+BC127-BL126,IF(A127&lt;'Données projet'!$A$88,$BA$205^A127,IF(A127='Données projet'!$A$88,'Données projet'!$B$88,BD126+BC127-BL126)))</f>
        <v>254.60300000000049</v>
      </c>
      <c r="BE127" s="13">
        <f>BD127*VLOOKUP('Données projet'!$B$11,Paramètres!$A$1:$I$89,3,0)*VLOOKUP('Données projet'!$B$11,Paramètres!$A$1:$I$89,5,0)</f>
        <v>119.15420400000023</v>
      </c>
      <c r="BF127" s="13">
        <f t="shared" si="91"/>
        <v>31.477650132098876</v>
      </c>
      <c r="BG127" s="20">
        <f t="shared" si="61"/>
        <v>262.35047928007265</v>
      </c>
      <c r="BH127" s="59">
        <f t="shared" si="62"/>
        <v>550.55533465382757</v>
      </c>
      <c r="BI127" s="59">
        <f ca="1">AVERAGE(OFFSET($BH$3,0,0,'Données projet'!$E$11+1,1))-AVERAGE(OFFSET($H$3,0,0,'Données projet'!$E$11+1,1))</f>
        <v>351.46787950120347</v>
      </c>
      <c r="BJ127" s="59">
        <f t="shared" si="92"/>
        <v>283.42185695241858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117.1904013064551</v>
      </c>
      <c r="BQ127" s="21">
        <f>EXP(-LN(2)/25)*BQ126+(1-EXP(-LN(2)/25))/(LN(2)/25)*Calculateur!BL127*Calculateur!BN127*VLOOKUP('Données projet'!$B$11,Paramètres!$A$1:$I$89,3,0)*0.475*44/12</f>
        <v>42.285407742747239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159.47580904920233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68.601324192842256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68.601324192842256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68.601324192842256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68.601324192842256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68.601324192842256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68.601324192842256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68.601324192842256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2.4500000000000002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8.9833333333333343</v>
      </c>
      <c r="H128" s="67">
        <f t="shared" si="56"/>
        <v>220.73333333333335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68.625588091125792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8.0699999999999985</v>
      </c>
      <c r="N128" s="13">
        <f>IF('Données projet'!$A$36&gt;35,N127+M128-V127,IF(A128&lt;'Données projet'!$A$36,$K$205^A128,IF(A128='Données projet'!$A$36,'Données projet'!$B$36,N127+M128-V127)))</f>
        <v>363.96000000000072</v>
      </c>
      <c r="O128" s="13">
        <f>N128*VLOOKUP('Données projet'!$B$9,Paramètres!$A$1:$I$89,3,0)*VLOOKUP('Données projet'!$B$9,Paramètres!$A$1:$I$89,5,0)</f>
        <v>369.05544000000071</v>
      </c>
      <c r="P128" s="13">
        <f t="shared" si="87"/>
        <v>85.474036248241589</v>
      </c>
      <c r="Q128" s="20">
        <f t="shared" si="107"/>
        <v>791.63883779902199</v>
      </c>
      <c r="R128" s="59">
        <f t="shared" si="55"/>
        <v>1079.9326607998166</v>
      </c>
      <c r="S128" s="59">
        <f ca="1">AVERAGE(OFFSET($R$3,0,0,'Données projet'!$E$9+1,1))-AVERAGE(OFFSET($H$3,0,0,'Données projet'!$E$9+1,1))</f>
        <v>668.93155285055116</v>
      </c>
      <c r="T128" s="59">
        <f t="shared" si="88"/>
        <v>306.43050420339659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70.569446746408147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70.569446746408147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68.625588091125792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8.0699999999999985</v>
      </c>
      <c r="AI128" s="13">
        <f>IF('Données projet'!$A$62&gt;35,AI127+AH128-AQ127,IF(A128&lt;'Données projet'!$A$62,$AF$205^A128,IF(A128='Données projet'!$A$62,'Données projet'!$B$62,AI127+AH128-AQ127)))</f>
        <v>363.96000000000072</v>
      </c>
      <c r="AJ128" s="13">
        <f>AI128*VLOOKUP('Données projet'!$B$10,Paramètres!$A$1:$I$89,3,0)*VLOOKUP('Données projet'!$B$10,Paramètres!$A$1:$I$89,5,0)</f>
        <v>352.02211200000067</v>
      </c>
      <c r="AK128" s="13">
        <f t="shared" si="89"/>
        <v>81.978745394600864</v>
      </c>
      <c r="AL128" s="20">
        <f t="shared" si="58"/>
        <v>755.88482662893102</v>
      </c>
      <c r="AM128" s="59">
        <f t="shared" si="59"/>
        <v>1044.1786496297257</v>
      </c>
      <c r="AN128" s="59">
        <f ca="1">AVERAGE(OFFSET($AM$3,0,0,'Données projet'!$E$10+1,1))-AVERAGE(OFFSET($H$3,0,0,'Données projet'!$E$10+1,1))</f>
        <v>641.25537514609562</v>
      </c>
      <c r="AO128" s="59">
        <f t="shared" si="90"/>
        <v>294.69846357521487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67.312395358112383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67.312395358112383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68.625588091125792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5.6409999999999938</v>
      </c>
      <c r="BD128" s="12">
        <f>IF('Données projet'!$A$88&gt;35,BD127+BC128-BL127,IF(A128&lt;'Données projet'!$A$88,$BA$205^A128,IF(A128='Données projet'!$A$88,'Données projet'!$B$88,BD127+BC128-BL127)))</f>
        <v>260.24400000000048</v>
      </c>
      <c r="BE128" s="13">
        <f>BD128*VLOOKUP('Données projet'!$B$11,Paramètres!$A$1:$I$89,3,0)*VLOOKUP('Données projet'!$B$11,Paramètres!$A$1:$I$89,5,0)</f>
        <v>121.79419200000022</v>
      </c>
      <c r="BF128" s="13">
        <f t="shared" si="91"/>
        <v>32.093102982453836</v>
      </c>
      <c r="BG128" s="20">
        <f t="shared" si="61"/>
        <v>268.0203720944408</v>
      </c>
      <c r="BH128" s="59">
        <f t="shared" si="62"/>
        <v>556.31419509523539</v>
      </c>
      <c r="BI128" s="59">
        <f ca="1">AVERAGE(OFFSET($BH$3,0,0,'Données projet'!$E$11+1,1))-AVERAGE(OFFSET($H$3,0,0,'Données projet'!$E$11+1,1))</f>
        <v>351.46787950120347</v>
      </c>
      <c r="BJ128" s="59">
        <f t="shared" si="92"/>
        <v>283.42185695241858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114.89236901592234</v>
      </c>
      <c r="BQ128" s="21">
        <f>EXP(-LN(2)/25)*BQ127+(1-EXP(-LN(2)/25))/(LN(2)/25)*Calculateur!BL128*Calculateur!BN128*VLOOKUP('Données projet'!$B$11,Paramètres!$A$1:$I$89,3,0)*0.475*44/12</f>
        <v>41.129111044328866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156.02148006025121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68.625588091125792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68.625588091125792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68.625588091125792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68.625588091125792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68.625588091125792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68.625588091125792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68.625588091125792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2.4500000000000002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8.9833333333333343</v>
      </c>
      <c r="H129" s="67">
        <f t="shared" si="56"/>
        <v>220.73333333333335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68.649431065020053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8.0699999999999985</v>
      </c>
      <c r="N129" s="13">
        <f>IF('Données projet'!$A$36&gt;35,N128+M129-V128,IF(A129&lt;'Données projet'!$A$36,$K$205^A129,IF(A129='Données projet'!$A$36,'Données projet'!$B$36,N128+M129-V128)))</f>
        <v>372.03000000000071</v>
      </c>
      <c r="O129" s="13">
        <f>N129*VLOOKUP('Données projet'!$B$9,Paramètres!$A$1:$I$89,3,0)*VLOOKUP('Données projet'!$B$9,Paramètres!$A$1:$I$89,5,0)</f>
        <v>377.23842000000076</v>
      </c>
      <c r="P129" s="13">
        <f t="shared" si="87"/>
        <v>87.146487914300891</v>
      </c>
      <c r="Q129" s="20">
        <f t="shared" si="107"/>
        <v>808.80371461740867</v>
      </c>
      <c r="R129" s="59">
        <f t="shared" si="55"/>
        <v>1097.1849618558156</v>
      </c>
      <c r="S129" s="59">
        <f ca="1">AVERAGE(OFFSET($R$3,0,0,'Données projet'!$E$9+1,1))-AVERAGE(OFFSET($H$3,0,0,'Données projet'!$E$9+1,1))</f>
        <v>668.93155285055116</v>
      </c>
      <c r="T129" s="59">
        <f t="shared" si="88"/>
        <v>306.43050420339659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69.185622938823442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69.185622938823442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68.649431065020053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8.0699999999999985</v>
      </c>
      <c r="AI129" s="13">
        <f>IF('Données projet'!$A$62&gt;35,AI128+AH129-AQ128,IF(A129&lt;'Données projet'!$A$62,$AF$205^A129,IF(A129='Données projet'!$A$62,'Données projet'!$B$62,AI128+AH129-AQ128)))</f>
        <v>372.03000000000071</v>
      </c>
      <c r="AJ129" s="13">
        <f>AI129*VLOOKUP('Données projet'!$B$10,Paramètres!$A$1:$I$89,3,0)*VLOOKUP('Données projet'!$B$10,Paramètres!$A$1:$I$89,5,0)</f>
        <v>359.82741600000071</v>
      </c>
      <c r="AK129" s="13">
        <f t="shared" si="89"/>
        <v>83.582805473365028</v>
      </c>
      <c r="AL129" s="20">
        <f t="shared" si="58"/>
        <v>772.27280239944514</v>
      </c>
      <c r="AM129" s="59">
        <f t="shared" si="59"/>
        <v>1060.654049637852</v>
      </c>
      <c r="AN129" s="59">
        <f ca="1">AVERAGE(OFFSET($AM$3,0,0,'Données projet'!$E$10+1,1))-AVERAGE(OFFSET($H$3,0,0,'Données projet'!$E$10+1,1))</f>
        <v>641.25537514609562</v>
      </c>
      <c r="AO129" s="59">
        <f t="shared" si="90"/>
        <v>294.69846357521487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65.992440341646969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65.992440341646969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68.649431065020053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5.6409999999999938</v>
      </c>
      <c r="BD129" s="12">
        <f>IF('Données projet'!$A$88&gt;35,BD128+BC129-BL128,IF(A129&lt;'Données projet'!$A$88,$BA$205^A129,IF(A129='Données projet'!$A$88,'Données projet'!$B$88,BD128+BC129-BL128)))</f>
        <v>265.8850000000005</v>
      </c>
      <c r="BE129" s="13">
        <f>BD129*VLOOKUP('Données projet'!$B$11,Paramètres!$A$1:$I$89,3,0)*VLOOKUP('Données projet'!$B$11,Paramètres!$A$1:$I$89,5,0)</f>
        <v>124.43418000000024</v>
      </c>
      <c r="BF129" s="13">
        <f t="shared" si="91"/>
        <v>32.70700483448563</v>
      </c>
      <c r="BG129" s="20">
        <f t="shared" si="61"/>
        <v>273.68756358672954</v>
      </c>
      <c r="BH129" s="59">
        <f t="shared" si="62"/>
        <v>562.06881082513632</v>
      </c>
      <c r="BI129" s="59">
        <f ca="1">AVERAGE(OFFSET($BH$3,0,0,'Données projet'!$E$11+1,1))-AVERAGE(OFFSET($H$3,0,0,'Données projet'!$E$11+1,1))</f>
        <v>351.46787950120347</v>
      </c>
      <c r="BJ129" s="59">
        <f t="shared" si="92"/>
        <v>283.42185695241858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112.63939973694563</v>
      </c>
      <c r="BQ129" s="21">
        <f>EXP(-LN(2)/25)*BQ128+(1-EXP(-LN(2)/25))/(LN(2)/25)*Calculateur!BL129*Calculateur!BN129*VLOOKUP('Données projet'!$B$11,Paramètres!$A$1:$I$89,3,0)*0.475*44/12</f>
        <v>40.004433339935744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152.64383307688138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68.649431065020053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68.649431065020053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68.649431065020053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68.649431065020053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68.649431065020053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68.649431065020053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68.649431065020053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2.4500000000000002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8.9833333333333343</v>
      </c>
      <c r="H130" s="67">
        <f t="shared" si="56"/>
        <v>220.73333333333335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68.672860416622171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8.0699999999999985</v>
      </c>
      <c r="N130" s="13">
        <f>IF('Données projet'!$A$36&gt;35,N129+M130-V129,IF(A130&lt;'Données projet'!$A$36,$K$205^A130,IF(A130='Données projet'!$A$36,'Données projet'!$B$36,N129+M130-V129)))</f>
        <v>380.1000000000007</v>
      </c>
      <c r="O130" s="13">
        <f>N130*VLOOKUP('Données projet'!$B$9,Paramètres!$A$1:$I$89,3,0)*VLOOKUP('Données projet'!$B$9,Paramètres!$A$1:$I$89,5,0)</f>
        <v>385.42140000000074</v>
      </c>
      <c r="P130" s="13">
        <f t="shared" si="87"/>
        <v>88.814721741694029</v>
      </c>
      <c r="Q130" s="20">
        <f t="shared" si="107"/>
        <v>825.96124536678508</v>
      </c>
      <c r="R130" s="59">
        <f t="shared" si="55"/>
        <v>1114.4284002277332</v>
      </c>
      <c r="S130" s="59">
        <f ca="1">AVERAGE(OFFSET($R$3,0,0,'Données projet'!$E$9+1,1))-AVERAGE(OFFSET($H$3,0,0,'Données projet'!$E$9+1,1))</f>
        <v>668.93155285055116</v>
      </c>
      <c r="T130" s="59">
        <f t="shared" si="88"/>
        <v>306.43050420339659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67.828935072056296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67.828935072056296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68.672860416622171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8.0699999999999985</v>
      </c>
      <c r="AI130" s="13">
        <f>IF('Données projet'!$A$62&gt;35,AI129+AH130-AQ129,IF(A130&lt;'Données projet'!$A$62,$AF$205^A130,IF(A130='Données projet'!$A$62,'Données projet'!$B$62,AI129+AH130-AQ129)))</f>
        <v>380.1000000000007</v>
      </c>
      <c r="AJ130" s="13">
        <f>AI130*VLOOKUP('Données projet'!$B$10,Paramètres!$A$1:$I$89,3,0)*VLOOKUP('Données projet'!$B$10,Paramètres!$A$1:$I$89,5,0)</f>
        <v>367.63272000000069</v>
      </c>
      <c r="AK130" s="13">
        <f t="shared" si="89"/>
        <v>85.182820193593429</v>
      </c>
      <c r="AL130" s="20">
        <f t="shared" si="58"/>
        <v>788.65373250384312</v>
      </c>
      <c r="AM130" s="59">
        <f t="shared" si="59"/>
        <v>1077.1208873647911</v>
      </c>
      <c r="AN130" s="59">
        <f ca="1">AVERAGE(OFFSET($AM$3,0,0,'Données projet'!$E$10+1,1))-AVERAGE(OFFSET($H$3,0,0,'Données projet'!$E$10+1,1))</f>
        <v>641.25537514609562</v>
      </c>
      <c r="AO130" s="59">
        <f t="shared" si="90"/>
        <v>294.69846357521487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64.698368837961382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64.698368837961382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68.672860416622171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5.6409999999999938</v>
      </c>
      <c r="BD130" s="12">
        <f>IF('Données projet'!$A$88&gt;35,BD129+BC130-BL129,IF(A130&lt;'Données projet'!$A$88,$BA$205^A130,IF(A130='Données projet'!$A$88,'Données projet'!$B$88,BD129+BC130-BL129)))</f>
        <v>271.52600000000052</v>
      </c>
      <c r="BE130" s="13">
        <f>BD130*VLOOKUP('Données projet'!$B$11,Paramètres!$A$1:$I$89,3,0)*VLOOKUP('Données projet'!$B$11,Paramètres!$A$1:$I$89,5,0)</f>
        <v>127.07416800000024</v>
      </c>
      <c r="BF130" s="13">
        <f t="shared" si="91"/>
        <v>33.319392384561489</v>
      </c>
      <c r="BG130" s="20">
        <f t="shared" si="61"/>
        <v>279.35211766977835</v>
      </c>
      <c r="BH130" s="59">
        <f t="shared" si="62"/>
        <v>567.81927253072627</v>
      </c>
      <c r="BI130" s="59">
        <f ca="1">AVERAGE(OFFSET($BH$3,0,0,'Données projet'!$E$11+1,1))-AVERAGE(OFFSET($H$3,0,0,'Données projet'!$E$11+1,1))</f>
        <v>351.46787950120347</v>
      </c>
      <c r="BJ130" s="59">
        <f t="shared" si="92"/>
        <v>283.42185695241858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110.43060981135409</v>
      </c>
      <c r="BQ130" s="21">
        <f>EXP(-LN(2)/25)*BQ129+(1-EXP(-LN(2)/25))/(LN(2)/25)*Calculateur!BL130*Calculateur!BN130*VLOOKUP('Données projet'!$B$11,Paramètres!$A$1:$I$89,3,0)*0.475*44/12</f>
        <v>38.910510006513483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149.34111981786756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68.672860416622171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68.672860416622171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68.672860416622171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68.672860416622171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68.672860416622171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68.672860416622171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68.672860416622171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2.4500000000000002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8.9833333333333343</v>
      </c>
      <c r="H131" s="67">
        <f t="shared" si="56"/>
        <v>220.73333333333335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68.69588332135416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8.0699999999999985</v>
      </c>
      <c r="N131" s="13">
        <f>IF('Données projet'!$A$36&gt;35,N130+M131-V130,IF(A131&lt;'Données projet'!$A$36,$K$205^A131,IF(A131='Données projet'!$A$36,'Données projet'!$B$36,N130+M131-V130)))</f>
        <v>388.1700000000007</v>
      </c>
      <c r="O131" s="13">
        <f>N131*VLOOKUP('Données projet'!$B$9,Paramètres!$A$1:$I$89,3,0)*VLOOKUP('Données projet'!$B$9,Paramètres!$A$1:$I$89,5,0)</f>
        <v>393.60438000000073</v>
      </c>
      <c r="P131" s="13">
        <f t="shared" si="87"/>
        <v>90.478837595769321</v>
      </c>
      <c r="Q131" s="20">
        <f t="shared" ref="Q131:Q153" si="108">(O131+P131)*0.475*44/12</f>
        <v>843.1116039792995</v>
      </c>
      <c r="R131" s="59">
        <f t="shared" ref="R131:R194" si="109">Q131+(I131+J131)*44/12</f>
        <v>1131.6631761575982</v>
      </c>
      <c r="S131" s="59">
        <f ca="1">AVERAGE(OFFSET($R$3,0,0,'Données projet'!$E$9+1,1))-AVERAGE(OFFSET($H$3,0,0,'Données projet'!$E$9+1,1))</f>
        <v>668.93155285055116</v>
      </c>
      <c r="T131" s="59">
        <f t="shared" si="88"/>
        <v>306.43050420339659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66.49885102685856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66.49885102685856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68.69588332135416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8.0699999999999985</v>
      </c>
      <c r="AI131" s="13">
        <f>IF('Données projet'!$A$62&gt;35,AI130+AH131-AQ130,IF(A131&lt;'Données projet'!$A$62,$AF$205^A131,IF(A131='Données projet'!$A$62,'Données projet'!$B$62,AI130+AH131-AQ130)))</f>
        <v>388.1700000000007</v>
      </c>
      <c r="AJ131" s="13">
        <f>AI131*VLOOKUP('Données projet'!$B$10,Paramètres!$A$1:$I$89,3,0)*VLOOKUP('Données projet'!$B$10,Paramètres!$A$1:$I$89,5,0)</f>
        <v>375.43802400000067</v>
      </c>
      <c r="AK131" s="13">
        <f t="shared" si="89"/>
        <v>86.778885336839423</v>
      </c>
      <c r="AL131" s="20">
        <f t="shared" si="58"/>
        <v>805.02778376166316</v>
      </c>
      <c r="AM131" s="59">
        <f t="shared" si="59"/>
        <v>1093.5793559399617</v>
      </c>
      <c r="AN131" s="59">
        <f ca="1">AVERAGE(OFFSET($AM$3,0,0,'Données projet'!$E$10+1,1))-AVERAGE(OFFSET($H$3,0,0,'Données projet'!$E$10+1,1))</f>
        <v>641.25537514609562</v>
      </c>
      <c r="AO131" s="59">
        <f t="shared" si="90"/>
        <v>294.69846357521487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63.429673287157392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63.429673287157392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68.69588332135416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5.6409999999999938</v>
      </c>
      <c r="BD131" s="12">
        <f>IF('Données projet'!$A$88&gt;35,BD130+BC131-BL130,IF(A131&lt;'Données projet'!$A$88,$BA$205^A131,IF(A131='Données projet'!$A$88,'Données projet'!$B$88,BD130+BC131-BL130)))</f>
        <v>277.16700000000054</v>
      </c>
      <c r="BE131" s="13">
        <f>BD131*VLOOKUP('Données projet'!$B$11,Paramètres!$A$1:$I$89,3,0)*VLOOKUP('Données projet'!$B$11,Paramètres!$A$1:$I$89,5,0)</f>
        <v>129.71415600000026</v>
      </c>
      <c r="BF131" s="13">
        <f t="shared" si="91"/>
        <v>33.930300717162936</v>
      </c>
      <c r="BG131" s="20">
        <f t="shared" si="61"/>
        <v>285.0140954490592</v>
      </c>
      <c r="BH131" s="59">
        <f t="shared" si="62"/>
        <v>573.56566762735781</v>
      </c>
      <c r="BI131" s="59">
        <f ca="1">AVERAGE(OFFSET($BH$3,0,0,'Données projet'!$E$11+1,1))-AVERAGE(OFFSET($H$3,0,0,'Données projet'!$E$11+1,1))</f>
        <v>351.46787950120347</v>
      </c>
      <c r="BJ131" s="59">
        <f t="shared" si="92"/>
        <v>283.42185695241858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108.26513290897456</v>
      </c>
      <c r="BQ131" s="21">
        <f>EXP(-LN(2)/25)*BQ130+(1-EXP(-LN(2)/25))/(LN(2)/25)*Calculateur!BL131*Calculateur!BN131*VLOOKUP('Données projet'!$B$11,Paramètres!$A$1:$I$89,3,0)*0.475*44/12</f>
        <v>37.846500064170584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146.11163297314516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68.69588332135416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68.69588332135416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68.69588332135416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68.69588332135416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68.69588332135416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68.69588332135416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68.69588332135416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2.4500000000000002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8.9833333333333343</v>
      </c>
      <c r="H132" s="67">
        <f t="shared" ref="H132:H195" si="110">(B132+E132+F132)*44/12+(C132+D132)*0.475*44/12</f>
        <v>220.73333333333335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68.71850683016055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8.0699999999999985</v>
      </c>
      <c r="N132" s="13">
        <f>IF('Données projet'!$A$36&gt;35,N131+M132-V131,IF(A132&lt;'Données projet'!$A$36,$K$205^A132,IF(A132='Données projet'!$A$36,'Données projet'!$B$36,N131+M132-V131)))</f>
        <v>396.24000000000069</v>
      </c>
      <c r="O132" s="13">
        <f>N132*VLOOKUP('Données projet'!$B$9,Paramètres!$A$1:$I$89,3,0)*VLOOKUP('Données projet'!$B$9,Paramètres!$A$1:$I$89,5,0)</f>
        <v>401.78736000000072</v>
      </c>
      <c r="P132" s="13">
        <f t="shared" si="87"/>
        <v>92.138930952196844</v>
      </c>
      <c r="Q132" s="20">
        <f t="shared" si="108"/>
        <v>860.25495674174408</v>
      </c>
      <c r="R132" s="59">
        <f t="shared" si="109"/>
        <v>1148.889481785666</v>
      </c>
      <c r="S132" s="59">
        <f ca="1">AVERAGE(OFFSET($R$3,0,0,'Données projet'!$E$9+1,1))-AVERAGE(OFFSET($H$3,0,0,'Données projet'!$E$9+1,1))</f>
        <v>668.93155285055116</v>
      </c>
      <c r="T132" s="59">
        <f t="shared" si="88"/>
        <v>306.43050420339659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65.19484911851599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65.19484911851599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68.71850683016055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8.0699999999999985</v>
      </c>
      <c r="AI132" s="13">
        <f>IF('Données projet'!$A$62&gt;35,AI131+AH132-AQ131,IF(A132&lt;'Données projet'!$A$62,$AF$205^A132,IF(A132='Données projet'!$A$62,'Données projet'!$B$62,AI131+AH132-AQ131)))</f>
        <v>396.24000000000069</v>
      </c>
      <c r="AJ132" s="13">
        <f>AI132*VLOOKUP('Données projet'!$B$10,Paramètres!$A$1:$I$89,3,0)*VLOOKUP('Données projet'!$B$10,Paramètres!$A$1:$I$89,5,0)</f>
        <v>383.2433280000007</v>
      </c>
      <c r="AK132" s="13">
        <f t="shared" si="89"/>
        <v>88.371092474485081</v>
      </c>
      <c r="AL132" s="20">
        <f t="shared" ref="AL132:AL153" si="112">(AJ132+AK132)*0.475*44/12</f>
        <v>821.39511565972941</v>
      </c>
      <c r="AM132" s="59">
        <f t="shared" ref="AM132:AM195" si="113">AL132+(AD132+AE132)*44/12</f>
        <v>1110.0296407036515</v>
      </c>
      <c r="AN132" s="59">
        <f ca="1">AVERAGE(OFFSET($AM$3,0,0,'Données projet'!$E$10+1,1))-AVERAGE(OFFSET($H$3,0,0,'Données projet'!$E$10+1,1))</f>
        <v>641.25537514609562</v>
      </c>
      <c r="AO132" s="59">
        <f t="shared" si="90"/>
        <v>294.69846357521487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62.185856082276793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62.185856082276793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68.71850683016055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5.6409999999999938</v>
      </c>
      <c r="BD132" s="12">
        <f>IF('Données projet'!$A$88&gt;35,BD131+BC132-BL131,IF(A132&lt;'Données projet'!$A$88,$BA$205^A132,IF(A132='Données projet'!$A$88,'Données projet'!$B$88,BD131+BC132-BL131)))</f>
        <v>282.80800000000056</v>
      </c>
      <c r="BE132" s="13">
        <f>BD132*VLOOKUP('Données projet'!$B$11,Paramètres!$A$1:$I$89,3,0)*VLOOKUP('Données projet'!$B$11,Paramètres!$A$1:$I$89,5,0)</f>
        <v>132.35414400000025</v>
      </c>
      <c r="BF132" s="13">
        <f t="shared" si="91"/>
        <v>34.539763407028346</v>
      </c>
      <c r="BG132" s="20">
        <f t="shared" ref="BG132:BG153" si="115">(BE132+BF132)*0.475*44/12</f>
        <v>290.6735554005748</v>
      </c>
      <c r="BH132" s="59">
        <f t="shared" ref="BH132:BH195" si="116">BG132+(AY132+AZ132)*44/12</f>
        <v>579.3080804444968</v>
      </c>
      <c r="BI132" s="59">
        <f ca="1">AVERAGE(OFFSET($BH$3,0,0,'Données projet'!$E$11+1,1))-AVERAGE(OFFSET($H$3,0,0,'Données projet'!$E$11+1,1))</f>
        <v>351.46787950120347</v>
      </c>
      <c r="BJ132" s="59">
        <f t="shared" si="92"/>
        <v>283.42185695241858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106.14211968784021</v>
      </c>
      <c r="BQ132" s="21">
        <f>EXP(-LN(2)/25)*BQ131+(1-EXP(-LN(2)/25))/(LN(2)/25)*Calculateur!BL132*Calculateur!BN132*VLOOKUP('Données projet'!$B$11,Paramètres!$A$1:$I$89,3,0)*0.475*44/12</f>
        <v>36.811585529654899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142.9537052174951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68.71850683016055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68.71850683016055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68.71850683016055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68.71850683016055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68.71850683016055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68.71850683016055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68.71850683016055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2.4500000000000002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8.9833333333333343</v>
      </c>
      <c r="H133" s="67">
        <f t="shared" si="110"/>
        <v>220.73333333333335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68.740737871667747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8.0699999999999985</v>
      </c>
      <c r="N133" s="13">
        <f>IF('Données projet'!$A$36&gt;35,N132+M133-V132,IF(A133&lt;'Données projet'!$A$36,$K$205^A133,IF(A133='Données projet'!$A$36,'Données projet'!$B$36,N132+M133-V132)))</f>
        <v>404.31000000000068</v>
      </c>
      <c r="O133" s="13">
        <f>N133*VLOOKUP('Données projet'!$B$9,Paramètres!$A$1:$I$89,3,0)*VLOOKUP('Données projet'!$B$9,Paramètres!$A$1:$I$89,5,0)</f>
        <v>409.9703400000007</v>
      </c>
      <c r="P133" s="13">
        <f t="shared" ref="P133:P196" si="141">EXP(-1.0587+0.8836*LN(O133)+0.284)</f>
        <v>93.795093175328134</v>
      </c>
      <c r="Q133" s="20">
        <f t="shared" si="108"/>
        <v>877.39146278036435</v>
      </c>
      <c r="R133" s="59">
        <f t="shared" si="109"/>
        <v>1166.1075016431462</v>
      </c>
      <c r="S133" s="59">
        <f ca="1">AVERAGE(OFFSET($R$3,0,0,'Données projet'!$E$9+1,1))-AVERAGE(OFFSET($H$3,0,0,'Données projet'!$E$9+1,1))</f>
        <v>668.93155285055116</v>
      </c>
      <c r="T133" s="59">
        <f t="shared" ref="T133:T196" si="142">$T$3</f>
        <v>306.43050420339659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63.91641789223339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63.91641789223339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68.740737871667747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8.0699999999999985</v>
      </c>
      <c r="AI133" s="13">
        <f>IF('Données projet'!$A$62&gt;35,AI132+AH133-AQ132,IF(A133&lt;'Données projet'!$A$62,$AF$205^A133,IF(A133='Données projet'!$A$62,'Données projet'!$B$62,AI132+AH133-AQ132)))</f>
        <v>404.31000000000068</v>
      </c>
      <c r="AJ133" s="13">
        <f>AI133*VLOOKUP('Données projet'!$B$10,Paramètres!$A$1:$I$89,3,0)*VLOOKUP('Données projet'!$B$10,Paramètres!$A$1:$I$89,5,0)</f>
        <v>391.04863200000068</v>
      </c>
      <c r="AK133" s="13">
        <f t="shared" ref="AK133:AK153" si="143">EXP(-1.0587+0.8836*LN(AJ133)+0.284)</f>
        <v>89.959529234718644</v>
      </c>
      <c r="AL133" s="20">
        <f t="shared" si="112"/>
        <v>837.75588081713613</v>
      </c>
      <c r="AM133" s="59">
        <f t="shared" si="113"/>
        <v>1126.4719196799178</v>
      </c>
      <c r="AN133" s="59">
        <f ca="1">AVERAGE(OFFSET($AM$3,0,0,'Données projet'!$E$10+1,1))-AVERAGE(OFFSET($H$3,0,0,'Données projet'!$E$10+1,1))</f>
        <v>641.25537514609562</v>
      </c>
      <c r="AO133" s="59">
        <f t="shared" ref="AO133:AO196" si="144">$AO$3</f>
        <v>294.69846357521487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60.966429374130314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60.966429374130314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68.740737871667747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5.6409999999999938</v>
      </c>
      <c r="BD133" s="12">
        <f>IF('Données projet'!$A$88&gt;35,BD132+BC133-BL132,IF(A133&lt;'Données projet'!$A$88,$BA$205^A133,IF(A133='Données projet'!$A$88,'Données projet'!$B$88,BD132+BC133-BL132)))</f>
        <v>288.44900000000058</v>
      </c>
      <c r="BE133" s="13">
        <f>BD133*VLOOKUP('Données projet'!$B$11,Paramètres!$A$1:$I$89,3,0)*VLOOKUP('Données projet'!$B$11,Paramètres!$A$1:$I$89,5,0)</f>
        <v>134.99413200000029</v>
      </c>
      <c r="BF133" s="13">
        <f t="shared" ref="BF133:BF153" si="145">EXP(-1.0587+0.8836*LN(BE133)+0.284)</f>
        <v>35.14781261291612</v>
      </c>
      <c r="BG133" s="20">
        <f t="shared" si="115"/>
        <v>296.33055353416273</v>
      </c>
      <c r="BH133" s="59">
        <f t="shared" si="116"/>
        <v>585.04659239694456</v>
      </c>
      <c r="BI133" s="59">
        <f ca="1">AVERAGE(OFFSET($BH$3,0,0,'Données projet'!$E$11+1,1))-AVERAGE(OFFSET($H$3,0,0,'Données projet'!$E$11+1,1))</f>
        <v>351.46787950120347</v>
      </c>
      <c r="BJ133" s="59">
        <f t="shared" ref="BJ133:BJ196" si="146">$BJ$3</f>
        <v>283.42185695241858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104.06073746106209</v>
      </c>
      <c r="BQ133" s="21">
        <f>EXP(-LN(2)/25)*BQ132+(1-EXP(-LN(2)/25))/(LN(2)/25)*Calculateur!BL133*Calculateur!BN133*VLOOKUP('Données projet'!$B$11,Paramètres!$A$1:$I$89,3,0)*0.475*44/12</f>
        <v>35.804970787509333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139.86570824857142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68.740737871667747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68.740737871667747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68.740737871667747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68.740737871667747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68.740737871667747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68.740737871667747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68.740737871667747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2.4500000000000002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8.9833333333333343</v>
      </c>
      <c r="H134" s="67">
        <f t="shared" si="110"/>
        <v>220.73333333333335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68.762583254305952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8.0699999999999985</v>
      </c>
      <c r="N134" s="13">
        <f>IF('Données projet'!$A$36&gt;35,N133+M134-V133,IF(A134&lt;'Données projet'!$A$36,$K$205^A134,IF(A134='Données projet'!$A$36,'Données projet'!$B$36,N133+M134-V133)))</f>
        <v>412.38000000000068</v>
      </c>
      <c r="O134" s="13">
        <f>N134*VLOOKUP('Données projet'!$B$9,Paramètres!$A$1:$I$89,3,0)*VLOOKUP('Données projet'!$B$9,Paramètres!$A$1:$I$89,5,0)</f>
        <v>418.15332000000069</v>
      </c>
      <c r="P134" s="13">
        <f t="shared" si="141"/>
        <v>95.44741177370463</v>
      </c>
      <c r="Q134" s="20">
        <f t="shared" si="108"/>
        <v>894.52127450587011</v>
      </c>
      <c r="R134" s="59">
        <f t="shared" si="109"/>
        <v>1183.3174131049918</v>
      </c>
      <c r="S134" s="59">
        <f ca="1">AVERAGE(OFFSET($R$3,0,0,'Données projet'!$E$9+1,1))-AVERAGE(OFFSET($H$3,0,0,'Données projet'!$E$9+1,1))</f>
        <v>668.93155285055116</v>
      </c>
      <c r="T134" s="59">
        <f t="shared" si="142"/>
        <v>306.43050420339659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62.663055922532145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62.663055922532145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68.762583254305952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8.0699999999999985</v>
      </c>
      <c r="AI134" s="13">
        <f>IF('Données projet'!$A$62&gt;35,AI133+AH134-AQ133,IF(A134&lt;'Données projet'!$A$62,$AF$205^A134,IF(A134='Données projet'!$A$62,'Données projet'!$B$62,AI133+AH134-AQ133)))</f>
        <v>412.38000000000068</v>
      </c>
      <c r="AJ134" s="13">
        <f>AI134*VLOOKUP('Données projet'!$B$10,Paramètres!$A$1:$I$89,3,0)*VLOOKUP('Données projet'!$B$10,Paramètres!$A$1:$I$89,5,0)</f>
        <v>398.85393600000066</v>
      </c>
      <c r="AK134" s="13">
        <f t="shared" si="143"/>
        <v>91.54427954759349</v>
      </c>
      <c r="AL134" s="20">
        <f t="shared" si="112"/>
        <v>854.11022541205978</v>
      </c>
      <c r="AM134" s="59">
        <f t="shared" si="113"/>
        <v>1142.9063640111817</v>
      </c>
      <c r="AN134" s="59">
        <f ca="1">AVERAGE(OFFSET($AM$3,0,0,'Données projet'!$E$10+1,1))-AVERAGE(OFFSET($H$3,0,0,'Données projet'!$E$10+1,1))</f>
        <v>641.25537514609562</v>
      </c>
      <c r="AO134" s="59">
        <f t="shared" si="144"/>
        <v>294.69846357521487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59.770914879953736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59.770914879953736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68.762583254305952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>
        <f>VLOOKUP(A134,'Données projet'!$A$87:$I$107,2,0)</f>
        <v>294.08999999999997</v>
      </c>
      <c r="BB134" s="12">
        <f>VLOOKUP(A134,'Données projet'!$A$87:$I$107,9,0)</f>
        <v>5.6409999999999938</v>
      </c>
      <c r="BC134" s="12">
        <f t="array" ref="BC134">INDEX(BB:BB,MIN(IF(ISNUMBER(BB134:BB330),ROW(BB134:BB330),"")))</f>
        <v>5.6409999999999938</v>
      </c>
      <c r="BD134" s="12">
        <f>IF('Données projet'!$A$88&gt;35,BD133+BC134-BL133,IF(A134&lt;'Données projet'!$A$88,$BA$205^A134,IF(A134='Données projet'!$A$88,'Données projet'!$B$88,BD133+BC134-BL133)))</f>
        <v>294.0900000000006</v>
      </c>
      <c r="BE134" s="13">
        <f>BD134*VLOOKUP('Données projet'!$B$11,Paramètres!$A$1:$I$89,3,0)*VLOOKUP('Données projet'!$B$11,Paramètres!$A$1:$I$89,5,0)</f>
        <v>137.63412000000028</v>
      </c>
      <c r="BF134" s="13">
        <f t="shared" si="145"/>
        <v>35.754479163825771</v>
      </c>
      <c r="BG134" s="20">
        <f t="shared" si="115"/>
        <v>301.9851435436637</v>
      </c>
      <c r="BH134" s="59">
        <f t="shared" si="116"/>
        <v>590.78128214278559</v>
      </c>
      <c r="BI134" s="59">
        <f ca="1">AVERAGE(OFFSET($BH$3,0,0,'Données projet'!$E$11+1,1))-AVERAGE(OFFSET($H$3,0,0,'Données projet'!$E$11+1,1))</f>
        <v>351.46787950120347</v>
      </c>
      <c r="BJ134" s="59">
        <f t="shared" si="146"/>
        <v>283.42185695241858</v>
      </c>
      <c r="BK134" s="15">
        <f>IF(ISNA(VLOOKUP(A134,'Données projet'!$A$87:$I$107,3,0)),0,VLOOKUP(A134,'Données projet'!$A$87:$I$107,3,0))</f>
        <v>8</v>
      </c>
      <c r="BL134" s="15">
        <f>IF(ISNA(VLOOKUP(A134,'Données projet'!$A$87:$I$107,4,0)),0,VLOOKUP(A134,'Données projet'!$A$87:$I$107,4,0))</f>
        <v>294.08999999999997</v>
      </c>
      <c r="BM134" s="16">
        <f>IF(ISNA(VLOOKUP(A134,'Données projet'!$A$87:$I$107,5,0)),0%,VLOOKUP(A134,'Données projet'!$A$87:$I$107,5,0)*VLOOKUP('Données projet'!$B$11,Paramètres!$A$1:$I$89,7,0))</f>
        <v>0.38500000000000001</v>
      </c>
      <c r="BN134" s="16">
        <f>IF(ISNA(VLOOKUP(A134,'Données projet'!$A$87:$I$107,6,0)),0%,VLOOKUP(A134,'Données projet'!$A$87:$I$107,6,0)*VLOOKUP('Données projet'!$B$11,Paramètres!$A$1:$I$89,7,0))</f>
        <v>0.16500000000000001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172.31367447759791</v>
      </c>
      <c r="BQ134" s="21">
        <f>EXP(-LN(2)/25)*BQ133+(1-EXP(-LN(2)/25))/(LN(2)/25)*Calculateur!BL134*Calculateur!BN134*VLOOKUP('Données projet'!$B$11,Paramètres!$A$1:$I$89,3,0)*0.475*44/12</f>
        <v>64.833052962337746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237.14672743993566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68.762583254305952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68.762583254305952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68.762583254305952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68.762583254305952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68.762583254305952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68.762583254305952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68.762583254305952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2.4500000000000002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8.9833333333333343</v>
      </c>
      <c r="H135" s="67">
        <f t="shared" si="110"/>
        <v>220.73333333333335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68.784049668394346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8.0699999999999985</v>
      </c>
      <c r="N135" s="13">
        <f>IF('Données projet'!$A$36&gt;35,N134+M135-V134,IF(A135&lt;'Données projet'!$A$36,$K$205^A135,IF(A135='Données projet'!$A$36,'Données projet'!$B$36,N134+M135-V134)))</f>
        <v>420.45000000000067</v>
      </c>
      <c r="O135" s="13">
        <f>N135*VLOOKUP('Données projet'!$B$9,Paramètres!$A$1:$I$89,3,0)*VLOOKUP('Données projet'!$B$9,Paramètres!$A$1:$I$89,5,0)</f>
        <v>426.33630000000073</v>
      </c>
      <c r="P135" s="13">
        <f t="shared" si="141"/>
        <v>97.095970634999375</v>
      </c>
      <c r="Q135" s="20">
        <f t="shared" si="108"/>
        <v>911.64453802262517</v>
      </c>
      <c r="R135" s="59">
        <f t="shared" si="109"/>
        <v>1200.5193868067377</v>
      </c>
      <c r="S135" s="59">
        <f ca="1">AVERAGE(OFFSET($R$3,0,0,'Données projet'!$E$9+1,1))-AVERAGE(OFFSET($H$3,0,0,'Données projet'!$E$9+1,1))</f>
        <v>668.93155285055116</v>
      </c>
      <c r="T135" s="59">
        <f t="shared" si="142"/>
        <v>306.43050420339659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61.43427161658142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61.43427161658142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68.784049668394346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8.0699999999999985</v>
      </c>
      <c r="AI135" s="13">
        <f>IF('Données projet'!$A$62&gt;35,AI134+AH135-AQ134,IF(A135&lt;'Données projet'!$A$62,$AF$205^A135,IF(A135='Données projet'!$A$62,'Données projet'!$B$62,AI134+AH135-AQ134)))</f>
        <v>420.45000000000067</v>
      </c>
      <c r="AJ135" s="13">
        <f>AI135*VLOOKUP('Données projet'!$B$10,Paramètres!$A$1:$I$89,3,0)*VLOOKUP('Données projet'!$B$10,Paramètres!$A$1:$I$89,5,0)</f>
        <v>406.65924000000069</v>
      </c>
      <c r="AK135" s="13">
        <f t="shared" si="143"/>
        <v>93.125423870362923</v>
      </c>
      <c r="AL135" s="20">
        <f t="shared" si="112"/>
        <v>870.45828957421656</v>
      </c>
      <c r="AM135" s="59">
        <f t="shared" si="113"/>
        <v>1159.3331383583291</v>
      </c>
      <c r="AN135" s="59">
        <f ca="1">AVERAGE(OFFSET($AM$3,0,0,'Données projet'!$E$10+1,1))-AVERAGE(OFFSET($H$3,0,0,'Données projet'!$E$10+1,1))</f>
        <v>641.25537514609562</v>
      </c>
      <c r="AO135" s="59">
        <f t="shared" si="144"/>
        <v>294.69846357521487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58.598843695816122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58.598843695816122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68.784049668394346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6.2527760746888816E-13</v>
      </c>
      <c r="BE135" s="13">
        <f>BD135*VLOOKUP('Données projet'!$B$11,Paramètres!$A$1:$I$89,3,0)*VLOOKUP('Données projet'!$B$11,Paramètres!$A$1:$I$89,5,0)</f>
        <v>2.9262992029543964E-13</v>
      </c>
      <c r="BF135" s="13">
        <f t="shared" si="145"/>
        <v>3.8796387982050903E-12</v>
      </c>
      <c r="BG135" s="20">
        <f t="shared" si="115"/>
        <v>7.2667013513884219E-12</v>
      </c>
      <c r="BH135" s="59">
        <f t="shared" si="116"/>
        <v>288.87484878411988</v>
      </c>
      <c r="BI135" s="59">
        <f ca="1">AVERAGE(OFFSET($BH$3,0,0,'Données projet'!$E$11+1,1))-AVERAGE(OFFSET($H$3,0,0,'Données projet'!$E$11+1,1))</f>
        <v>351.46787950120347</v>
      </c>
      <c r="BJ135" s="59">
        <f t="shared" si="146"/>
        <v>283.42185695241858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168.93470842205579</v>
      </c>
      <c r="BQ135" s="21">
        <f>EXP(-LN(2)/25)*BQ134+(1-EXP(-LN(2)/25))/(LN(2)/25)*Calculateur!BL135*Calculateur!BN135*VLOOKUP('Données projet'!$B$11,Paramètres!$A$1:$I$89,3,0)*0.475*44/12</f>
        <v>63.060189719660542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231.99489814171633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68.784049668394346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68.784049668394346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68.784049668394346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68.784049668394346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68.784049668394346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68.784049668394346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68.784049668394346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2.4500000000000002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8.9833333333333343</v>
      </c>
      <c r="H136" s="67">
        <f t="shared" si="110"/>
        <v>220.73333333333335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68.805143688190014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8.0699999999999985</v>
      </c>
      <c r="N136" s="13">
        <f>IF('Données projet'!$A$36&gt;35,N135+M136-V135,IF(A136&lt;'Données projet'!$A$36,$K$205^A136,IF(A136='Données projet'!$A$36,'Données projet'!$B$36,N135+M136-V135)))</f>
        <v>428.52000000000066</v>
      </c>
      <c r="O136" s="13">
        <f>N136*VLOOKUP('Données projet'!$B$9,Paramètres!$A$1:$I$89,3,0)*VLOOKUP('Données projet'!$B$9,Paramètres!$A$1:$I$89,5,0)</f>
        <v>434.51928000000072</v>
      </c>
      <c r="P136" s="13">
        <f t="shared" si="141"/>
        <v>98.740850242411952</v>
      </c>
      <c r="Q136" s="20">
        <f t="shared" si="108"/>
        <v>928.76139350553524</v>
      </c>
      <c r="R136" s="59">
        <f t="shared" si="109"/>
        <v>1217.7135870288987</v>
      </c>
      <c r="S136" s="59">
        <f ca="1">AVERAGE(OFFSET($R$3,0,0,'Données projet'!$E$9+1,1))-AVERAGE(OFFSET($H$3,0,0,'Données projet'!$E$9+1,1))</f>
        <v>668.93155285055116</v>
      </c>
      <c r="T136" s="59">
        <f t="shared" si="142"/>
        <v>306.43050420339659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60.22958302138597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60.22958302138597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68.805143688190014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8.0699999999999985</v>
      </c>
      <c r="AI136" s="13">
        <f>IF('Données projet'!$A$62&gt;35,AI135+AH136-AQ135,IF(A136&lt;'Données projet'!$A$62,$AF$205^A136,IF(A136='Données projet'!$A$62,'Données projet'!$B$62,AI135+AH136-AQ135)))</f>
        <v>428.52000000000066</v>
      </c>
      <c r="AJ136" s="13">
        <f>AI136*VLOOKUP('Données projet'!$B$10,Paramètres!$A$1:$I$89,3,0)*VLOOKUP('Données projet'!$B$10,Paramètres!$A$1:$I$89,5,0)</f>
        <v>414.46454400000067</v>
      </c>
      <c r="AK136" s="13">
        <f t="shared" si="143"/>
        <v>94.703039395025982</v>
      </c>
      <c r="AL136" s="20">
        <f t="shared" si="112"/>
        <v>886.80020774633806</v>
      </c>
      <c r="AM136" s="59">
        <f t="shared" si="113"/>
        <v>1175.7524012697015</v>
      </c>
      <c r="AN136" s="59">
        <f ca="1">AVERAGE(OFFSET($AM$3,0,0,'Données projet'!$E$10+1,1))-AVERAGE(OFFSET($H$3,0,0,'Données projet'!$E$10+1,1))</f>
        <v>641.25537514609562</v>
      </c>
      <c r="AO136" s="59">
        <f t="shared" si="144"/>
        <v>294.69846357521487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57.449756112706616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57.449756112706616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68.805143688190014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6.2527760746888816E-13</v>
      </c>
      <c r="BE136" s="13">
        <f>BD136*VLOOKUP('Données projet'!$B$11,Paramètres!$A$1:$I$89,3,0)*VLOOKUP('Données projet'!$B$11,Paramètres!$A$1:$I$89,5,0)</f>
        <v>2.9262992029543964E-13</v>
      </c>
      <c r="BF136" s="13">
        <f t="shared" si="145"/>
        <v>3.8796387982050903E-12</v>
      </c>
      <c r="BG136" s="20">
        <f t="shared" si="115"/>
        <v>7.2667013513884219E-12</v>
      </c>
      <c r="BH136" s="59">
        <f t="shared" si="116"/>
        <v>288.95219352337068</v>
      </c>
      <c r="BI136" s="59">
        <f ca="1">AVERAGE(OFFSET($BH$3,0,0,'Données projet'!$E$11+1,1))-AVERAGE(OFFSET($H$3,0,0,'Données projet'!$E$11+1,1))</f>
        <v>351.46787950120347</v>
      </c>
      <c r="BJ136" s="59">
        <f t="shared" si="146"/>
        <v>283.42185695241858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165.62200182989707</v>
      </c>
      <c r="BQ136" s="21">
        <f>EXP(-LN(2)/25)*BQ135+(1-EXP(-LN(2)/25))/(LN(2)/25)*Calculateur!BL136*Calculateur!BN136*VLOOKUP('Données projet'!$B$11,Paramètres!$A$1:$I$89,3,0)*0.475*44/12</f>
        <v>61.335805515585172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226.95780734548225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68.805143688190014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68.805143688190014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68.805143688190014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68.805143688190014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68.805143688190014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68.805143688190014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68.805143688190014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2.4500000000000002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8.9833333333333343</v>
      </c>
      <c r="H137" s="67">
        <f t="shared" si="110"/>
        <v>220.73333333333335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68.825871773901383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>
        <f>VLOOKUP(A137,'Données projet'!$A$35:$I$55,2,0)</f>
        <v>436.59</v>
      </c>
      <c r="L137" s="12">
        <f>VLOOKUP(A137,'Données projet'!$A$35:$I$55,9,0)</f>
        <v>8.0699999999999985</v>
      </c>
      <c r="M137" s="12">
        <f t="array" ref="M137">INDEX(L:L,MIN(IF(ISNUMBER(L137:L333),ROW(L137:L333),"")))</f>
        <v>8.0699999999999985</v>
      </c>
      <c r="N137" s="13">
        <f>IF('Données projet'!$A$36&gt;35,N136+M137-V136,IF(A137&lt;'Données projet'!$A$36,$K$205^A137,IF(A137='Données projet'!$A$36,'Données projet'!$B$36,N136+M137-V136)))</f>
        <v>436.59000000000066</v>
      </c>
      <c r="O137" s="13">
        <f>N137*VLOOKUP('Données projet'!$B$9,Paramètres!$A$1:$I$89,3,0)*VLOOKUP('Données projet'!$B$9,Paramètres!$A$1:$I$89,5,0)</f>
        <v>442.70226000000071</v>
      </c>
      <c r="P137" s="13">
        <f t="shared" si="141"/>
        <v>100.38212787430139</v>
      </c>
      <c r="Q137" s="20">
        <f t="shared" si="108"/>
        <v>945.87197554774275</v>
      </c>
      <c r="R137" s="59">
        <f t="shared" si="109"/>
        <v>1234.9001720520478</v>
      </c>
      <c r="S137" s="59">
        <f ca="1">AVERAGE(OFFSET($R$3,0,0,'Données projet'!$E$9+1,1))-AVERAGE(OFFSET($H$3,0,0,'Données projet'!$E$9+1,1))</f>
        <v>668.93155285055116</v>
      </c>
      <c r="T137" s="59">
        <f t="shared" si="142"/>
        <v>306.43050420339659</v>
      </c>
      <c r="U137" s="15">
        <f>IF(ISNA(VLOOKUP(A137,'Données projet'!$A$35:$I$55,3,0)),0,VLOOKUP(A137,'Données projet'!$A$35:$I$55,3,0))</f>
        <v>11</v>
      </c>
      <c r="V137" s="15">
        <f>IF(ISNA(VLOOKUP(A137,'Données projet'!$A$35:$I$55,4,0)),0,VLOOKUP(A137,'Données projet'!$A$35:$I$55,4,0))</f>
        <v>54.95</v>
      </c>
      <c r="W137" s="16">
        <f>IF(ISNA(VLOOKUP(A137,'Données projet'!$A$35:$I$55,5,0)),0%,VLOOKUP(A137,'Données projet'!$A$35:$I$55,5,0)*VLOOKUP('Données projet'!$B$9,Paramètres!$A$1:$I$89,7,0))</f>
        <v>0.25800000000000001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74.940294850078871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74.940294850078871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68.825871773901383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436.59</v>
      </c>
      <c r="AG137" s="12">
        <f>VLOOKUP(A137,'Données projet'!$A$61:$I$81,9,0)</f>
        <v>8.0699999999999985</v>
      </c>
      <c r="AH137" s="12">
        <f t="array" ref="AH137">INDEX(AG:AG,MIN(IF(ISNUMBER(AG137:AG333),ROW(AG137:AG333),"")))</f>
        <v>8.0699999999999985</v>
      </c>
      <c r="AI137" s="13">
        <f>IF('Données projet'!$A$62&gt;35,AI136+AH137-AQ136,IF(A137&lt;'Données projet'!$A$62,$AF$205^A137,IF(A137='Données projet'!$A$62,'Données projet'!$B$62,AI136+AH137-AQ136)))</f>
        <v>436.59000000000066</v>
      </c>
      <c r="AJ137" s="13">
        <f>AI137*VLOOKUP('Données projet'!$B$10,Paramètres!$A$1:$I$89,3,0)*VLOOKUP('Données projet'!$B$10,Paramètres!$A$1:$I$89,5,0)</f>
        <v>422.26984800000071</v>
      </c>
      <c r="AK137" s="13">
        <f t="shared" si="143"/>
        <v>96.277200239796969</v>
      </c>
      <c r="AL137" s="20">
        <f t="shared" si="112"/>
        <v>903.13610901764775</v>
      </c>
      <c r="AM137" s="59">
        <f t="shared" si="113"/>
        <v>1192.1643055219529</v>
      </c>
      <c r="AN137" s="59">
        <f ca="1">AVERAGE(OFFSET($AM$3,0,0,'Données projet'!$E$10+1,1))-AVERAGE(OFFSET($H$3,0,0,'Données projet'!$E$10+1,1))</f>
        <v>641.25537514609562</v>
      </c>
      <c r="AO137" s="59">
        <f t="shared" si="144"/>
        <v>294.69846357521487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0.25800000000000001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71.481512010844469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71.481512010844469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68.825871773901383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6.2527760746888816E-13</v>
      </c>
      <c r="BE137" s="13">
        <f>BD137*VLOOKUP('Données projet'!$B$11,Paramètres!$A$1:$I$89,3,0)*VLOOKUP('Données projet'!$B$11,Paramètres!$A$1:$I$89,5,0)</f>
        <v>2.9262992029543964E-13</v>
      </c>
      <c r="BF137" s="13">
        <f t="shared" si="145"/>
        <v>3.8796387982050903E-12</v>
      </c>
      <c r="BG137" s="20">
        <f t="shared" si="115"/>
        <v>7.2667013513884219E-12</v>
      </c>
      <c r="BH137" s="59">
        <f t="shared" si="116"/>
        <v>289.02819650431235</v>
      </c>
      <c r="BI137" s="59">
        <f ca="1">AVERAGE(OFFSET($BH$3,0,0,'Données projet'!$E$11+1,1))-AVERAGE(OFFSET($H$3,0,0,'Données projet'!$E$11+1,1))</f>
        <v>351.46787950120347</v>
      </c>
      <c r="BJ137" s="59">
        <f t="shared" si="146"/>
        <v>283.42185695241858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162.37425539345907</v>
      </c>
      <c r="BQ137" s="21">
        <f>EXP(-LN(2)/25)*BQ136+(1-EXP(-LN(2)/25))/(LN(2)/25)*Calculateur!BL137*Calculateur!BN137*VLOOKUP('Données projet'!$B$11,Paramètres!$A$1:$I$89,3,0)*0.475*44/12</f>
        <v>59.658574688251669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222.03283008171073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68.825871773901383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68.825871773901383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68.825871773901383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68.825871773901383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68.825871773901383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68.825871773901383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68.825871773901383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2.4500000000000002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8.9833333333333343</v>
      </c>
      <c r="H138" s="67">
        <f t="shared" si="110"/>
        <v>220.73333333333335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68.846240273666737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8.1590000000000025</v>
      </c>
      <c r="N138" s="13">
        <f>IF('Données projet'!$A$36&gt;35,N137+M138-V137,IF(A138&lt;'Données projet'!$A$36,$K$205^A138,IF(A138='Données projet'!$A$36,'Données projet'!$B$36,N137+M138-V137)))</f>
        <v>389.79900000000066</v>
      </c>
      <c r="O138" s="13">
        <f>N138*VLOOKUP('Données projet'!$B$9,Paramètres!$A$1:$I$89,3,0)*VLOOKUP('Données projet'!$B$9,Paramètres!$A$1:$I$89,5,0)</f>
        <v>395.2561860000007</v>
      </c>
      <c r="P138" s="13">
        <f t="shared" si="141"/>
        <v>90.814262971847356</v>
      </c>
      <c r="Q138" s="20">
        <f t="shared" si="108"/>
        <v>846.57269862596866</v>
      </c>
      <c r="R138" s="59">
        <f t="shared" si="109"/>
        <v>1135.6755796294133</v>
      </c>
      <c r="S138" s="59">
        <f ca="1">AVERAGE(OFFSET($R$3,0,0,'Données projet'!$E$9+1,1))-AVERAGE(OFFSET($H$3,0,0,'Données projet'!$E$9+1,1))</f>
        <v>668.93155285055116</v>
      </c>
      <c r="T138" s="59">
        <f t="shared" si="142"/>
        <v>306.43050420339659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73.47076137713529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73.47076137713529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68.846240273666737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8.1590000000000025</v>
      </c>
      <c r="AI138" s="13">
        <f>IF('Données projet'!$A$62&gt;35,AI137+AH138-AQ137,IF(A138&lt;'Données projet'!$A$62,$AF$205^A138,IF(A138='Données projet'!$A$62,'Données projet'!$B$62,AI137+AH138-AQ137)))</f>
        <v>389.79900000000066</v>
      </c>
      <c r="AJ138" s="13">
        <f>AI138*VLOOKUP('Données projet'!$B$10,Paramètres!$A$1:$I$89,3,0)*VLOOKUP('Données projet'!$B$10,Paramètres!$A$1:$I$89,5,0)</f>
        <v>377.01359280000065</v>
      </c>
      <c r="AK138" s="13">
        <f t="shared" si="143"/>
        <v>87.100594158738531</v>
      </c>
      <c r="AL138" s="20">
        <f t="shared" si="112"/>
        <v>808.33220895313741</v>
      </c>
      <c r="AM138" s="59">
        <f t="shared" si="113"/>
        <v>1097.435089956582</v>
      </c>
      <c r="AN138" s="59">
        <f ca="1">AVERAGE(OFFSET($AM$3,0,0,'Données projet'!$E$10+1,1))-AVERAGE(OFFSET($H$3,0,0,'Données projet'!$E$10+1,1))</f>
        <v>641.25537514609562</v>
      </c>
      <c r="AO138" s="59">
        <f t="shared" si="144"/>
        <v>294.69846357521487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70.079803159729053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70.079803159729053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68.846240273666737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6.2527760746888816E-13</v>
      </c>
      <c r="BE138" s="13">
        <f>BD138*VLOOKUP('Données projet'!$B$11,Paramètres!$A$1:$I$89,3,0)*VLOOKUP('Données projet'!$B$11,Paramètres!$A$1:$I$89,5,0)</f>
        <v>2.9262992029543964E-13</v>
      </c>
      <c r="BF138" s="13">
        <f t="shared" si="145"/>
        <v>3.8796387982050903E-12</v>
      </c>
      <c r="BG138" s="20">
        <f t="shared" si="115"/>
        <v>7.2667013513884219E-12</v>
      </c>
      <c r="BH138" s="59">
        <f t="shared" si="116"/>
        <v>289.10288100345196</v>
      </c>
      <c r="BI138" s="59">
        <f ca="1">AVERAGE(OFFSET($BH$3,0,0,'Données projet'!$E$11+1,1))-AVERAGE(OFFSET($H$3,0,0,'Données projet'!$E$11+1,1))</f>
        <v>351.46787950120347</v>
      </c>
      <c r="BJ138" s="59">
        <f t="shared" si="146"/>
        <v>283.42185695241858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159.19019528370987</v>
      </c>
      <c r="BQ138" s="21">
        <f>EXP(-LN(2)/25)*BQ137+(1-EXP(-LN(2)/25))/(LN(2)/25)*Calculateur!BL138*Calculateur!BN138*VLOOKUP('Données projet'!$B$11,Paramètres!$A$1:$I$89,3,0)*0.475*44/12</f>
        <v>58.027207826093338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217.2174031098032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68.846240273666737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68.846240273666737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68.846240273666737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68.846240273666737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68.846240273666737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68.846240273666737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68.846240273666737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2.4500000000000002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8.9833333333333343</v>
      </c>
      <c r="H139" s="67">
        <f t="shared" si="110"/>
        <v>220.73333333333335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68.866255425498309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8.1590000000000025</v>
      </c>
      <c r="N139" s="13">
        <f>IF('Données projet'!$A$36&gt;35,N138+M139-V138,IF(A139&lt;'Données projet'!$A$36,$K$205^A139,IF(A139='Données projet'!$A$36,'Données projet'!$B$36,N138+M139-V138)))</f>
        <v>397.95800000000065</v>
      </c>
      <c r="O139" s="13">
        <f>N139*VLOOKUP('Données projet'!$B$9,Paramètres!$A$1:$I$89,3,0)*VLOOKUP('Données projet'!$B$9,Paramètres!$A$1:$I$89,5,0)</f>
        <v>403.52941200000066</v>
      </c>
      <c r="P139" s="13">
        <f t="shared" si="141"/>
        <v>92.491833093116057</v>
      </c>
      <c r="Q139" s="20">
        <f t="shared" si="108"/>
        <v>863.90366853717831</v>
      </c>
      <c r="R139" s="59">
        <f t="shared" si="109"/>
        <v>1153.079938430672</v>
      </c>
      <c r="S139" s="59">
        <f ca="1">AVERAGE(OFFSET($R$3,0,0,'Données projet'!$E$9+1,1))-AVERAGE(OFFSET($H$3,0,0,'Données projet'!$E$9+1,1))</f>
        <v>668.93155285055116</v>
      </c>
      <c r="T139" s="59">
        <f t="shared" si="142"/>
        <v>306.43050420339659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72.030044559269214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72.030044559269214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68.866255425498309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8.1590000000000025</v>
      </c>
      <c r="AI139" s="13">
        <f>IF('Données projet'!$A$62&gt;35,AI138+AH139-AQ138,IF(A139&lt;'Données projet'!$A$62,$AF$205^A139,IF(A139='Données projet'!$A$62,'Données projet'!$B$62,AI138+AH139-AQ138)))</f>
        <v>397.95800000000065</v>
      </c>
      <c r="AJ139" s="13">
        <f>AI139*VLOOKUP('Données projet'!$B$10,Paramètres!$A$1:$I$89,3,0)*VLOOKUP('Données projet'!$B$10,Paramètres!$A$1:$I$89,5,0)</f>
        <v>384.90497760000062</v>
      </c>
      <c r="AK139" s="13">
        <f t="shared" si="143"/>
        <v>88.709563383658136</v>
      </c>
      <c r="AL139" s="20">
        <f t="shared" si="112"/>
        <v>824.87865887987221</v>
      </c>
      <c r="AM139" s="59">
        <f t="shared" si="113"/>
        <v>1114.0549287733661</v>
      </c>
      <c r="AN139" s="59">
        <f ca="1">AVERAGE(OFFSET($AM$3,0,0,'Données projet'!$E$10+1,1))-AVERAGE(OFFSET($H$3,0,0,'Données projet'!$E$10+1,1))</f>
        <v>641.25537514609562</v>
      </c>
      <c r="AO139" s="59">
        <f t="shared" si="144"/>
        <v>294.69846357521487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68.70558096422603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68.70558096422603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68.866255425498309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6.2527760746888816E-13</v>
      </c>
      <c r="BE139" s="13">
        <f>BD139*VLOOKUP('Données projet'!$B$11,Paramètres!$A$1:$I$89,3,0)*VLOOKUP('Données projet'!$B$11,Paramètres!$A$1:$I$89,5,0)</f>
        <v>2.9262992029543964E-13</v>
      </c>
      <c r="BF139" s="13">
        <f t="shared" si="145"/>
        <v>3.8796387982050903E-12</v>
      </c>
      <c r="BG139" s="20">
        <f t="shared" si="115"/>
        <v>7.2667013513884219E-12</v>
      </c>
      <c r="BH139" s="59">
        <f t="shared" si="116"/>
        <v>289.17626989350106</v>
      </c>
      <c r="BI139" s="59">
        <f ca="1">AVERAGE(OFFSET($BH$3,0,0,'Données projet'!$E$11+1,1))-AVERAGE(OFFSET($H$3,0,0,'Données projet'!$E$11+1,1))</f>
        <v>351.46787950120347</v>
      </c>
      <c r="BJ139" s="59">
        <f t="shared" si="146"/>
        <v>283.42185695241858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156.06857265062797</v>
      </c>
      <c r="BQ139" s="21">
        <f>EXP(-LN(2)/25)*BQ138+(1-EXP(-LN(2)/25))/(LN(2)/25)*Calculateur!BL139*Calculateur!BN139*VLOOKUP('Données projet'!$B$11,Paramètres!$A$1:$I$89,3,0)*0.475*44/12</f>
        <v>56.440450776570579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212.50902342719854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68.866255425498309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68.866255425498309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68.866255425498309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68.866255425498309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68.866255425498309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68.866255425498309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68.866255425498309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2.4500000000000002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8.9833333333333343</v>
      </c>
      <c r="H140" s="67">
        <f t="shared" si="110"/>
        <v>220.73333333333335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68.885923359192759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8.1590000000000025</v>
      </c>
      <c r="N140" s="13">
        <f>IF('Données projet'!$A$36&gt;35,N139+M140-V139,IF(A140&lt;'Données projet'!$A$36,$K$205^A140,IF(A140='Données projet'!$A$36,'Données projet'!$B$36,N139+M140-V139)))</f>
        <v>406.11700000000064</v>
      </c>
      <c r="O140" s="13">
        <f>N140*VLOOKUP('Données projet'!$B$9,Paramètres!$A$1:$I$89,3,0)*VLOOKUP('Données projet'!$B$9,Paramètres!$A$1:$I$89,5,0)</f>
        <v>411.80263800000068</v>
      </c>
      <c r="P140" s="13">
        <f t="shared" si="141"/>
        <v>94.165404251164176</v>
      </c>
      <c r="Q140" s="20">
        <f t="shared" si="108"/>
        <v>881.22767358744534</v>
      </c>
      <c r="R140" s="59">
        <f t="shared" si="109"/>
        <v>1170.4760592378188</v>
      </c>
      <c r="S140" s="59">
        <f ca="1">AVERAGE(OFFSET($R$3,0,0,'Données projet'!$E$9+1,1))-AVERAGE(OFFSET($H$3,0,0,'Données projet'!$E$9+1,1))</f>
        <v>668.93155285055116</v>
      </c>
      <c r="T140" s="59">
        <f t="shared" si="142"/>
        <v>306.43050420339659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70.617579319451011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70.617579319451011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68.885923359192759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8.1590000000000025</v>
      </c>
      <c r="AI140" s="13">
        <f>IF('Données projet'!$A$62&gt;35,AI139+AH140-AQ139,IF(A140&lt;'Données projet'!$A$62,$AF$205^A140,IF(A140='Données projet'!$A$62,'Données projet'!$B$62,AI139+AH140-AQ139)))</f>
        <v>406.11700000000064</v>
      </c>
      <c r="AJ140" s="13">
        <f>AI140*VLOOKUP('Données projet'!$B$10,Paramètres!$A$1:$I$89,3,0)*VLOOKUP('Données projet'!$B$10,Paramètres!$A$1:$I$89,5,0)</f>
        <v>392.79636240000065</v>
      </c>
      <c r="AK140" s="13">
        <f t="shared" si="143"/>
        <v>90.314697175011091</v>
      </c>
      <c r="AL140" s="20">
        <f t="shared" si="112"/>
        <v>841.41842875981195</v>
      </c>
      <c r="AM140" s="59">
        <f t="shared" si="113"/>
        <v>1130.6668144101855</v>
      </c>
      <c r="AN140" s="59">
        <f ca="1">AVERAGE(OFFSET($AM$3,0,0,'Données projet'!$E$10+1,1))-AVERAGE(OFFSET($H$3,0,0,'Données projet'!$E$10+1,1))</f>
        <v>641.25537514609562</v>
      </c>
      <c r="AO140" s="59">
        <f t="shared" si="144"/>
        <v>294.69846357521487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67.358306427784044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67.358306427784044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68.885923359192759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6.2527760746888816E-13</v>
      </c>
      <c r="BE140" s="13">
        <f>BD140*VLOOKUP('Données projet'!$B$11,Paramètres!$A$1:$I$89,3,0)*VLOOKUP('Données projet'!$B$11,Paramètres!$A$1:$I$89,5,0)</f>
        <v>2.9262992029543964E-13</v>
      </c>
      <c r="BF140" s="13">
        <f t="shared" si="145"/>
        <v>3.8796387982050903E-12</v>
      </c>
      <c r="BG140" s="20">
        <f t="shared" si="115"/>
        <v>7.2667013513884219E-12</v>
      </c>
      <c r="BH140" s="59">
        <f t="shared" si="116"/>
        <v>289.24838565038073</v>
      </c>
      <c r="BI140" s="59">
        <f ca="1">AVERAGE(OFFSET($BH$3,0,0,'Données projet'!$E$11+1,1))-AVERAGE(OFFSET($H$3,0,0,'Données projet'!$E$11+1,1))</f>
        <v>351.46787950120347</v>
      </c>
      <c r="BJ140" s="59">
        <f t="shared" si="146"/>
        <v>283.42185695241858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153.00816313337901</v>
      </c>
      <c r="BQ140" s="21">
        <f>EXP(-LN(2)/25)*BQ139+(1-EXP(-LN(2)/25))/(LN(2)/25)*Calculateur!BL140*Calculateur!BN140*VLOOKUP('Données projet'!$B$11,Paramètres!$A$1:$I$89,3,0)*0.475*44/12</f>
        <v>54.897083682010944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207.90524681538994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68.885923359192759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68.885923359192759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68.885923359192759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68.885923359192759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68.885923359192759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68.885923359192759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68.885923359192759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2.4500000000000002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8.9833333333333343</v>
      </c>
      <c r="H141" s="67">
        <f t="shared" si="110"/>
        <v>220.73333333333335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68.905250098208526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8.1590000000000025</v>
      </c>
      <c r="N141" s="13">
        <f>IF('Données projet'!$A$36&gt;35,N140+M141-V140,IF(A141&lt;'Données projet'!$A$36,$K$205^A141,IF(A141='Données projet'!$A$36,'Données projet'!$B$36,N140+M141-V140)))</f>
        <v>414.27600000000064</v>
      </c>
      <c r="O141" s="13">
        <f>N141*VLOOKUP('Données projet'!$B$9,Paramètres!$A$1:$I$89,3,0)*VLOOKUP('Données projet'!$B$9,Paramètres!$A$1:$I$89,5,0)</f>
        <v>420.07586400000065</v>
      </c>
      <c r="P141" s="13">
        <f t="shared" si="141"/>
        <v>95.835066045220003</v>
      </c>
      <c r="Q141" s="20">
        <f t="shared" si="108"/>
        <v>898.54486982875926</v>
      </c>
      <c r="R141" s="59">
        <f t="shared" si="109"/>
        <v>1187.8641201888572</v>
      </c>
      <c r="S141" s="59">
        <f ca="1">AVERAGE(OFFSET($R$3,0,0,'Données projet'!$E$9+1,1))-AVERAGE(OFFSET($H$3,0,0,'Données projet'!$E$9+1,1))</f>
        <v>668.93155285055116</v>
      </c>
      <c r="T141" s="59">
        <f t="shared" si="142"/>
        <v>306.43050420339659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69.232811661466911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69.232811661466911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68.905250098208526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8.1590000000000025</v>
      </c>
      <c r="AI141" s="13">
        <f>IF('Données projet'!$A$62&gt;35,AI140+AH141-AQ140,IF(A141&lt;'Données projet'!$A$62,$AF$205^A141,IF(A141='Données projet'!$A$62,'Données projet'!$B$62,AI140+AH141-AQ140)))</f>
        <v>414.27600000000064</v>
      </c>
      <c r="AJ141" s="13">
        <f>AI141*VLOOKUP('Données projet'!$B$10,Paramètres!$A$1:$I$89,3,0)*VLOOKUP('Données projet'!$B$10,Paramètres!$A$1:$I$89,5,0)</f>
        <v>400.68774720000062</v>
      </c>
      <c r="AK141" s="13">
        <f t="shared" si="143"/>
        <v>91.916081468043174</v>
      </c>
      <c r="AL141" s="20">
        <f t="shared" si="112"/>
        <v>857.95166826350953</v>
      </c>
      <c r="AM141" s="59">
        <f t="shared" si="113"/>
        <v>1147.2709186236075</v>
      </c>
      <c r="AN141" s="59">
        <f ca="1">AVERAGE(OFFSET($AM$3,0,0,'Données projet'!$E$10+1,1))-AVERAGE(OFFSET($H$3,0,0,'Données projet'!$E$10+1,1))</f>
        <v>641.25537514609562</v>
      </c>
      <c r="AO141" s="59">
        <f t="shared" si="144"/>
        <v>294.69846357521487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66.037451123245361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66.037451123245361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68.905250098208526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6.2527760746888816E-13</v>
      </c>
      <c r="BE141" s="13">
        <f>BD141*VLOOKUP('Données projet'!$B$11,Paramètres!$A$1:$I$89,3,0)*VLOOKUP('Données projet'!$B$11,Paramètres!$A$1:$I$89,5,0)</f>
        <v>2.9262992029543964E-13</v>
      </c>
      <c r="BF141" s="13">
        <f t="shared" si="145"/>
        <v>3.8796387982050903E-12</v>
      </c>
      <c r="BG141" s="20">
        <f t="shared" si="115"/>
        <v>7.2667013513884219E-12</v>
      </c>
      <c r="BH141" s="59">
        <f t="shared" si="116"/>
        <v>289.31925036010517</v>
      </c>
      <c r="BI141" s="59">
        <f ca="1">AVERAGE(OFFSET($BH$3,0,0,'Données projet'!$E$11+1,1))-AVERAGE(OFFSET($H$3,0,0,'Données projet'!$E$11+1,1))</f>
        <v>351.46787950120347</v>
      </c>
      <c r="BJ141" s="59">
        <f t="shared" si="146"/>
        <v>283.42185695241858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150.00776638009782</v>
      </c>
      <c r="BQ141" s="21">
        <f>EXP(-LN(2)/25)*BQ140+(1-EXP(-LN(2)/25))/(LN(2)/25)*Calculateur!BL141*Calculateur!BN141*VLOOKUP('Données projet'!$B$11,Paramètres!$A$1:$I$89,3,0)*0.475*44/12</f>
        <v>53.395920041814193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203.40368642191203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68.905250098208526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68.905250098208526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68.905250098208526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68.905250098208526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68.905250098208526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68.905250098208526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68.905250098208526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2.4500000000000002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8.9833333333333343</v>
      </c>
      <c r="H142" s="67">
        <f t="shared" si="110"/>
        <v>220.73333333333335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68.924241561510485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8.1590000000000025</v>
      </c>
      <c r="N142" s="13">
        <f>IF('Données projet'!$A$36&gt;35,N141+M142-V141,IF(A142&lt;'Données projet'!$A$36,$K$205^A142,IF(A142='Données projet'!$A$36,'Données projet'!$B$36,N141+M142-V141)))</f>
        <v>422.43500000000063</v>
      </c>
      <c r="O142" s="13">
        <f>N142*VLOOKUP('Données projet'!$B$9,Paramètres!$A$1:$I$89,3,0)*VLOOKUP('Données projet'!$B$9,Paramètres!$A$1:$I$89,5,0)</f>
        <v>428.34909000000067</v>
      </c>
      <c r="P142" s="13">
        <f t="shared" si="141"/>
        <v>97.500904343422292</v>
      </c>
      <c r="Q142" s="20">
        <f t="shared" si="108"/>
        <v>915.85540681479506</v>
      </c>
      <c r="R142" s="59">
        <f t="shared" si="109"/>
        <v>1205.2442925403334</v>
      </c>
      <c r="S142" s="59">
        <f ca="1">AVERAGE(OFFSET($R$3,0,0,'Données projet'!$E$9+1,1))-AVERAGE(OFFSET($H$3,0,0,'Données projet'!$E$9+1,1))</f>
        <v>668.93155285055116</v>
      </c>
      <c r="T142" s="59">
        <f t="shared" si="142"/>
        <v>306.43050420339659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67.875198452631011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67.875198452631011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68.924241561510485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8.1590000000000025</v>
      </c>
      <c r="AI142" s="13">
        <f>IF('Données projet'!$A$62&gt;35,AI141+AH142-AQ141,IF(A142&lt;'Données projet'!$A$62,$AF$205^A142,IF(A142='Données projet'!$A$62,'Données projet'!$B$62,AI141+AH142-AQ141)))</f>
        <v>422.43500000000063</v>
      </c>
      <c r="AJ142" s="13">
        <f>AI142*VLOOKUP('Données projet'!$B$10,Paramètres!$A$1:$I$89,3,0)*VLOOKUP('Données projet'!$B$10,Paramètres!$A$1:$I$89,5,0)</f>
        <v>408.57913200000064</v>
      </c>
      <c r="AK142" s="13">
        <f t="shared" si="143"/>
        <v>93.513798619486451</v>
      </c>
      <c r="AL142" s="20">
        <f t="shared" si="112"/>
        <v>874.47852082893996</v>
      </c>
      <c r="AM142" s="59">
        <f t="shared" si="113"/>
        <v>1163.8674065544783</v>
      </c>
      <c r="AN142" s="59">
        <f ca="1">AVERAGE(OFFSET($AM$3,0,0,'Données projet'!$E$10+1,1))-AVERAGE(OFFSET($H$3,0,0,'Données projet'!$E$10+1,1))</f>
        <v>641.25537514609562</v>
      </c>
      <c r="AO142" s="59">
        <f t="shared" si="144"/>
        <v>294.69846357521487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64.742496985586499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64.742496985586499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68.924241561510485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6.2527760746888816E-13</v>
      </c>
      <c r="BE142" s="13">
        <f>BD142*VLOOKUP('Données projet'!$B$11,Paramètres!$A$1:$I$89,3,0)*VLOOKUP('Données projet'!$B$11,Paramètres!$A$1:$I$89,5,0)</f>
        <v>2.9262992029543964E-13</v>
      </c>
      <c r="BF142" s="13">
        <f t="shared" si="145"/>
        <v>3.8796387982050903E-12</v>
      </c>
      <c r="BG142" s="20">
        <f t="shared" si="115"/>
        <v>7.2667013513884219E-12</v>
      </c>
      <c r="BH142" s="59">
        <f t="shared" si="116"/>
        <v>289.38888572554572</v>
      </c>
      <c r="BI142" s="59">
        <f ca="1">AVERAGE(OFFSET($BH$3,0,0,'Données projet'!$E$11+1,1))-AVERAGE(OFFSET($H$3,0,0,'Données projet'!$E$11+1,1))</f>
        <v>351.46787950120347</v>
      </c>
      <c r="BJ142" s="59">
        <f t="shared" si="146"/>
        <v>283.42185695241858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147.06620557708715</v>
      </c>
      <c r="BQ142" s="21">
        <f>EXP(-LN(2)/25)*BQ141+(1-EXP(-LN(2)/25))/(LN(2)/25)*Calculateur!BL142*Calculateur!BN142*VLOOKUP('Données projet'!$B$11,Paramètres!$A$1:$I$89,3,0)*0.475*44/12</f>
        <v>51.935805800301388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199.00201137738853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68.924241561510485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68.924241561510485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68.924241561510485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68.924241561510485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68.924241561510485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68.924241561510485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68.924241561510485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2.4500000000000002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8.9833333333333343</v>
      </c>
      <c r="H143" s="67">
        <f t="shared" si="110"/>
        <v>220.73333333333335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68.942903565382721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8.1590000000000025</v>
      </c>
      <c r="N143" s="13">
        <f>IF('Données projet'!$A$36&gt;35,N142+M143-V142,IF(A143&lt;'Données projet'!$A$36,$K$205^A143,IF(A143='Données projet'!$A$36,'Données projet'!$B$36,N142+M143-V142)))</f>
        <v>430.59400000000062</v>
      </c>
      <c r="O143" s="13">
        <f>N143*VLOOKUP('Données projet'!$B$9,Paramètres!$A$1:$I$89,3,0)*VLOOKUP('Données projet'!$B$9,Paramètres!$A$1:$I$89,5,0)</f>
        <v>436.62231600000064</v>
      </c>
      <c r="P143" s="13">
        <f t="shared" si="141"/>
        <v>99.163001507201159</v>
      </c>
      <c r="Q143" s="20">
        <f t="shared" si="108"/>
        <v>933.15942799170989</v>
      </c>
      <c r="R143" s="59">
        <f t="shared" si="109"/>
        <v>1222.6167410647799</v>
      </c>
      <c r="S143" s="59">
        <f ca="1">AVERAGE(OFFSET($R$3,0,0,'Données projet'!$E$9+1,1))-AVERAGE(OFFSET($H$3,0,0,'Données projet'!$E$9+1,1))</f>
        <v>668.93155285055116</v>
      </c>
      <c r="T143" s="59">
        <f t="shared" si="142"/>
        <v>306.43050420339659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66.544207210758088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66.544207210758088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68.942903565382721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8.1590000000000025</v>
      </c>
      <c r="AI143" s="13">
        <f>IF('Données projet'!$A$62&gt;35,AI142+AH143-AQ142,IF(A143&lt;'Données projet'!$A$62,$AF$205^A143,IF(A143='Données projet'!$A$62,'Données projet'!$B$62,AI142+AH143-AQ142)))</f>
        <v>430.59400000000062</v>
      </c>
      <c r="AJ143" s="13">
        <f>AI143*VLOOKUP('Données projet'!$B$10,Paramètres!$A$1:$I$89,3,0)*VLOOKUP('Données projet'!$B$10,Paramètres!$A$1:$I$89,5,0)</f>
        <v>416.47051680000061</v>
      </c>
      <c r="AK143" s="13">
        <f t="shared" si="143"/>
        <v>95.107927622763967</v>
      </c>
      <c r="AL143" s="20">
        <f t="shared" si="112"/>
        <v>890.99912403631481</v>
      </c>
      <c r="AM143" s="59">
        <f t="shared" si="113"/>
        <v>1180.4564371093848</v>
      </c>
      <c r="AN143" s="59">
        <f ca="1">AVERAGE(OFFSET($AM$3,0,0,'Données projet'!$E$10+1,1))-AVERAGE(OFFSET($H$3,0,0,'Données projet'!$E$10+1,1))</f>
        <v>641.25537514609562</v>
      </c>
      <c r="AO143" s="59">
        <f t="shared" si="144"/>
        <v>294.69846357521487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63.47293610872309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63.47293610872309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68.942903565382721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6.2527760746888816E-13</v>
      </c>
      <c r="BE143" s="13">
        <f>BD143*VLOOKUP('Données projet'!$B$11,Paramètres!$A$1:$I$89,3,0)*VLOOKUP('Données projet'!$B$11,Paramètres!$A$1:$I$89,5,0)</f>
        <v>2.9262992029543964E-13</v>
      </c>
      <c r="BF143" s="13">
        <f t="shared" si="145"/>
        <v>3.8796387982050903E-12</v>
      </c>
      <c r="BG143" s="20">
        <f t="shared" si="115"/>
        <v>7.2667013513884219E-12</v>
      </c>
      <c r="BH143" s="59">
        <f t="shared" si="116"/>
        <v>289.45731307307727</v>
      </c>
      <c r="BI143" s="59">
        <f ca="1">AVERAGE(OFFSET($BH$3,0,0,'Données projet'!$E$11+1,1))-AVERAGE(OFFSET($H$3,0,0,'Données projet'!$E$11+1,1))</f>
        <v>351.46787950120347</v>
      </c>
      <c r="BJ143" s="59">
        <f t="shared" si="146"/>
        <v>283.42185695241858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144.18232698724859</v>
      </c>
      <c r="BQ143" s="21">
        <f>EXP(-LN(2)/25)*BQ142+(1-EXP(-LN(2)/25))/(LN(2)/25)*Calculateur!BL143*Calculateur!BN143*VLOOKUP('Données projet'!$B$11,Paramètres!$A$1:$I$89,3,0)*0.475*44/12</f>
        <v>50.515618459506818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194.6979454467554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68.942903565382721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68.942903565382721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68.942903565382721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68.942903565382721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68.942903565382721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68.942903565382721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68.942903565382721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2.4500000000000002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8.9833333333333343</v>
      </c>
      <c r="H144" s="67">
        <f t="shared" si="110"/>
        <v>220.73333333333335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68.961241825209754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8.1590000000000025</v>
      </c>
      <c r="N144" s="13">
        <f>IF('Données projet'!$A$36&gt;35,N143+M144-V143,IF(A144&lt;'Données projet'!$A$36,$K$205^A144,IF(A144='Données projet'!$A$36,'Données projet'!$B$36,N143+M144-V143)))</f>
        <v>438.75300000000061</v>
      </c>
      <c r="O144" s="13">
        <f>N144*VLOOKUP('Données projet'!$B$9,Paramètres!$A$1:$I$89,3,0)*VLOOKUP('Données projet'!$B$9,Paramètres!$A$1:$I$89,5,0)</f>
        <v>444.89554200000066</v>
      </c>
      <c r="P144" s="13">
        <f t="shared" si="141"/>
        <v>100.82143659817152</v>
      </c>
      <c r="Q144" s="20">
        <f t="shared" si="108"/>
        <v>950.45707105848317</v>
      </c>
      <c r="R144" s="59">
        <f t="shared" si="109"/>
        <v>1239.9816244175856</v>
      </c>
      <c r="S144" s="59">
        <f ca="1">AVERAGE(OFFSET($R$3,0,0,'Données projet'!$E$9+1,1))-AVERAGE(OFFSET($H$3,0,0,'Données projet'!$E$9+1,1))</f>
        <v>668.93155285055116</v>
      </c>
      <c r="T144" s="59">
        <f t="shared" si="142"/>
        <v>306.43050420339659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65.239315895313794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65.239315895313794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68.961241825209754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8.1590000000000025</v>
      </c>
      <c r="AI144" s="13">
        <f>IF('Données projet'!$A$62&gt;35,AI143+AH144-AQ143,IF(A144&lt;'Données projet'!$A$62,$AF$205^A144,IF(A144='Données projet'!$A$62,'Données projet'!$B$62,AI143+AH144-AQ143)))</f>
        <v>438.75300000000061</v>
      </c>
      <c r="AJ144" s="13">
        <f>AI144*VLOOKUP('Données projet'!$B$10,Paramètres!$A$1:$I$89,3,0)*VLOOKUP('Données projet'!$B$10,Paramètres!$A$1:$I$89,5,0)</f>
        <v>424.36190160000064</v>
      </c>
      <c r="AK144" s="13">
        <f t="shared" si="143"/>
        <v>96.698544306422932</v>
      </c>
      <c r="AL144" s="20">
        <f t="shared" si="112"/>
        <v>907.51360995368759</v>
      </c>
      <c r="AM144" s="59">
        <f t="shared" si="113"/>
        <v>1197.0381633127899</v>
      </c>
      <c r="AN144" s="59">
        <f ca="1">AVERAGE(OFFSET($AM$3,0,0,'Données projet'!$E$10+1,1))-AVERAGE(OFFSET($H$3,0,0,'Données projet'!$E$10+1,1))</f>
        <v>641.25537514609562</v>
      </c>
      <c r="AO144" s="59">
        <f t="shared" si="144"/>
        <v>294.69846357521487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62.228270546299299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62.228270546299299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68.961241825209754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6.2527760746888816E-13</v>
      </c>
      <c r="BE144" s="13">
        <f>BD144*VLOOKUP('Données projet'!$B$11,Paramètres!$A$1:$I$89,3,0)*VLOOKUP('Données projet'!$B$11,Paramètres!$A$1:$I$89,5,0)</f>
        <v>2.9262992029543964E-13</v>
      </c>
      <c r="BF144" s="13">
        <f t="shared" si="145"/>
        <v>3.8796387982050903E-12</v>
      </c>
      <c r="BG144" s="20">
        <f t="shared" si="115"/>
        <v>7.2667013513884219E-12</v>
      </c>
      <c r="BH144" s="59">
        <f t="shared" si="116"/>
        <v>289.52455335910969</v>
      </c>
      <c r="BI144" s="59">
        <f ca="1">AVERAGE(OFFSET($BH$3,0,0,'Données projet'!$E$11+1,1))-AVERAGE(OFFSET($H$3,0,0,'Données projet'!$E$11+1,1))</f>
        <v>351.46787950120347</v>
      </c>
      <c r="BJ144" s="59">
        <f t="shared" si="146"/>
        <v>283.42185695241858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141.35499949756451</v>
      </c>
      <c r="BQ144" s="21">
        <f>EXP(-LN(2)/25)*BQ143+(1-EXP(-LN(2)/25))/(LN(2)/25)*Calculateur!BL144*Calculateur!BN144*VLOOKUP('Données projet'!$B$11,Paramètres!$A$1:$I$89,3,0)*0.475*44/12</f>
        <v>49.134266216230685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190.48926571379519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68.961241825209754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68.961241825209754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68.961241825209754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68.961241825209754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68.961241825209754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68.961241825209754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68.961241825209754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2.4500000000000002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8.9833333333333343</v>
      </c>
      <c r="H145" s="67">
        <f t="shared" si="110"/>
        <v>220.73333333333335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68.979261957226981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8.1590000000000025</v>
      </c>
      <c r="N145" s="13">
        <f>IF('Données projet'!$A$36&gt;35,N144+M145-V144,IF(A145&lt;'Données projet'!$A$36,$K$205^A145,IF(A145='Données projet'!$A$36,'Données projet'!$B$36,N144+M145-V144)))</f>
        <v>446.9120000000006</v>
      </c>
      <c r="O145" s="13">
        <f>N145*VLOOKUP('Données projet'!$B$9,Paramètres!$A$1:$I$89,3,0)*VLOOKUP('Données projet'!$B$9,Paramètres!$A$1:$I$89,5,0)</f>
        <v>453.16876800000063</v>
      </c>
      <c r="P145" s="13">
        <f t="shared" si="141"/>
        <v>102.47628556920169</v>
      </c>
      <c r="Q145" s="20">
        <f t="shared" si="108"/>
        <v>967.74846829969408</v>
      </c>
      <c r="R145" s="59">
        <f t="shared" si="109"/>
        <v>1257.3390954761931</v>
      </c>
      <c r="S145" s="59">
        <f ca="1">AVERAGE(OFFSET($R$3,0,0,'Données projet'!$E$9+1,1))-AVERAGE(OFFSET($H$3,0,0,'Données projet'!$E$9+1,1))</f>
        <v>668.93155285055116</v>
      </c>
      <c r="T145" s="59">
        <f t="shared" si="142"/>
        <v>306.43050420339659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63.960012702660251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63.960012702660251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68.979261957226981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8.1590000000000025</v>
      </c>
      <c r="AI145" s="13">
        <f>IF('Données projet'!$A$62&gt;35,AI144+AH145-AQ144,IF(A145&lt;'Données projet'!$A$62,$AF$205^A145,IF(A145='Données projet'!$A$62,'Données projet'!$B$62,AI144+AH145-AQ144)))</f>
        <v>446.9120000000006</v>
      </c>
      <c r="AJ145" s="13">
        <f>AI145*VLOOKUP('Données projet'!$B$10,Paramètres!$A$1:$I$89,3,0)*VLOOKUP('Données projet'!$B$10,Paramètres!$A$1:$I$89,5,0)</f>
        <v>432.25328640000055</v>
      </c>
      <c r="AK145" s="13">
        <f t="shared" si="143"/>
        <v>98.2857215173903</v>
      </c>
      <c r="AL145" s="20">
        <f t="shared" si="112"/>
        <v>924.02210545612218</v>
      </c>
      <c r="AM145" s="59">
        <f t="shared" si="113"/>
        <v>1213.6127326326211</v>
      </c>
      <c r="AN145" s="59">
        <f ca="1">AVERAGE(OFFSET($AM$3,0,0,'Données projet'!$E$10+1,1))-AVERAGE(OFFSET($H$3,0,0,'Données projet'!$E$10+1,1))</f>
        <v>641.25537514609562</v>
      </c>
      <c r="AO145" s="59">
        <f t="shared" si="144"/>
        <v>294.69846357521487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61.008012116383611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61.008012116383611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68.979261957226981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6.2527760746888816E-13</v>
      </c>
      <c r="BE145" s="13">
        <f>BD145*VLOOKUP('Données projet'!$B$11,Paramètres!$A$1:$I$89,3,0)*VLOOKUP('Données projet'!$B$11,Paramètres!$A$1:$I$89,5,0)</f>
        <v>2.9262992029543964E-13</v>
      </c>
      <c r="BF145" s="13">
        <f t="shared" si="145"/>
        <v>3.8796387982050903E-12</v>
      </c>
      <c r="BG145" s="20">
        <f t="shared" si="115"/>
        <v>7.2667013513884219E-12</v>
      </c>
      <c r="BH145" s="59">
        <f t="shared" si="116"/>
        <v>289.59062717650619</v>
      </c>
      <c r="BI145" s="59">
        <f ca="1">AVERAGE(OFFSET($BH$3,0,0,'Données projet'!$E$11+1,1))-AVERAGE(OFFSET($H$3,0,0,'Données projet'!$E$11+1,1))</f>
        <v>351.46787950120347</v>
      </c>
      <c r="BJ145" s="59">
        <f t="shared" si="146"/>
        <v>283.42185695241858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138.58311417545363</v>
      </c>
      <c r="BQ145" s="21">
        <f>EXP(-LN(2)/25)*BQ144+(1-EXP(-LN(2)/25))/(LN(2)/25)*Calculateur!BL145*Calculateur!BN145*VLOOKUP('Données projet'!$B$11,Paramètres!$A$1:$I$89,3,0)*0.475*44/12</f>
        <v>47.790687122689093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186.37380129814272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68.979261957226981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68.979261957226981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68.979261957226981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68.979261957226981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68.979261957226981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68.979261957226981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68.979261957226981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2.4500000000000002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8.9833333333333343</v>
      </c>
      <c r="H146" s="67">
        <f t="shared" si="110"/>
        <v>220.73333333333335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68.996969480240708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8.1590000000000025</v>
      </c>
      <c r="N146" s="13">
        <f>IF('Données projet'!$A$36&gt;35,N145+M146-V145,IF(A146&lt;'Données projet'!$A$36,$K$205^A146,IF(A146='Données projet'!$A$36,'Données projet'!$B$36,N145+M146-V145)))</f>
        <v>455.07100000000059</v>
      </c>
      <c r="O146" s="13">
        <f>N146*VLOOKUP('Données projet'!$B$9,Paramètres!$A$1:$I$89,3,0)*VLOOKUP('Données projet'!$B$9,Paramètres!$A$1:$I$89,5,0)</f>
        <v>461.44199400000065</v>
      </c>
      <c r="P146" s="13">
        <f t="shared" si="141"/>
        <v>104.12762144113498</v>
      </c>
      <c r="Q146" s="20">
        <f t="shared" si="108"/>
        <v>985.03374689331122</v>
      </c>
      <c r="R146" s="59">
        <f t="shared" si="109"/>
        <v>1274.6893016541937</v>
      </c>
      <c r="S146" s="59">
        <f ca="1">AVERAGE(OFFSET($R$3,0,0,'Données projet'!$E$9+1,1))-AVERAGE(OFFSET($H$3,0,0,'Données projet'!$E$9+1,1))</f>
        <v>668.93155285055116</v>
      </c>
      <c r="T146" s="59">
        <f t="shared" si="142"/>
        <v>306.43050420339659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62.705795865316738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62.705795865316738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68.996969480240708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8.1590000000000025</v>
      </c>
      <c r="AI146" s="13">
        <f>IF('Données projet'!$A$62&gt;35,AI145+AH146-AQ145,IF(A146&lt;'Données projet'!$A$62,$AF$205^A146,IF(A146='Données projet'!$A$62,'Données projet'!$B$62,AI145+AH146-AQ145)))</f>
        <v>455.07100000000059</v>
      </c>
      <c r="AJ146" s="13">
        <f>AI146*VLOOKUP('Données projet'!$B$10,Paramètres!$A$1:$I$89,3,0)*VLOOKUP('Données projet'!$B$10,Paramètres!$A$1:$I$89,5,0)</f>
        <v>440.14467120000057</v>
      </c>
      <c r="AK146" s="13">
        <f t="shared" si="143"/>
        <v>99.869529290466829</v>
      </c>
      <c r="AL146" s="20">
        <f t="shared" si="112"/>
        <v>940.52473252089715</v>
      </c>
      <c r="AM146" s="59">
        <f t="shared" si="113"/>
        <v>1230.1802872817798</v>
      </c>
      <c r="AN146" s="59">
        <f ca="1">AVERAGE(OFFSET($AM$3,0,0,'Données projet'!$E$10+1,1))-AVERAGE(OFFSET($H$3,0,0,'Données projet'!$E$10+1,1))</f>
        <v>641.25537514609562</v>
      </c>
      <c r="AO146" s="59">
        <f t="shared" si="144"/>
        <v>294.69846357521487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59.811682209994416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59.811682209994416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68.996969480240708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6.2527760746888816E-13</v>
      </c>
      <c r="BE146" s="13">
        <f>BD146*VLOOKUP('Données projet'!$B$11,Paramètres!$A$1:$I$89,3,0)*VLOOKUP('Données projet'!$B$11,Paramètres!$A$1:$I$89,5,0)</f>
        <v>2.9262992029543964E-13</v>
      </c>
      <c r="BF146" s="13">
        <f t="shared" si="145"/>
        <v>3.8796387982050903E-12</v>
      </c>
      <c r="BG146" s="20">
        <f t="shared" si="115"/>
        <v>7.2667013513884219E-12</v>
      </c>
      <c r="BH146" s="59">
        <f t="shared" si="116"/>
        <v>289.65555476088986</v>
      </c>
      <c r="BI146" s="59">
        <f ca="1">AVERAGE(OFFSET($BH$3,0,0,'Données projet'!$E$11+1,1))-AVERAGE(OFFSET($H$3,0,0,'Données projet'!$E$11+1,1))</f>
        <v>351.46787950120347</v>
      </c>
      <c r="BJ146" s="59">
        <f t="shared" si="146"/>
        <v>283.42185695241858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135.86558383382624</v>
      </c>
      <c r="BQ146" s="21">
        <f>EXP(-LN(2)/25)*BQ145+(1-EXP(-LN(2)/25))/(LN(2)/25)*Calculateur!BL146*Calculateur!BN146*VLOOKUP('Données projet'!$B$11,Paramètres!$A$1:$I$89,3,0)*0.475*44/12</f>
        <v>46.483848270116148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182.34943210394238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68.996969480240708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68.996969480240708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68.996969480240708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68.996969480240708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68.996969480240708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68.996969480240708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68.996969480240708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2.4500000000000002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8.9833333333333343</v>
      </c>
      <c r="H147" s="67">
        <f t="shared" si="110"/>
        <v>220.73333333333335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69.014369817318226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>
        <f>VLOOKUP(A147,'Données projet'!$A$35:$I$55,2,0)</f>
        <v>463.23</v>
      </c>
      <c r="L147" s="12">
        <f>VLOOKUP(A147,'Données projet'!$A$35:$I$55,9,0)</f>
        <v>8.1590000000000025</v>
      </c>
      <c r="M147" s="12">
        <f t="array" ref="M147">INDEX(L:L,MIN(IF(ISNUMBER(L147:L343),ROW(L147:L343),"")))</f>
        <v>8.1590000000000025</v>
      </c>
      <c r="N147" s="13">
        <f>IF('Données projet'!$A$36&gt;35,N146+M147-V146,IF(A147&lt;'Données projet'!$A$36,$K$205^A147,IF(A147='Données projet'!$A$36,'Données projet'!$B$36,N146+M147-V146)))</f>
        <v>463.23000000000059</v>
      </c>
      <c r="O147" s="13">
        <f>N147*VLOOKUP('Données projet'!$B$9,Paramètres!$A$1:$I$89,3,0)*VLOOKUP('Données projet'!$B$9,Paramètres!$A$1:$I$89,5,0)</f>
        <v>469.71522000000061</v>
      </c>
      <c r="P147" s="13">
        <f t="shared" si="141"/>
        <v>105.77551446647743</v>
      </c>
      <c r="Q147" s="20">
        <f t="shared" si="108"/>
        <v>1002.3130291957826</v>
      </c>
      <c r="R147" s="59">
        <f t="shared" si="109"/>
        <v>1292.0323851926162</v>
      </c>
      <c r="S147" s="59">
        <f ca="1">AVERAGE(OFFSET($R$3,0,0,'Données projet'!$E$9+1,1))-AVERAGE(OFFSET($H$3,0,0,'Données projet'!$E$9+1,1))</f>
        <v>668.93155285055116</v>
      </c>
      <c r="T147" s="59">
        <f t="shared" si="142"/>
        <v>306.43050420339659</v>
      </c>
      <c r="U147" s="15">
        <f>IF(ISNA(VLOOKUP(A147,'Données projet'!$A$35:$I$55,3,0)),0,VLOOKUP(A147,'Données projet'!$A$35:$I$55,3,0))</f>
        <v>12</v>
      </c>
      <c r="V147" s="15">
        <f>IF(ISNA(VLOOKUP(A147,'Données projet'!$A$35:$I$55,4,0)),0,VLOOKUP(A147,'Données projet'!$A$35:$I$55,4,0))</f>
        <v>56.01</v>
      </c>
      <c r="W147" s="16">
        <f>IF(ISNA(VLOOKUP(A147,'Données projet'!$A$35:$I$55,5,0)),0%,VLOOKUP(A147,'Données projet'!$A$35:$I$55,5,0)*VLOOKUP('Données projet'!$B$9,Paramètres!$A$1:$I$89,7,0))</f>
        <v>0.25800000000000001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77.674507246427055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77.674507246427055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69.014369817318226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463.23</v>
      </c>
      <c r="AG147" s="12">
        <f>VLOOKUP(A147,'Données projet'!$A$61:$I$81,9,0)</f>
        <v>8.1590000000000025</v>
      </c>
      <c r="AH147" s="12">
        <f t="array" ref="AH147">INDEX(AG:AG,MIN(IF(ISNUMBER(AG147:AG343),ROW(AG147:AG343),"")))</f>
        <v>8.1590000000000025</v>
      </c>
      <c r="AI147" s="13">
        <f>IF('Données projet'!$A$62&gt;35,AI146+AH147-AQ146,IF(A147&lt;'Données projet'!$A$62,$AF$205^A147,IF(A147='Données projet'!$A$62,'Données projet'!$B$62,AI146+AH147-AQ146)))</f>
        <v>463.23000000000059</v>
      </c>
      <c r="AJ147" s="13">
        <f>AI147*VLOOKUP('Données projet'!$B$10,Paramètres!$A$1:$I$89,3,0)*VLOOKUP('Données projet'!$B$10,Paramètres!$A$1:$I$89,5,0)</f>
        <v>448.0360560000006</v>
      </c>
      <c r="AK147" s="13">
        <f t="shared" si="143"/>
        <v>101.45003500532212</v>
      </c>
      <c r="AL147" s="20">
        <f t="shared" si="112"/>
        <v>957.02160850093696</v>
      </c>
      <c r="AM147" s="59">
        <f t="shared" si="113"/>
        <v>1246.7409644977704</v>
      </c>
      <c r="AN147" s="59">
        <f ca="1">AVERAGE(OFFSET($AM$3,0,0,'Données projet'!$E$10+1,1))-AVERAGE(OFFSET($H$3,0,0,'Données projet'!$E$10+1,1))</f>
        <v>641.25537514609562</v>
      </c>
      <c r="AO147" s="59">
        <f t="shared" si="144"/>
        <v>294.69846357521487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0.25800000000000001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74.089529988899642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74.089529988899642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69.014369817318226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6.2527760746888816E-13</v>
      </c>
      <c r="BE147" s="13">
        <f>BD147*VLOOKUP('Données projet'!$B$11,Paramètres!$A$1:$I$89,3,0)*VLOOKUP('Données projet'!$B$11,Paramètres!$A$1:$I$89,5,0)</f>
        <v>2.9262992029543964E-13</v>
      </c>
      <c r="BF147" s="13">
        <f t="shared" si="145"/>
        <v>3.8796387982050903E-12</v>
      </c>
      <c r="BG147" s="20">
        <f t="shared" si="115"/>
        <v>7.2667013513884219E-12</v>
      </c>
      <c r="BH147" s="59">
        <f t="shared" si="116"/>
        <v>289.71935599684076</v>
      </c>
      <c r="BI147" s="59">
        <f ca="1">AVERAGE(OFFSET($BH$3,0,0,'Données projet'!$E$11+1,1))-AVERAGE(OFFSET($H$3,0,0,'Données projet'!$E$11+1,1))</f>
        <v>351.46787950120347</v>
      </c>
      <c r="BJ147" s="59">
        <f t="shared" si="146"/>
        <v>283.42185695241858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133.20134260466833</v>
      </c>
      <c r="BQ147" s="21">
        <f>EXP(-LN(2)/25)*BQ146+(1-EXP(-LN(2)/25))/(LN(2)/25)*Calculateur!BL147*Calculateur!BN147*VLOOKUP('Données projet'!$B$11,Paramètres!$A$1:$I$89,3,0)*0.475*44/12</f>
        <v>45.212744994690482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178.41408759935882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69.014369817318226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69.014369817318226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69.014369817318226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69.014369817318226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69.014369817318226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69.014369817318226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69.014369817318226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2.4500000000000002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8.9833333333333343</v>
      </c>
      <c r="H148" s="67">
        <f t="shared" si="110"/>
        <v>220.73333333333335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69.031468297448782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8.3249999999999993</v>
      </c>
      <c r="N148" s="13">
        <f>IF('Données projet'!$A$36&gt;35,N147+M148-V147,IF(A148&lt;'Données projet'!$A$36,$K$205^A148,IF(A148='Données projet'!$A$36,'Données projet'!$B$36,N147+M148-V147)))</f>
        <v>415.54500000000058</v>
      </c>
      <c r="O148" s="13">
        <f>N148*VLOOKUP('Données projet'!$B$9,Paramètres!$A$1:$I$89,3,0)*VLOOKUP('Données projet'!$B$9,Paramètres!$A$1:$I$89,5,0)</f>
        <v>421.36263000000059</v>
      </c>
      <c r="P148" s="13">
        <f t="shared" si="141"/>
        <v>96.094409121503247</v>
      </c>
      <c r="Q148" s="20">
        <f t="shared" si="108"/>
        <v>901.23767646995248</v>
      </c>
      <c r="R148" s="59">
        <f t="shared" si="109"/>
        <v>1191.0197268939314</v>
      </c>
      <c r="S148" s="59">
        <f ca="1">AVERAGE(OFFSET($R$3,0,0,'Données projet'!$E$9+1,1))-AVERAGE(OFFSET($H$3,0,0,'Données projet'!$E$9+1,1))</f>
        <v>668.93155285055116</v>
      </c>
      <c r="T148" s="59">
        <f t="shared" si="142"/>
        <v>306.43050420339659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76.151357536095972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76.151357536095972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69.031468297448782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8.3249999999999993</v>
      </c>
      <c r="AI148" s="13">
        <f>IF('Données projet'!$A$62&gt;35,AI147+AH148-AQ147,IF(A148&lt;'Données projet'!$A$62,$AF$205^A148,IF(A148='Données projet'!$A$62,'Données projet'!$B$62,AI147+AH148-AQ147)))</f>
        <v>415.54500000000058</v>
      </c>
      <c r="AJ148" s="13">
        <f>AI148*VLOOKUP('Données projet'!$B$10,Paramètres!$A$1:$I$89,3,0)*VLOOKUP('Données projet'!$B$10,Paramètres!$A$1:$I$89,5,0)</f>
        <v>401.91512400000056</v>
      </c>
      <c r="AK148" s="13">
        <f t="shared" si="143"/>
        <v>92.164819224602709</v>
      </c>
      <c r="AL148" s="20">
        <f t="shared" si="112"/>
        <v>860.52256778285062</v>
      </c>
      <c r="AM148" s="59">
        <f t="shared" si="113"/>
        <v>1150.3046182068294</v>
      </c>
      <c r="AN148" s="59">
        <f ca="1">AVERAGE(OFFSET($AM$3,0,0,'Données projet'!$E$10+1,1))-AVERAGE(OFFSET($H$3,0,0,'Données projet'!$E$10+1,1))</f>
        <v>641.25537514609562</v>
      </c>
      <c r="AO148" s="59">
        <f t="shared" si="144"/>
        <v>294.69846357521487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72.636679495968451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72.636679495968451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69.031468297448782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6.2527760746888816E-13</v>
      </c>
      <c r="BE148" s="13">
        <f>BD148*VLOOKUP('Données projet'!$B$11,Paramètres!$A$1:$I$89,3,0)*VLOOKUP('Données projet'!$B$11,Paramètres!$A$1:$I$89,5,0)</f>
        <v>2.9262992029543964E-13</v>
      </c>
      <c r="BF148" s="13">
        <f t="shared" si="145"/>
        <v>3.8796387982050903E-12</v>
      </c>
      <c r="BG148" s="20">
        <f t="shared" si="115"/>
        <v>7.2667013513884219E-12</v>
      </c>
      <c r="BH148" s="59">
        <f t="shared" si="116"/>
        <v>289.78205042398616</v>
      </c>
      <c r="BI148" s="59">
        <f ca="1">AVERAGE(OFFSET($BH$3,0,0,'Données projet'!$E$11+1,1))-AVERAGE(OFFSET($H$3,0,0,'Données projet'!$E$11+1,1))</f>
        <v>351.46787950120347</v>
      </c>
      <c r="BJ148" s="59">
        <f t="shared" si="146"/>
        <v>283.42185695241858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130.58934552098751</v>
      </c>
      <c r="BQ148" s="21">
        <f>EXP(-LN(2)/25)*BQ147+(1-EXP(-LN(2)/25))/(LN(2)/25)*Calculateur!BL148*Calculateur!BN148*VLOOKUP('Données projet'!$B$11,Paramètres!$A$1:$I$89,3,0)*0.475*44/12</f>
        <v>43.976400105175749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174.56574562616325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69.031468297448782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69.031468297448782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69.031468297448782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69.031468297448782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69.031468297448782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69.031468297448782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69.031468297448782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2.4500000000000002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8.9833333333333343</v>
      </c>
      <c r="H149" s="67">
        <f t="shared" si="110"/>
        <v>220.73333333333335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69.048270157175551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8.3249999999999993</v>
      </c>
      <c r="N149" s="13">
        <f>IF('Données projet'!$A$36&gt;35,N148+M149-V148,IF(A149&lt;'Données projet'!$A$36,$K$205^A149,IF(A149='Données projet'!$A$36,'Données projet'!$B$36,N148+M149-V148)))</f>
        <v>423.87000000000057</v>
      </c>
      <c r="O149" s="13">
        <f>N149*VLOOKUP('Données projet'!$B$9,Paramètres!$A$1:$I$89,3,0)*VLOOKUP('Données projet'!$B$9,Paramètres!$A$1:$I$89,5,0)</f>
        <v>429.8041800000006</v>
      </c>
      <c r="P149" s="13">
        <f t="shared" si="141"/>
        <v>97.793501833753268</v>
      </c>
      <c r="Q149" s="20">
        <f t="shared" si="108"/>
        <v>918.89929586045457</v>
      </c>
      <c r="R149" s="59">
        <f t="shared" si="109"/>
        <v>1208.7429531034315</v>
      </c>
      <c r="S149" s="59">
        <f ca="1">AVERAGE(OFFSET($R$3,0,0,'Données projet'!$E$9+1,1))-AVERAGE(OFFSET($H$3,0,0,'Données projet'!$E$9+1,1))</f>
        <v>668.93155285055116</v>
      </c>
      <c r="T149" s="59">
        <f t="shared" si="142"/>
        <v>306.43050420339659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74.658075862554895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74.658075862554895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69.048270157175551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8.3249999999999993</v>
      </c>
      <c r="AI149" s="13">
        <f>IF('Données projet'!$A$62&gt;35,AI148+AH149-AQ148,IF(A149&lt;'Données projet'!$A$62,$AF$205^A149,IF(A149='Données projet'!$A$62,'Données projet'!$B$62,AI148+AH149-AQ148)))</f>
        <v>423.87000000000057</v>
      </c>
      <c r="AJ149" s="13">
        <f>AI149*VLOOKUP('Données projet'!$B$10,Paramètres!$A$1:$I$89,3,0)*VLOOKUP('Données projet'!$B$10,Paramètres!$A$1:$I$89,5,0)</f>
        <v>409.96706400000051</v>
      </c>
      <c r="AK149" s="13">
        <f t="shared" si="143"/>
        <v>93.79443091691617</v>
      </c>
      <c r="AL149" s="20">
        <f t="shared" si="112"/>
        <v>877.38460364696311</v>
      </c>
      <c r="AM149" s="59">
        <f t="shared" si="113"/>
        <v>1167.2282608899402</v>
      </c>
      <c r="AN149" s="59">
        <f ca="1">AVERAGE(OFFSET($AM$3,0,0,'Données projet'!$E$10+1,1))-AVERAGE(OFFSET($H$3,0,0,'Données projet'!$E$10+1,1))</f>
        <v>641.25537514609562</v>
      </c>
      <c r="AO149" s="59">
        <f t="shared" si="144"/>
        <v>294.69846357521487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71.212318515052345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71.212318515052345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69.048270157175551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6.2527760746888816E-13</v>
      </c>
      <c r="BE149" s="13">
        <f>BD149*VLOOKUP('Données projet'!$B$11,Paramètres!$A$1:$I$89,3,0)*VLOOKUP('Données projet'!$B$11,Paramètres!$A$1:$I$89,5,0)</f>
        <v>2.9262992029543964E-13</v>
      </c>
      <c r="BF149" s="13">
        <f t="shared" si="145"/>
        <v>3.8796387982050903E-12</v>
      </c>
      <c r="BG149" s="20">
        <f t="shared" si="115"/>
        <v>7.2667013513884219E-12</v>
      </c>
      <c r="BH149" s="59">
        <f t="shared" si="116"/>
        <v>289.84365724298431</v>
      </c>
      <c r="BI149" s="59">
        <f ca="1">AVERAGE(OFFSET($BH$3,0,0,'Données projet'!$E$11+1,1))-AVERAGE(OFFSET($H$3,0,0,'Données projet'!$E$11+1,1))</f>
        <v>351.46787950120347</v>
      </c>
      <c r="BJ149" s="59">
        <f t="shared" si="146"/>
        <v>283.42185695241858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128.02856810695675</v>
      </c>
      <c r="BQ149" s="21">
        <f>EXP(-LN(2)/25)*BQ148+(1-EXP(-LN(2)/25))/(LN(2)/25)*Calculateur!BL149*Calculateur!BN149*VLOOKUP('Données projet'!$B$11,Paramètres!$A$1:$I$89,3,0)*0.475*44/12</f>
        <v>42.773863131681345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170.80243123863809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69.048270157175551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69.048270157175551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69.048270157175551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69.048270157175551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69.048270157175551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69.048270157175551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69.048270157175551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2.4500000000000002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8.9833333333333343</v>
      </c>
      <c r="H150" s="67">
        <f t="shared" si="110"/>
        <v>220.73333333333335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69.064780542199372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8.3249999999999993</v>
      </c>
      <c r="N150" s="13">
        <f>IF('Données projet'!$A$36&gt;35,N149+M150-V149,IF(A150&lt;'Données projet'!$A$36,$K$205^A150,IF(A150='Données projet'!$A$36,'Données projet'!$B$36,N149+M150-V149)))</f>
        <v>432.19500000000056</v>
      </c>
      <c r="O150" s="13">
        <f>N150*VLOOKUP('Données projet'!$B$9,Paramètres!$A$1:$I$89,3,0)*VLOOKUP('Données projet'!$B$9,Paramètres!$A$1:$I$89,5,0)</f>
        <v>438.24573000000061</v>
      </c>
      <c r="P150" s="13">
        <f t="shared" si="141"/>
        <v>99.488714339852734</v>
      </c>
      <c r="Q150" s="20">
        <f t="shared" si="108"/>
        <v>936.55415722524458</v>
      </c>
      <c r="R150" s="59">
        <f t="shared" si="109"/>
        <v>1226.4583525466423</v>
      </c>
      <c r="S150" s="59">
        <f ca="1">AVERAGE(OFFSET($R$3,0,0,'Données projet'!$E$9+1,1))-AVERAGE(OFFSET($H$3,0,0,'Données projet'!$E$9+1,1))</f>
        <v>668.93155285055116</v>
      </c>
      <c r="T150" s="59">
        <f t="shared" si="142"/>
        <v>306.43050420339659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73.194076531820073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73.194076531820073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69.064780542199372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8.3249999999999993</v>
      </c>
      <c r="AI150" s="13">
        <f>IF('Données projet'!$A$62&gt;35,AI149+AH150-AQ149,IF(A150&lt;'Données projet'!$A$62,$AF$205^A150,IF(A150='Données projet'!$A$62,'Données projet'!$B$62,AI149+AH150-AQ149)))</f>
        <v>432.19500000000056</v>
      </c>
      <c r="AJ150" s="13">
        <f>AI150*VLOOKUP('Données projet'!$B$10,Paramètres!$A$1:$I$89,3,0)*VLOOKUP('Données projet'!$B$10,Paramètres!$A$1:$I$89,5,0)</f>
        <v>418.01900400000051</v>
      </c>
      <c r="AK150" s="13">
        <f t="shared" si="143"/>
        <v>95.420321076398807</v>
      </c>
      <c r="AL150" s="20">
        <f t="shared" si="112"/>
        <v>894.24015784139544</v>
      </c>
      <c r="AM150" s="59">
        <f t="shared" si="113"/>
        <v>1184.1443531627931</v>
      </c>
      <c r="AN150" s="59">
        <f ca="1">AVERAGE(OFFSET($AM$3,0,0,'Données projet'!$E$10+1,1))-AVERAGE(OFFSET($H$3,0,0,'Données projet'!$E$10+1,1))</f>
        <v>641.25537514609562</v>
      </c>
      <c r="AO150" s="59">
        <f t="shared" si="144"/>
        <v>294.69846357521487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69.815888384197592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69.815888384197592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69.064780542199372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6.2527760746888816E-13</v>
      </c>
      <c r="BE150" s="13">
        <f>BD150*VLOOKUP('Données projet'!$B$11,Paramètres!$A$1:$I$89,3,0)*VLOOKUP('Données projet'!$B$11,Paramètres!$A$1:$I$89,5,0)</f>
        <v>2.9262992029543964E-13</v>
      </c>
      <c r="BF150" s="13">
        <f t="shared" si="145"/>
        <v>3.8796387982050903E-12</v>
      </c>
      <c r="BG150" s="20">
        <f t="shared" si="115"/>
        <v>7.2667013513884219E-12</v>
      </c>
      <c r="BH150" s="59">
        <f t="shared" si="116"/>
        <v>289.90419532140498</v>
      </c>
      <c r="BI150" s="59">
        <f ca="1">AVERAGE(OFFSET($BH$3,0,0,'Données projet'!$E$11+1,1))-AVERAGE(OFFSET($H$3,0,0,'Données projet'!$E$11+1,1))</f>
        <v>351.46787950120347</v>
      </c>
      <c r="BJ150" s="59">
        <f t="shared" si="146"/>
        <v>283.42185695241858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125.51800597609515</v>
      </c>
      <c r="BQ150" s="21">
        <f>EXP(-LN(2)/25)*BQ149+(1-EXP(-LN(2)/25))/(LN(2)/25)*Calculateur!BL150*Calculateur!BN150*VLOOKUP('Données projet'!$B$11,Paramètres!$A$1:$I$89,3,0)*0.475*44/12</f>
        <v>41.604209594965816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167.12221557106096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69.064780542199372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69.064780542199372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69.064780542199372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69.064780542199372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69.064780542199372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69.064780542199372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69.064780542199372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2.4500000000000002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8.9833333333333343</v>
      </c>
      <c r="H151" s="67">
        <f t="shared" si="110"/>
        <v>220.73333333333335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69.081004508954749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8.3249999999999993</v>
      </c>
      <c r="N151" s="13">
        <f>IF('Données projet'!$A$36&gt;35,N150+M151-V150,IF(A151&lt;'Données projet'!$A$36,$K$205^A151,IF(A151='Données projet'!$A$36,'Données projet'!$B$36,N150+M151-V150)))</f>
        <v>440.52000000000055</v>
      </c>
      <c r="O151" s="13">
        <f>N151*VLOOKUP('Données projet'!$B$9,Paramètres!$A$1:$I$89,3,0)*VLOOKUP('Données projet'!$B$9,Paramètres!$A$1:$I$89,5,0)</f>
        <v>446.68728000000056</v>
      </c>
      <c r="P151" s="13">
        <f t="shared" si="141"/>
        <v>101.18012999765861</v>
      </c>
      <c r="Q151" s="20">
        <f t="shared" si="108"/>
        <v>954.20240574592299</v>
      </c>
      <c r="R151" s="59">
        <f t="shared" si="109"/>
        <v>1244.1660889454238</v>
      </c>
      <c r="S151" s="59">
        <f ca="1">AVERAGE(OFFSET($R$3,0,0,'Données projet'!$E$9+1,1))-AVERAGE(OFFSET($H$3,0,0,'Données projet'!$E$9+1,1))</f>
        <v>668.93155285055116</v>
      </c>
      <c r="T151" s="59">
        <f t="shared" si="142"/>
        <v>306.43050420339659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71.758785335009534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71.758785335009534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69.081004508954749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8.3249999999999993</v>
      </c>
      <c r="AI151" s="13">
        <f>IF('Données projet'!$A$62&gt;35,AI150+AH151-AQ150,IF(A151&lt;'Données projet'!$A$62,$AF$205^A151,IF(A151='Données projet'!$A$62,'Données projet'!$B$62,AI150+AH151-AQ150)))</f>
        <v>440.52000000000055</v>
      </c>
      <c r="AJ151" s="13">
        <f>AI151*VLOOKUP('Données projet'!$B$10,Paramètres!$A$1:$I$89,3,0)*VLOOKUP('Données projet'!$B$10,Paramètres!$A$1:$I$89,5,0)</f>
        <v>426.07094400000051</v>
      </c>
      <c r="AK151" s="13">
        <f t="shared" si="143"/>
        <v>97.042569652153361</v>
      </c>
      <c r="AL151" s="20">
        <f t="shared" si="112"/>
        <v>911.08936961083464</v>
      </c>
      <c r="AM151" s="59">
        <f t="shared" si="113"/>
        <v>1201.0530528103354</v>
      </c>
      <c r="AN151" s="59">
        <f ca="1">AVERAGE(OFFSET($AM$3,0,0,'Données projet'!$E$10+1,1))-AVERAGE(OFFSET($H$3,0,0,'Données projet'!$E$10+1,1))</f>
        <v>641.25537514609562</v>
      </c>
      <c r="AO151" s="59">
        <f t="shared" si="144"/>
        <v>294.69846357521487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68.446841396470617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68.446841396470617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69.081004508954749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6.2527760746888816E-13</v>
      </c>
      <c r="BE151" s="13">
        <f>BD151*VLOOKUP('Données projet'!$B$11,Paramètres!$A$1:$I$89,3,0)*VLOOKUP('Données projet'!$B$11,Paramètres!$A$1:$I$89,5,0)</f>
        <v>2.9262992029543964E-13</v>
      </c>
      <c r="BF151" s="13">
        <f t="shared" si="145"/>
        <v>3.8796387982050903E-12</v>
      </c>
      <c r="BG151" s="20">
        <f t="shared" si="115"/>
        <v>7.2667013513884219E-12</v>
      </c>
      <c r="BH151" s="59">
        <f t="shared" si="116"/>
        <v>289.96368319950801</v>
      </c>
      <c r="BI151" s="59">
        <f ca="1">AVERAGE(OFFSET($BH$3,0,0,'Données projet'!$E$11+1,1))-AVERAGE(OFFSET($H$3,0,0,'Données projet'!$E$11+1,1))</f>
        <v>351.46787950120347</v>
      </c>
      <c r="BJ151" s="59">
        <f t="shared" si="146"/>
        <v>283.42185695241858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123.05667443732806</v>
      </c>
      <c r="BQ151" s="21">
        <f>EXP(-LN(2)/25)*BQ150+(1-EXP(-LN(2)/25))/(LN(2)/25)*Calculateur!BL151*Calculateur!BN151*VLOOKUP('Données projet'!$B$11,Paramètres!$A$1:$I$89,3,0)*0.475*44/12</f>
        <v>40.466540295721181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163.52321473304923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69.081004508954749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69.081004508954749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69.081004508954749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69.081004508954749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69.081004508954749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69.081004508954749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69.081004508954749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2.4500000000000002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8.9833333333333343</v>
      </c>
      <c r="H152" s="67">
        <f t="shared" si="110"/>
        <v>220.73333333333335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69.096947026158261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8.3249999999999993</v>
      </c>
      <c r="N152" s="13">
        <f>IF('Données projet'!$A$36&gt;35,N151+M152-V151,IF(A152&lt;'Données projet'!$A$36,$K$205^A152,IF(A152='Données projet'!$A$36,'Données projet'!$B$36,N151+M152-V151)))</f>
        <v>448.84500000000054</v>
      </c>
      <c r="O152" s="13">
        <f>N152*VLOOKUP('Données projet'!$B$9,Paramètres!$A$1:$I$89,3,0)*VLOOKUP('Données projet'!$B$9,Paramètres!$A$1:$I$89,5,0)</f>
        <v>455.12883000000056</v>
      </c>
      <c r="P152" s="13">
        <f t="shared" si="141"/>
        <v>102.86782883411858</v>
      </c>
      <c r="Q152" s="20">
        <f t="shared" si="108"/>
        <v>971.84418080275736</v>
      </c>
      <c r="R152" s="59">
        <f t="shared" si="109"/>
        <v>1261.866319898671</v>
      </c>
      <c r="S152" s="59">
        <f ca="1">AVERAGE(OFFSET($R$3,0,0,'Données projet'!$E$9+1,1))-AVERAGE(OFFSET($H$3,0,0,'Données projet'!$E$9+1,1))</f>
        <v>668.93155285055116</v>
      </c>
      <c r="T152" s="59">
        <f t="shared" si="142"/>
        <v>306.43050420339659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70.351639323127273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70.351639323127273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69.096947026158261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8.3249999999999993</v>
      </c>
      <c r="AI152" s="13">
        <f>IF('Données projet'!$A$62&gt;35,AI151+AH152-AQ151,IF(A152&lt;'Données projet'!$A$62,$AF$205^A152,IF(A152='Données projet'!$A$62,'Données projet'!$B$62,AI151+AH152-AQ151)))</f>
        <v>448.84500000000054</v>
      </c>
      <c r="AJ152" s="13">
        <f>AI152*VLOOKUP('Données projet'!$B$10,Paramètres!$A$1:$I$89,3,0)*VLOOKUP('Données projet'!$B$10,Paramètres!$A$1:$I$89,5,0)</f>
        <v>434.12288400000057</v>
      </c>
      <c r="AK152" s="13">
        <f t="shared" si="143"/>
        <v>98.661253398584833</v>
      </c>
      <c r="AL152" s="20">
        <f t="shared" si="112"/>
        <v>927.93237263586946</v>
      </c>
      <c r="AM152" s="59">
        <f t="shared" si="113"/>
        <v>1217.954511731783</v>
      </c>
      <c r="AN152" s="59">
        <f ca="1">AVERAGE(OFFSET($AM$3,0,0,'Données projet'!$E$10+1,1))-AVERAGE(OFFSET($H$3,0,0,'Données projet'!$E$10+1,1))</f>
        <v>641.25537514609562</v>
      </c>
      <c r="AO152" s="59">
        <f t="shared" si="144"/>
        <v>294.69846357521487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67.104640585136764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67.104640585136764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69.096947026158261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6.2527760746888816E-13</v>
      </c>
      <c r="BE152" s="13">
        <f>BD152*VLOOKUP('Données projet'!$B$11,Paramètres!$A$1:$I$89,3,0)*VLOOKUP('Données projet'!$B$11,Paramètres!$A$1:$I$89,5,0)</f>
        <v>2.9262992029543964E-13</v>
      </c>
      <c r="BF152" s="13">
        <f t="shared" si="145"/>
        <v>3.8796387982050903E-12</v>
      </c>
      <c r="BG152" s="20">
        <f t="shared" si="115"/>
        <v>7.2667013513884219E-12</v>
      </c>
      <c r="BH152" s="59">
        <f t="shared" si="116"/>
        <v>290.02213909592092</v>
      </c>
      <c r="BI152" s="59">
        <f ca="1">AVERAGE(OFFSET($BH$3,0,0,'Données projet'!$E$11+1,1))-AVERAGE(OFFSET($H$3,0,0,'Données projet'!$E$11+1,1))</f>
        <v>351.46787950120347</v>
      </c>
      <c r="BJ152" s="59">
        <f t="shared" si="146"/>
        <v>283.42185695241858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120.64360810877218</v>
      </c>
      <c r="BQ152" s="21">
        <f>EXP(-LN(2)/25)*BQ151+(1-EXP(-LN(2)/25))/(LN(2)/25)*Calculateur!BL152*Calculateur!BN152*VLOOKUP('Données projet'!$B$11,Paramètres!$A$1:$I$89,3,0)*0.475*44/12</f>
        <v>39.359980623291818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160.003588732064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69.096947026158261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69.096947026158261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69.096947026158261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69.096947026158261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69.096947026158261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69.096947026158261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69.096947026158261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2.4500000000000002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8.9833333333333343</v>
      </c>
      <c r="H153" s="67">
        <f t="shared" si="110"/>
        <v>220.73333333333335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69.112612976330425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8.3249999999999993</v>
      </c>
      <c r="N153" s="13">
        <f>IF('Données projet'!$A$36&gt;35,N152+M153-V152,IF(A153&lt;'Données projet'!$A$36,$K$205^A153,IF(A153='Données projet'!$A$36,'Données projet'!$B$36,N152+M153-V152)))</f>
        <v>457.17000000000053</v>
      </c>
      <c r="O153" s="13">
        <f>N153*VLOOKUP('Données projet'!$B$9,Paramètres!$A$1:$I$89,3,0)*VLOOKUP('Données projet'!$B$9,Paramètres!$A$1:$I$89,5,0)</f>
        <v>463.57038000000057</v>
      </c>
      <c r="P153" s="13">
        <f t="shared" si="141"/>
        <v>104.55188773764013</v>
      </c>
      <c r="Q153" s="20">
        <f t="shared" si="108"/>
        <v>989.47961630972395</v>
      </c>
      <c r="R153" s="59">
        <f t="shared" si="109"/>
        <v>1279.5591972229354</v>
      </c>
      <c r="S153" s="59">
        <f ca="1">AVERAGE(OFFSET($R$3,0,0,'Données projet'!$E$9+1,1))-AVERAGE(OFFSET($H$3,0,0,'Données projet'!$E$9+1,1))</f>
        <v>668.93155285055116</v>
      </c>
      <c r="T153" s="59">
        <f t="shared" si="142"/>
        <v>306.43050420339659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68.9720865862637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68.9720865862637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69.112612976330425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8.3249999999999993</v>
      </c>
      <c r="AI153" s="13">
        <f>IF('Données projet'!$A$62&gt;35,AI152+AH153-AQ152,IF(A153&lt;'Données projet'!$A$62,$AF$205^A153,IF(A153='Données projet'!$A$62,'Données projet'!$B$62,AI152+AH153-AQ152)))</f>
        <v>457.17000000000053</v>
      </c>
      <c r="AJ153" s="13">
        <f>AI153*VLOOKUP('Données projet'!$B$10,Paramètres!$A$1:$I$89,3,0)*VLOOKUP('Données projet'!$B$10,Paramètres!$A$1:$I$89,5,0)</f>
        <v>442.17482400000057</v>
      </c>
      <c r="AK153" s="13">
        <f t="shared" si="143"/>
        <v>100.27644605990184</v>
      </c>
      <c r="AL153" s="20">
        <f t="shared" si="112"/>
        <v>944.76929535432998</v>
      </c>
      <c r="AM153" s="59">
        <f t="shared" si="113"/>
        <v>1234.8488762675415</v>
      </c>
      <c r="AN153" s="59">
        <f ca="1">AVERAGE(OFFSET($AM$3,0,0,'Données projet'!$E$10+1,1))-AVERAGE(OFFSET($H$3,0,0,'Données projet'!$E$10+1,1))</f>
        <v>641.25537514609562</v>
      </c>
      <c r="AO153" s="59">
        <f t="shared" si="144"/>
        <v>294.69846357521487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65.788759513051502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65.788759513051502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69.112612976330425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6.2527760746888816E-13</v>
      </c>
      <c r="BE153" s="13">
        <f>BD153*VLOOKUP('Données projet'!$B$11,Paramètres!$A$1:$I$89,3,0)*VLOOKUP('Données projet'!$B$11,Paramètres!$A$1:$I$89,5,0)</f>
        <v>2.9262992029543964E-13</v>
      </c>
      <c r="BF153" s="13">
        <f t="shared" si="145"/>
        <v>3.8796387982050903E-12</v>
      </c>
      <c r="BG153" s="20">
        <f t="shared" si="115"/>
        <v>7.2667013513884219E-12</v>
      </c>
      <c r="BH153" s="59">
        <f t="shared" si="116"/>
        <v>290.07958091321882</v>
      </c>
      <c r="BI153" s="59">
        <f ca="1">AVERAGE(OFFSET($BH$3,0,0,'Données projet'!$E$11+1,1))-AVERAGE(OFFSET($H$3,0,0,'Données projet'!$E$11+1,1))</f>
        <v>351.46787950120347</v>
      </c>
      <c r="BJ153" s="59">
        <f t="shared" si="146"/>
        <v>283.42185695241858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118.27786053909416</v>
      </c>
      <c r="BQ153" s="21">
        <f>EXP(-LN(2)/25)*BQ152+(1-EXP(-LN(2)/25))/(LN(2)/25)*Calculateur!BL153*Calculateur!BN153*VLOOKUP('Données projet'!$B$11,Paramètres!$A$1:$I$89,3,0)*0.475*44/12</f>
        <v>38.283679883296479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156.56154042239064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69.112612976330425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69.112612976330425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69.112612976330425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69.112612976330425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69.112612976330425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69.112612976330425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69.112612976330425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2.4500000000000002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8.9833333333333343</v>
      </c>
      <c r="H154" s="67">
        <f t="shared" si="110"/>
        <v>220.73333333333335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69.128007157290909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8.3249999999999993</v>
      </c>
      <c r="N154" s="13">
        <f>IF('Données projet'!$A$36&gt;35,N153+M154-V153,IF(A154&lt;'Données projet'!$A$36,$K$205^A154,IF(A154='Données projet'!$A$36,'Données projet'!$B$36,N153+M154-V153)))</f>
        <v>465.49500000000052</v>
      </c>
      <c r="O154" s="13">
        <f>N154*VLOOKUP('Données projet'!$B$9,Paramètres!$A$1:$I$89,3,0)*VLOOKUP('Données projet'!$B$9,Paramètres!$A$1:$I$89,5,0)</f>
        <v>472.01193000000058</v>
      </c>
      <c r="P154" s="13">
        <f t="shared" si="141"/>
        <v>106.23238063605056</v>
      </c>
      <c r="Q154" s="20">
        <f t="shared" ref="Q154:Q203" si="162">(O154+P154)*0.475*44/12</f>
        <v>1007.108841024456</v>
      </c>
      <c r="R154" s="59">
        <f t="shared" si="109"/>
        <v>1297.2448672678561</v>
      </c>
      <c r="S154" s="59">
        <f ca="1">AVERAGE(OFFSET($R$3,0,0,'Données projet'!$E$9+1,1))-AVERAGE(OFFSET($H$3,0,0,'Données projet'!$E$9+1,1))</f>
        <v>668.93155285055116</v>
      </c>
      <c r="T154" s="59">
        <f t="shared" si="142"/>
        <v>306.43050420339659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67.619586037125941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67.619586037125941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69.128007157290909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8.3249999999999993</v>
      </c>
      <c r="AI154" s="13">
        <f>IF('Données projet'!$A$62&gt;35,AI153+AH154-AQ153,IF(A154&lt;'Données projet'!$A$62,$AF$205^A154,IF(A154='Données projet'!$A$62,'Données projet'!$B$62,AI153+AH154-AQ153)))</f>
        <v>465.49500000000052</v>
      </c>
      <c r="AJ154" s="13">
        <f>AI154*VLOOKUP('Données projet'!$B$10,Paramètres!$A$1:$I$89,3,0)*VLOOKUP('Données projet'!$B$10,Paramètres!$A$1:$I$89,5,0)</f>
        <v>450.22676400000051</v>
      </c>
      <c r="AK154" s="13">
        <f t="shared" ref="AK154:AK203" si="164">EXP(-1.0587+0.8836*LN(AJ154)+0.284)</f>
        <v>101.88821854080018</v>
      </c>
      <c r="AL154" s="20">
        <f t="shared" ref="AL154:AL203" si="165">(AJ154+AK154)*0.475*44/12</f>
        <v>961.6002612585612</v>
      </c>
      <c r="AM154" s="59">
        <f t="shared" si="113"/>
        <v>1251.7362875019612</v>
      </c>
      <c r="AN154" s="59">
        <f ca="1">AVERAGE(OFFSET($AM$3,0,0,'Données projet'!$E$10+1,1))-AVERAGE(OFFSET($H$3,0,0,'Données projet'!$E$10+1,1))</f>
        <v>641.25537514609562</v>
      </c>
      <c r="AO154" s="59">
        <f t="shared" si="144"/>
        <v>294.69846357521487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64.49868206618163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64.49868206618163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69.128007157290909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6.2527760746888816E-13</v>
      </c>
      <c r="BE154" s="13">
        <f>BD154*VLOOKUP('Données projet'!$B$11,Paramètres!$A$1:$I$89,3,0)*VLOOKUP('Données projet'!$B$11,Paramètres!$A$1:$I$89,5,0)</f>
        <v>2.9262992029543964E-13</v>
      </c>
      <c r="BF154" s="13">
        <f t="shared" ref="BF154:BF203" si="167">EXP(-1.0587+0.8836*LN(BE154)+0.284)</f>
        <v>3.8796387982050903E-12</v>
      </c>
      <c r="BG154" s="20">
        <f t="shared" ref="BG154:BG203" si="168">(BE154+BF154)*0.475*44/12</f>
        <v>7.2667013513884219E-12</v>
      </c>
      <c r="BH154" s="59">
        <f t="shared" si="116"/>
        <v>290.13602624340729</v>
      </c>
      <c r="BI154" s="59">
        <f ca="1">AVERAGE(OFFSET($BH$3,0,0,'Données projet'!$E$11+1,1))-AVERAGE(OFFSET($H$3,0,0,'Données projet'!$E$11+1,1))</f>
        <v>351.46787950120347</v>
      </c>
      <c r="BJ154" s="59">
        <f t="shared" si="146"/>
        <v>283.42185695241858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115.95850383629399</v>
      </c>
      <c r="BQ154" s="21">
        <f>EXP(-LN(2)/25)*BQ153+(1-EXP(-LN(2)/25))/(LN(2)/25)*Calculateur!BL154*Calculateur!BN154*VLOOKUP('Données projet'!$B$11,Paramètres!$A$1:$I$89,3,0)*0.475*44/12</f>
        <v>37.23681064363651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153.19531447993049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69.128007157290909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69.128007157290909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69.128007157290909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69.128007157290909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69.128007157290909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69.128007157290909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69.128007157290909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2.4500000000000002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8.9833333333333343</v>
      </c>
      <c r="H155" s="67">
        <f t="shared" si="110"/>
        <v>220.73333333333335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69.143134283627973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8.3249999999999993</v>
      </c>
      <c r="N155" s="13">
        <f>IF('Données projet'!$A$36&gt;35,N154+M155-V154,IF(A155&lt;'Données projet'!$A$36,$K$205^A155,IF(A155='Données projet'!$A$36,'Données projet'!$B$36,N154+M155-V154)))</f>
        <v>473.8200000000005</v>
      </c>
      <c r="O155" s="13">
        <f>N155*VLOOKUP('Données projet'!$B$9,Paramètres!$A$1:$I$89,3,0)*VLOOKUP('Données projet'!$B$9,Paramètres!$A$1:$I$89,5,0)</f>
        <v>480.45348000000058</v>
      </c>
      <c r="P155" s="13">
        <f t="shared" si="141"/>
        <v>107.90937866146631</v>
      </c>
      <c r="Q155" s="20">
        <f t="shared" si="162"/>
        <v>1024.7319788353882</v>
      </c>
      <c r="R155" s="59">
        <f t="shared" si="109"/>
        <v>1314.9234712086907</v>
      </c>
      <c r="S155" s="59">
        <f ca="1">AVERAGE(OFFSET($R$3,0,0,'Données projet'!$E$9+1,1))-AVERAGE(OFFSET($H$3,0,0,'Données projet'!$E$9+1,1))</f>
        <v>668.93155285055116</v>
      </c>
      <c r="T155" s="59">
        <f t="shared" si="142"/>
        <v>306.43050420339659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66.293607198812893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66.293607198812893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69.143134283627973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8.3249999999999993</v>
      </c>
      <c r="AI155" s="13">
        <f>IF('Données projet'!$A$62&gt;35,AI154+AH155-AQ154,IF(A155&lt;'Données projet'!$A$62,$AF$205^A155,IF(A155='Données projet'!$A$62,'Données projet'!$B$62,AI154+AH155-AQ154)))</f>
        <v>473.8200000000005</v>
      </c>
      <c r="AJ155" s="13">
        <f>AI155*VLOOKUP('Données projet'!$B$10,Paramètres!$A$1:$I$89,3,0)*VLOOKUP('Données projet'!$B$10,Paramètres!$A$1:$I$89,5,0)</f>
        <v>458.27870400000052</v>
      </c>
      <c r="AK155" s="13">
        <f t="shared" si="164"/>
        <v>103.49663906458966</v>
      </c>
      <c r="AL155" s="20">
        <f t="shared" si="165"/>
        <v>978.42538917082777</v>
      </c>
      <c r="AM155" s="59">
        <f t="shared" si="113"/>
        <v>1268.6168815441304</v>
      </c>
      <c r="AN155" s="59">
        <f ca="1">AVERAGE(OFFSET($AM$3,0,0,'Données projet'!$E$10+1,1))-AVERAGE(OFFSET($H$3,0,0,'Données projet'!$E$10+1,1))</f>
        <v>641.25537514609562</v>
      </c>
      <c r="AO155" s="59">
        <f t="shared" si="144"/>
        <v>294.69846357521487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63.233902251175337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63.233902251175337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69.143134283627973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6.2527760746888816E-13</v>
      </c>
      <c r="BE155" s="13">
        <f>BD155*VLOOKUP('Données projet'!$B$11,Paramètres!$A$1:$I$89,3,0)*VLOOKUP('Données projet'!$B$11,Paramètres!$A$1:$I$89,5,0)</f>
        <v>2.9262992029543964E-13</v>
      </c>
      <c r="BF155" s="13">
        <f t="shared" si="167"/>
        <v>3.8796387982050903E-12</v>
      </c>
      <c r="BG155" s="20">
        <f t="shared" si="168"/>
        <v>7.2667013513884219E-12</v>
      </c>
      <c r="BH155" s="59">
        <f t="shared" si="116"/>
        <v>290.19149237330981</v>
      </c>
      <c r="BI155" s="59">
        <f ca="1">AVERAGE(OFFSET($BH$3,0,0,'Données projet'!$E$11+1,1))-AVERAGE(OFFSET($H$3,0,0,'Données projet'!$E$11+1,1))</f>
        <v>351.46787950120347</v>
      </c>
      <c r="BJ155" s="59">
        <f t="shared" si="146"/>
        <v>283.42185695241858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113.68462830376782</v>
      </c>
      <c r="BQ155" s="21">
        <f>EXP(-LN(2)/25)*BQ154+(1-EXP(-LN(2)/25))/(LN(2)/25)*Calculateur!BL155*Calculateur!BN155*VLOOKUP('Données projet'!$B$11,Paramètres!$A$1:$I$89,3,0)*0.475*44/12</f>
        <v>36.2185680983875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149.90319640215532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69.143134283627973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69.143134283627973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69.143134283627973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69.143134283627973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69.143134283627973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69.143134283627973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69.143134283627973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2.4500000000000002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8.9833333333333343</v>
      </c>
      <c r="H156" s="67">
        <f t="shared" si="110"/>
        <v>220.73333333333335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69.157998988142282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8.3249999999999993</v>
      </c>
      <c r="N156" s="13">
        <f>IF('Données projet'!$A$36&gt;35,N155+M156-V155,IF(A156&lt;'Données projet'!$A$36,$K$205^A156,IF(A156='Données projet'!$A$36,'Données projet'!$B$36,N155+M156-V155)))</f>
        <v>482.14500000000049</v>
      </c>
      <c r="O156" s="13">
        <f>N156*VLOOKUP('Données projet'!$B$9,Paramètres!$A$1:$I$89,3,0)*VLOOKUP('Données projet'!$B$9,Paramètres!$A$1:$I$89,5,0)</f>
        <v>488.89503000000053</v>
      </c>
      <c r="P156" s="13">
        <f t="shared" si="141"/>
        <v>109.582950303247</v>
      </c>
      <c r="Q156" s="20">
        <f t="shared" si="162"/>
        <v>1042.349149028156</v>
      </c>
      <c r="R156" s="59">
        <f t="shared" si="109"/>
        <v>1332.595145318011</v>
      </c>
      <c r="S156" s="59">
        <f ca="1">AVERAGE(OFFSET($R$3,0,0,'Données projet'!$E$9+1,1))-AVERAGE(OFFSET($H$3,0,0,'Données projet'!$E$9+1,1))</f>
        <v>668.93155285055116</v>
      </c>
      <c r="T156" s="59">
        <f t="shared" si="142"/>
        <v>306.43050420339659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64.993629996751935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64.993629996751935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69.157998988142282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8.3249999999999993</v>
      </c>
      <c r="AI156" s="13">
        <f>IF('Données projet'!$A$62&gt;35,AI155+AH156-AQ155,IF(A156&lt;'Données projet'!$A$62,$AF$205^A156,IF(A156='Données projet'!$A$62,'Données projet'!$B$62,AI155+AH156-AQ155)))</f>
        <v>482.14500000000049</v>
      </c>
      <c r="AJ156" s="13">
        <f>AI156*VLOOKUP('Données projet'!$B$10,Paramètres!$A$1:$I$89,3,0)*VLOOKUP('Données projet'!$B$10,Paramètres!$A$1:$I$89,5,0)</f>
        <v>466.33064400000052</v>
      </c>
      <c r="AK156" s="13">
        <f t="shared" si="164"/>
        <v>105.10177331989394</v>
      </c>
      <c r="AL156" s="20">
        <f t="shared" si="165"/>
        <v>995.24479349881619</v>
      </c>
      <c r="AM156" s="59">
        <f t="shared" si="113"/>
        <v>1285.4907897886712</v>
      </c>
      <c r="AN156" s="59">
        <f ca="1">AVERAGE(OFFSET($AM$3,0,0,'Données projet'!$E$10+1,1))-AVERAGE(OFFSET($H$3,0,0,'Données projet'!$E$10+1,1))</f>
        <v>641.25537514609562</v>
      </c>
      <c r="AO156" s="59">
        <f t="shared" si="144"/>
        <v>294.69846357521487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61.993923996901799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61.993923996901799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69.157998988142282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6.2527760746888816E-13</v>
      </c>
      <c r="BE156" s="13">
        <f>BD156*VLOOKUP('Données projet'!$B$11,Paramètres!$A$1:$I$89,3,0)*VLOOKUP('Données projet'!$B$11,Paramètres!$A$1:$I$89,5,0)</f>
        <v>2.9262992029543964E-13</v>
      </c>
      <c r="BF156" s="13">
        <f t="shared" si="167"/>
        <v>3.8796387982050903E-12</v>
      </c>
      <c r="BG156" s="20">
        <f t="shared" si="168"/>
        <v>7.2667013513884219E-12</v>
      </c>
      <c r="BH156" s="59">
        <f t="shared" si="116"/>
        <v>290.24599628986232</v>
      </c>
      <c r="BI156" s="59">
        <f ca="1">AVERAGE(OFFSET($BH$3,0,0,'Données projet'!$E$11+1,1))-AVERAGE(OFFSET($H$3,0,0,'Données projet'!$E$11+1,1))</f>
        <v>351.46787950120347</v>
      </c>
      <c r="BJ156" s="59">
        <f t="shared" si="146"/>
        <v>283.42185695241858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111.45534208350738</v>
      </c>
      <c r="BQ156" s="21">
        <f>EXP(-LN(2)/25)*BQ155+(1-EXP(-LN(2)/25))/(LN(2)/25)*Calculateur!BL156*Calculateur!BN156*VLOOKUP('Données projet'!$B$11,Paramètres!$A$1:$I$89,3,0)*0.475*44/12</f>
        <v>35.228169449085378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146.68351153259275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69.157998988142282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69.157998988142282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69.157998988142282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69.157998988142282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69.157998988142282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69.157998988142282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69.157998988142282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2.4500000000000002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8.9833333333333343</v>
      </c>
      <c r="H157" s="67">
        <f t="shared" si="110"/>
        <v>220.73333333333335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69.172605823265755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>
        <f>VLOOKUP(A157,'Données projet'!$A$35:$I$55,2,0)</f>
        <v>490.47</v>
      </c>
      <c r="L157" s="12">
        <f>VLOOKUP(A157,'Données projet'!$A$35:$I$55,9,0)</f>
        <v>8.3249999999999993</v>
      </c>
      <c r="M157" s="12">
        <f t="array" ref="M157">INDEX(L:L,MIN(IF(ISNUMBER(L157:L353),ROW(L157:L353),"")))</f>
        <v>8.3249999999999993</v>
      </c>
      <c r="N157" s="13">
        <f>IF('Données projet'!$A$36&gt;35,N156+M157-V156,IF(A157&lt;'Données projet'!$A$36,$K$205^A157,IF(A157='Données projet'!$A$36,'Données projet'!$B$36,N156+M157-V156)))</f>
        <v>490.47000000000048</v>
      </c>
      <c r="O157" s="13">
        <f>N157*VLOOKUP('Données projet'!$B$9,Paramètres!$A$1:$I$89,3,0)*VLOOKUP('Données projet'!$B$9,Paramètres!$A$1:$I$89,5,0)</f>
        <v>497.33658000000054</v>
      </c>
      <c r="P157" s="13">
        <f t="shared" si="141"/>
        <v>111.2531615500869</v>
      </c>
      <c r="Q157" s="20">
        <f t="shared" si="162"/>
        <v>1059.9604665330687</v>
      </c>
      <c r="R157" s="59">
        <f t="shared" si="109"/>
        <v>1350.2600212183766</v>
      </c>
      <c r="S157" s="59">
        <f ca="1">AVERAGE(OFFSET($R$3,0,0,'Données projet'!$E$9+1,1))-AVERAGE(OFFSET($H$3,0,0,'Données projet'!$E$9+1,1))</f>
        <v>668.93155285055116</v>
      </c>
      <c r="T157" s="59">
        <f t="shared" si="142"/>
        <v>306.43050420339659</v>
      </c>
      <c r="U157" s="15">
        <f>IF(ISNA(VLOOKUP(A157,'Données projet'!$A$35:$I$55,3,0)),0,VLOOKUP(A157,'Données projet'!$A$35:$I$55,3,0))</f>
        <v>13</v>
      </c>
      <c r="V157" s="15">
        <f>IF(ISNA(VLOOKUP(A157,'Données projet'!$A$35:$I$55,4,0)),0,VLOOKUP(A157,'Données projet'!$A$35:$I$55,4,0))</f>
        <v>55.13</v>
      </c>
      <c r="W157" s="16">
        <f>IF(ISNA(VLOOKUP(A157,'Données projet'!$A$35:$I$55,5,0)),0%,VLOOKUP(A157,'Données projet'!$A$35:$I$55,5,0)*VLOOKUP('Données projet'!$B$9,Paramètres!$A$1:$I$89,7,0))</f>
        <v>0.25800000000000001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79.662978547087107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79.662978547087107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69.172605823265755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490.47</v>
      </c>
      <c r="AG157" s="12">
        <f>VLOOKUP(A157,'Données projet'!$A$61:$I$81,9,0)</f>
        <v>8.3249999999999993</v>
      </c>
      <c r="AH157" s="12">
        <f t="array" ref="AH157">INDEX(AG:AG,MIN(IF(ISNUMBER(AG157:AG353),ROW(AG157:AG353),"")))</f>
        <v>8.3249999999999993</v>
      </c>
      <c r="AI157" s="13">
        <f>IF('Données projet'!$A$62&gt;35,AI156+AH157-AQ156,IF(A157&lt;'Données projet'!$A$62,$AF$205^A157,IF(A157='Données projet'!$A$62,'Données projet'!$B$62,AI156+AH157-AQ156)))</f>
        <v>490.47000000000048</v>
      </c>
      <c r="AJ157" s="13">
        <f>AI157*VLOOKUP('Données projet'!$B$10,Paramètres!$A$1:$I$89,3,0)*VLOOKUP('Données projet'!$B$10,Paramètres!$A$1:$I$89,5,0)</f>
        <v>474.38258400000052</v>
      </c>
      <c r="AK157" s="13">
        <f t="shared" si="164"/>
        <v>106.70368459693037</v>
      </c>
      <c r="AL157" s="20">
        <f t="shared" si="165"/>
        <v>1012.0585844729879</v>
      </c>
      <c r="AM157" s="59">
        <f t="shared" si="113"/>
        <v>1302.3581391582957</v>
      </c>
      <c r="AN157" s="59">
        <f ca="1">AVERAGE(OFFSET($AM$3,0,0,'Données projet'!$E$10+1,1))-AVERAGE(OFFSET($H$3,0,0,'Données projet'!$E$10+1,1))</f>
        <v>641.25537514609562</v>
      </c>
      <c r="AO157" s="59">
        <f t="shared" si="144"/>
        <v>294.69846357521487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0.25800000000000001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75.986225691067673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75.986225691067673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69.172605823265755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6.2527760746888816E-13</v>
      </c>
      <c r="BE157" s="13">
        <f>BD157*VLOOKUP('Données projet'!$B$11,Paramètres!$A$1:$I$89,3,0)*VLOOKUP('Données projet'!$B$11,Paramètres!$A$1:$I$89,5,0)</f>
        <v>2.9262992029543964E-13</v>
      </c>
      <c r="BF157" s="13">
        <f t="shared" si="167"/>
        <v>3.8796387982050903E-12</v>
      </c>
      <c r="BG157" s="20">
        <f t="shared" si="168"/>
        <v>7.2667013513884219E-12</v>
      </c>
      <c r="BH157" s="59">
        <f t="shared" si="116"/>
        <v>290.29955468531506</v>
      </c>
      <c r="BI157" s="59">
        <f ca="1">AVERAGE(OFFSET($BH$3,0,0,'Données projet'!$E$11+1,1))-AVERAGE(OFFSET($H$3,0,0,'Données projet'!$E$11+1,1))</f>
        <v>351.46787950120347</v>
      </c>
      <c r="BJ157" s="59">
        <f t="shared" si="146"/>
        <v>283.42185695241858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109.2697708062959</v>
      </c>
      <c r="BQ157" s="21">
        <f>EXP(-LN(2)/25)*BQ156+(1-EXP(-LN(2)/25))/(LN(2)/25)*Calculateur!BL157*Calculateur!BN157*VLOOKUP('Données projet'!$B$11,Paramètres!$A$1:$I$89,3,0)*0.475*44/12</f>
        <v>34.264853302931222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143.53462410922711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69.172605823265755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69.172605823265755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69.172605823265755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69.172605823265755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69.172605823265755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69.172605823265755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69.172605823265755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2.4500000000000002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8.9833333333333343</v>
      </c>
      <c r="H158" s="67">
        <f t="shared" si="110"/>
        <v>220.73333333333335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69.186959262455829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8.4429999999999943</v>
      </c>
      <c r="N158" s="13">
        <f>IF('Données projet'!$A$36&gt;35,N157+M158-V157,IF(A158&lt;'Données projet'!$A$36,$K$205^A158,IF(A158='Données projet'!$A$36,'Données projet'!$B$36,N157+M158-V157)))</f>
        <v>443.78300000000047</v>
      </c>
      <c r="O158" s="13">
        <f>N158*VLOOKUP('Données projet'!$B$9,Paramètres!$A$1:$I$89,3,0)*VLOOKUP('Données projet'!$B$9,Paramètres!$A$1:$I$89,5,0)</f>
        <v>449.99596200000047</v>
      </c>
      <c r="P158" s="13">
        <f t="shared" si="141"/>
        <v>101.84206543885381</v>
      </c>
      <c r="Q158" s="20">
        <f t="shared" si="162"/>
        <v>961.1178977893378</v>
      </c>
      <c r="R158" s="59">
        <f t="shared" si="109"/>
        <v>1251.4700817516759</v>
      </c>
      <c r="S158" s="59">
        <f ca="1">AVERAGE(OFFSET($R$3,0,0,'Données projet'!$E$9+1,1))-AVERAGE(OFFSET($H$3,0,0,'Données projet'!$E$9+1,1))</f>
        <v>668.93155285055116</v>
      </c>
      <c r="T158" s="59">
        <f t="shared" si="142"/>
        <v>306.43050420339659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78.100836127397812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78.100836127397812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69.186959262455829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8.4429999999999943</v>
      </c>
      <c r="AI158" s="13">
        <f>IF('Données projet'!$A$62&gt;35,AI157+AH158-AQ157,IF(A158&lt;'Données projet'!$A$62,$AF$205^A158,IF(A158='Données projet'!$A$62,'Données projet'!$B$62,AI157+AH158-AQ157)))</f>
        <v>443.78300000000047</v>
      </c>
      <c r="AJ158" s="13">
        <f>AI158*VLOOKUP('Données projet'!$B$10,Paramètres!$A$1:$I$89,3,0)*VLOOKUP('Données projet'!$B$10,Paramètres!$A$1:$I$89,5,0)</f>
        <v>429.22691760000049</v>
      </c>
      <c r="AK158" s="13">
        <f t="shared" si="164"/>
        <v>97.677436558915673</v>
      </c>
      <c r="AL158" s="20">
        <f t="shared" si="165"/>
        <v>917.69175016011229</v>
      </c>
      <c r="AM158" s="59">
        <f t="shared" si="113"/>
        <v>1208.0439341224503</v>
      </c>
      <c r="AN158" s="59">
        <f ca="1">AVERAGE(OFFSET($AM$3,0,0,'Données projet'!$E$10+1,1))-AVERAGE(OFFSET($H$3,0,0,'Données projet'!$E$10+1,1))</f>
        <v>641.25537514609562</v>
      </c>
      <c r="AO158" s="59">
        <f t="shared" si="144"/>
        <v>294.69846357521487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74.496182152287119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74.496182152287119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69.186959262455829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6.2527760746888816E-13</v>
      </c>
      <c r="BE158" s="13">
        <f>BD158*VLOOKUP('Données projet'!$B$11,Paramètres!$A$1:$I$89,3,0)*VLOOKUP('Données projet'!$B$11,Paramètres!$A$1:$I$89,5,0)</f>
        <v>2.9262992029543964E-13</v>
      </c>
      <c r="BF158" s="13">
        <f t="shared" si="167"/>
        <v>3.8796387982050903E-12</v>
      </c>
      <c r="BG158" s="20">
        <f t="shared" si="168"/>
        <v>7.2667013513884219E-12</v>
      </c>
      <c r="BH158" s="59">
        <f t="shared" si="116"/>
        <v>290.35218396234535</v>
      </c>
      <c r="BI158" s="59">
        <f ca="1">AVERAGE(OFFSET($BH$3,0,0,'Données projet'!$E$11+1,1))-AVERAGE(OFFSET($H$3,0,0,'Données projet'!$E$11+1,1))</f>
        <v>351.46787950120347</v>
      </c>
      <c r="BJ158" s="59">
        <f t="shared" si="146"/>
        <v>283.42185695241858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107.12705724876368</v>
      </c>
      <c r="BQ158" s="21">
        <f>EXP(-LN(2)/25)*BQ157+(1-EXP(-LN(2)/25))/(LN(2)/25)*Calculateur!BL158*Calculateur!BN158*VLOOKUP('Données projet'!$B$11,Paramètres!$A$1:$I$89,3,0)*0.475*44/12</f>
        <v>33.327879087452246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140.45493633621592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69.186959262455829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69.186959262455829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69.186959262455829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69.186959262455829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69.186959262455829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69.186959262455829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69.186959262455829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2.4500000000000002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8.9833333333333343</v>
      </c>
      <c r="H159" s="67">
        <f t="shared" si="110"/>
        <v>220.73333333333335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69.201063701565431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8.4429999999999943</v>
      </c>
      <c r="N159" s="13">
        <f>IF('Données projet'!$A$36&gt;35,N158+M159-V158,IF(A159&lt;'Données projet'!$A$36,$K$205^A159,IF(A159='Données projet'!$A$36,'Données projet'!$B$36,N158+M159-V158)))</f>
        <v>452.22600000000045</v>
      </c>
      <c r="O159" s="13">
        <f>N159*VLOOKUP('Données projet'!$B$9,Paramètres!$A$1:$I$89,3,0)*VLOOKUP('Données projet'!$B$9,Paramètres!$A$1:$I$89,5,0)</f>
        <v>458.55716400000051</v>
      </c>
      <c r="P159" s="13">
        <f t="shared" si="141"/>
        <v>103.55220386280693</v>
      </c>
      <c r="Q159" s="20">
        <f t="shared" si="162"/>
        <v>979.00714902772279</v>
      </c>
      <c r="R159" s="59">
        <f t="shared" si="109"/>
        <v>1269.411049266796</v>
      </c>
      <c r="S159" s="59">
        <f ca="1">AVERAGE(OFFSET($R$3,0,0,'Données projet'!$E$9+1,1))-AVERAGE(OFFSET($H$3,0,0,'Données projet'!$E$9+1,1))</f>
        <v>668.93155285055116</v>
      </c>
      <c r="T159" s="59">
        <f t="shared" si="142"/>
        <v>306.43050420339659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76.56932636774583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76.56932636774583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69.201063701565431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8.4429999999999943</v>
      </c>
      <c r="AI159" s="13">
        <f>IF('Données projet'!$A$62&gt;35,AI158+AH159-AQ158,IF(A159&lt;'Données projet'!$A$62,$AF$205^A159,IF(A159='Données projet'!$A$62,'Données projet'!$B$62,AI158+AH159-AQ158)))</f>
        <v>452.22600000000045</v>
      </c>
      <c r="AJ159" s="13">
        <f>AI159*VLOOKUP('Données projet'!$B$10,Paramètres!$A$1:$I$89,3,0)*VLOOKUP('Données projet'!$B$10,Paramètres!$A$1:$I$89,5,0)</f>
        <v>437.39298720000045</v>
      </c>
      <c r="AK159" s="13">
        <f t="shared" si="164"/>
        <v>99.317642270502773</v>
      </c>
      <c r="AL159" s="20">
        <f t="shared" si="165"/>
        <v>934.77101299445985</v>
      </c>
      <c r="AM159" s="59">
        <f t="shared" si="113"/>
        <v>1225.1749132335331</v>
      </c>
      <c r="AN159" s="59">
        <f ca="1">AVERAGE(OFFSET($AM$3,0,0,'Données projet'!$E$10+1,1))-AVERAGE(OFFSET($H$3,0,0,'Données projet'!$E$10+1,1))</f>
        <v>641.25537514609562</v>
      </c>
      <c r="AO159" s="59">
        <f t="shared" si="144"/>
        <v>294.69846357521487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73.035357458465228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73.035357458465228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69.201063701565431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6.2527760746888816E-13</v>
      </c>
      <c r="BE159" s="13">
        <f>BD159*VLOOKUP('Données projet'!$B$11,Paramètres!$A$1:$I$89,3,0)*VLOOKUP('Données projet'!$B$11,Paramètres!$A$1:$I$89,5,0)</f>
        <v>2.9262992029543964E-13</v>
      </c>
      <c r="BF159" s="13">
        <f t="shared" si="167"/>
        <v>3.8796387982050903E-12</v>
      </c>
      <c r="BG159" s="20">
        <f t="shared" si="168"/>
        <v>7.2667013513884219E-12</v>
      </c>
      <c r="BH159" s="59">
        <f t="shared" si="116"/>
        <v>290.40390023908054</v>
      </c>
      <c r="BI159" s="59">
        <f ca="1">AVERAGE(OFFSET($BH$3,0,0,'Données projet'!$E$11+1,1))-AVERAGE(OFFSET($H$3,0,0,'Données projet'!$E$11+1,1))</f>
        <v>351.46787950120347</v>
      </c>
      <c r="BJ159" s="59">
        <f t="shared" si="146"/>
        <v>283.42185695241858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105.02636099716845</v>
      </c>
      <c r="BQ159" s="21">
        <f>EXP(-LN(2)/25)*BQ158+(1-EXP(-LN(2)/25))/(LN(2)/25)*Calculateur!BL159*Calculateur!BN159*VLOOKUP('Données projet'!$B$11,Paramètres!$A$1:$I$89,3,0)*0.475*44/12</f>
        <v>32.416526481168873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137.44288747833733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69.201063701565431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69.201063701565431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69.201063701565431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69.201063701565431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69.201063701565431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69.201063701565431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69.201063701565431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2.4500000000000002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8.9833333333333343</v>
      </c>
      <c r="H160" s="67">
        <f t="shared" si="110"/>
        <v>220.73333333333335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69.214923460189311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8.4429999999999943</v>
      </c>
      <c r="N160" s="13">
        <f>IF('Données projet'!$A$36&gt;35,N159+M160-V159,IF(A160&lt;'Données projet'!$A$36,$K$205^A160,IF(A160='Données projet'!$A$36,'Données projet'!$B$36,N159+M160-V159)))</f>
        <v>460.66900000000044</v>
      </c>
      <c r="O160" s="13">
        <f>N160*VLOOKUP('Données projet'!$B$9,Paramètres!$A$1:$I$89,3,0)*VLOOKUP('Données projet'!$B$9,Paramètres!$A$1:$I$89,5,0)</f>
        <v>467.11836600000044</v>
      </c>
      <c r="P160" s="13">
        <f t="shared" si="141"/>
        <v>105.25862966790358</v>
      </c>
      <c r="Q160" s="20">
        <f t="shared" si="162"/>
        <v>996.88993412159937</v>
      </c>
      <c r="R160" s="59">
        <f t="shared" si="109"/>
        <v>1287.3446534756267</v>
      </c>
      <c r="S160" s="59">
        <f ca="1">AVERAGE(OFFSET($R$3,0,0,'Données projet'!$E$9+1,1))-AVERAGE(OFFSET($H$3,0,0,'Données projet'!$E$9+1,1))</f>
        <v>668.93155285055116</v>
      </c>
      <c r="T160" s="59">
        <f t="shared" si="142"/>
        <v>306.43050420339659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75.067848580351907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75.067848580351907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69.214923460189311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8.4429999999999943</v>
      </c>
      <c r="AI160" s="13">
        <f>IF('Données projet'!$A$62&gt;35,AI159+AH160-AQ159,IF(A160&lt;'Données projet'!$A$62,$AF$205^A160,IF(A160='Données projet'!$A$62,'Données projet'!$B$62,AI159+AH160-AQ159)))</f>
        <v>460.66900000000044</v>
      </c>
      <c r="AJ160" s="13">
        <f>AI160*VLOOKUP('Données projet'!$B$10,Paramètres!$A$1:$I$89,3,0)*VLOOKUP('Données projet'!$B$10,Paramètres!$A$1:$I$89,5,0)</f>
        <v>445.55905680000046</v>
      </c>
      <c r="AK160" s="13">
        <f t="shared" si="164"/>
        <v>100.95428718340372</v>
      </c>
      <c r="AL160" s="20">
        <f t="shared" si="165"/>
        <v>951.84407410442907</v>
      </c>
      <c r="AM160" s="59">
        <f t="shared" si="113"/>
        <v>1242.2987934584567</v>
      </c>
      <c r="AN160" s="59">
        <f ca="1">AVERAGE(OFFSET($AM$3,0,0,'Données projet'!$E$10+1,1))-AVERAGE(OFFSET($H$3,0,0,'Données projet'!$E$10+1,1))</f>
        <v>641.25537514609562</v>
      </c>
      <c r="AO160" s="59">
        <f t="shared" si="144"/>
        <v>294.69846357521487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71.60317864587411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71.60317864587411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69.214923460189311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6.2527760746888816E-13</v>
      </c>
      <c r="BE160" s="13">
        <f>BD160*VLOOKUP('Données projet'!$B$11,Paramètres!$A$1:$I$89,3,0)*VLOOKUP('Données projet'!$B$11,Paramètres!$A$1:$I$89,5,0)</f>
        <v>2.9262992029543964E-13</v>
      </c>
      <c r="BF160" s="13">
        <f t="shared" si="167"/>
        <v>3.8796387982050903E-12</v>
      </c>
      <c r="BG160" s="20">
        <f t="shared" si="168"/>
        <v>7.2667013513884219E-12</v>
      </c>
      <c r="BH160" s="59">
        <f t="shared" si="116"/>
        <v>290.45471935403475</v>
      </c>
      <c r="BI160" s="59">
        <f ca="1">AVERAGE(OFFSET($BH$3,0,0,'Données projet'!$E$11+1,1))-AVERAGE(OFFSET($H$3,0,0,'Données projet'!$E$11+1,1))</f>
        <v>351.46787950120347</v>
      </c>
      <c r="BJ160" s="59">
        <f t="shared" si="146"/>
        <v>283.42185695241858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102.96685811776881</v>
      </c>
      <c r="BQ160" s="21">
        <f>EXP(-LN(2)/25)*BQ159+(1-EXP(-LN(2)/25))/(LN(2)/25)*Calculateur!BL160*Calculateur!BN160*VLOOKUP('Données projet'!$B$11,Paramètres!$A$1:$I$89,3,0)*0.475*44/12</f>
        <v>31.530094859830271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134.49695297759908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69.214923460189311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69.214923460189311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69.214923460189311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69.214923460189311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69.214923460189311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69.214923460189311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69.214923460189311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2.4500000000000002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8.9833333333333343</v>
      </c>
      <c r="H161" s="67">
        <f t="shared" si="110"/>
        <v>220.73333333333335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69.228542782986821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8.4429999999999943</v>
      </c>
      <c r="N161" s="13">
        <f>IF('Données projet'!$A$36&gt;35,N160+M161-V160,IF(A161&lt;'Données projet'!$A$36,$K$205^A161,IF(A161='Données projet'!$A$36,'Données projet'!$B$36,N160+M161-V160)))</f>
        <v>469.11200000000042</v>
      </c>
      <c r="O161" s="13">
        <f>N161*VLOOKUP('Données projet'!$B$9,Paramètres!$A$1:$I$89,3,0)*VLOOKUP('Données projet'!$B$9,Paramètres!$A$1:$I$89,5,0)</f>
        <v>475.67956800000047</v>
      </c>
      <c r="P161" s="13">
        <f t="shared" si="141"/>
        <v>106.96141874577063</v>
      </c>
      <c r="Q161" s="20">
        <f t="shared" si="162"/>
        <v>1014.7663852488846</v>
      </c>
      <c r="R161" s="59">
        <f t="shared" si="109"/>
        <v>1305.2710421198362</v>
      </c>
      <c r="S161" s="59">
        <f ca="1">AVERAGE(OFFSET($R$3,0,0,'Données projet'!$E$9+1,1))-AVERAGE(OFFSET($H$3,0,0,'Données projet'!$E$9+1,1))</f>
        <v>668.93155285055116</v>
      </c>
      <c r="T161" s="59">
        <f t="shared" si="142"/>
        <v>306.43050420339659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73.595813856557768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73.595813856557768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69.228542782986821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8.4429999999999943</v>
      </c>
      <c r="AI161" s="13">
        <f>IF('Données projet'!$A$62&gt;35,AI160+AH161-AQ160,IF(A161&lt;'Données projet'!$A$62,$AF$205^A161,IF(A161='Données projet'!$A$62,'Données projet'!$B$62,AI160+AH161-AQ160)))</f>
        <v>469.11200000000042</v>
      </c>
      <c r="AJ161" s="13">
        <f>AI161*VLOOKUP('Données projet'!$B$10,Paramètres!$A$1:$I$89,3,0)*VLOOKUP('Données projet'!$B$10,Paramètres!$A$1:$I$89,5,0)</f>
        <v>453.72512640000042</v>
      </c>
      <c r="AK161" s="13">
        <f t="shared" si="164"/>
        <v>102.5874440858081</v>
      </c>
      <c r="AL161" s="20">
        <f t="shared" si="165"/>
        <v>968.91106026278305</v>
      </c>
      <c r="AM161" s="59">
        <f t="shared" si="113"/>
        <v>1259.4157171337347</v>
      </c>
      <c r="AN161" s="59">
        <f ca="1">AVERAGE(OFFSET($AM$3,0,0,'Données projet'!$E$10+1,1))-AVERAGE(OFFSET($H$3,0,0,'Données projet'!$E$10+1,1))</f>
        <v>641.25537514609562</v>
      </c>
      <c r="AO161" s="59">
        <f t="shared" si="144"/>
        <v>294.69846357521487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70.199083986255076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70.199083986255076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69.228542782986821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6.2527760746888816E-13</v>
      </c>
      <c r="BE161" s="13">
        <f>BD161*VLOOKUP('Données projet'!$B$11,Paramètres!$A$1:$I$89,3,0)*VLOOKUP('Données projet'!$B$11,Paramètres!$A$1:$I$89,5,0)</f>
        <v>2.9262992029543964E-13</v>
      </c>
      <c r="BF161" s="13">
        <f t="shared" si="167"/>
        <v>3.8796387982050903E-12</v>
      </c>
      <c r="BG161" s="20">
        <f t="shared" si="168"/>
        <v>7.2667013513884219E-12</v>
      </c>
      <c r="BH161" s="59">
        <f t="shared" si="116"/>
        <v>290.50465687095897</v>
      </c>
      <c r="BI161" s="59">
        <f ca="1">AVERAGE(OFFSET($BH$3,0,0,'Données projet'!$E$11+1,1))-AVERAGE(OFFSET($H$3,0,0,'Données projet'!$E$11+1,1))</f>
        <v>351.46787950120347</v>
      </c>
      <c r="BJ161" s="59">
        <f t="shared" si="146"/>
        <v>283.42185695241858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100.94774083366147</v>
      </c>
      <c r="BQ161" s="21">
        <f>EXP(-LN(2)/25)*BQ160+(1-EXP(-LN(2)/25))/(LN(2)/25)*Calculateur!BL161*Calculateur!BN161*VLOOKUP('Données projet'!$B$11,Paramètres!$A$1:$I$89,3,0)*0.475*44/12</f>
        <v>30.667902757792586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131.61564359145405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69.228542782986821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69.228542782986821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69.228542782986821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69.228542782986821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69.228542782986821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69.228542782986821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69.228542782986821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2.4500000000000002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8.9833333333333343</v>
      </c>
      <c r="H162" s="67">
        <f t="shared" si="110"/>
        <v>220.73333333333335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69.241925840982049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8.4429999999999943</v>
      </c>
      <c r="N162" s="13">
        <f>IF('Données projet'!$A$36&gt;35,N161+M162-V161,IF(A162&lt;'Données projet'!$A$36,$K$205^A162,IF(A162='Données projet'!$A$36,'Données projet'!$B$36,N161+M162-V161)))</f>
        <v>477.5550000000004</v>
      </c>
      <c r="O162" s="13">
        <f>N162*VLOOKUP('Données projet'!$B$9,Paramètres!$A$1:$I$89,3,0)*VLOOKUP('Données projet'!$B$9,Paramètres!$A$1:$I$89,5,0)</f>
        <v>484.24077000000045</v>
      </c>
      <c r="P162" s="13">
        <f t="shared" si="141"/>
        <v>108.66064409983538</v>
      </c>
      <c r="Q162" s="20">
        <f t="shared" si="162"/>
        <v>1032.6366295572141</v>
      </c>
      <c r="R162" s="59">
        <f t="shared" si="109"/>
        <v>1323.1903576408149</v>
      </c>
      <c r="S162" s="59">
        <f ca="1">AVERAGE(OFFSET($R$3,0,0,'Données projet'!$E$9+1,1))-AVERAGE(OFFSET($H$3,0,0,'Données projet'!$E$9+1,1))</f>
        <v>668.93155285055116</v>
      </c>
      <c r="T162" s="59">
        <f t="shared" si="142"/>
        <v>306.43050420339659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72.152644835844697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72.152644835844697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69.241925840982049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8.4429999999999943</v>
      </c>
      <c r="AI162" s="13">
        <f>IF('Données projet'!$A$62&gt;35,AI161+AH162-AQ161,IF(A162&lt;'Données projet'!$A$62,$AF$205^A162,IF(A162='Données projet'!$A$62,'Données projet'!$B$62,AI161+AH162-AQ161)))</f>
        <v>477.5550000000004</v>
      </c>
      <c r="AJ162" s="13">
        <f>AI162*VLOOKUP('Données projet'!$B$10,Paramètres!$A$1:$I$89,3,0)*VLOOKUP('Données projet'!$B$10,Paramètres!$A$1:$I$89,5,0)</f>
        <v>461.89119600000043</v>
      </c>
      <c r="AK162" s="13">
        <f t="shared" si="164"/>
        <v>104.21718299581295</v>
      </c>
      <c r="AL162" s="20">
        <f t="shared" si="165"/>
        <v>985.97209341770815</v>
      </c>
      <c r="AM162" s="59">
        <f t="shared" si="113"/>
        <v>1276.5258215013091</v>
      </c>
      <c r="AN162" s="59">
        <f ca="1">AVERAGE(OFFSET($AM$3,0,0,'Données projet'!$E$10+1,1))-AVERAGE(OFFSET($H$3,0,0,'Données projet'!$E$10+1,1))</f>
        <v>641.25537514609562</v>
      </c>
      <c r="AO162" s="59">
        <f t="shared" si="144"/>
        <v>294.69846357521487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68.822522766497997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68.822522766497997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69.241925840982049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6.2527760746888816E-13</v>
      </c>
      <c r="BE162" s="13">
        <f>BD162*VLOOKUP('Données projet'!$B$11,Paramètres!$A$1:$I$89,3,0)*VLOOKUP('Données projet'!$B$11,Paramètres!$A$1:$I$89,5,0)</f>
        <v>2.9262992029543964E-13</v>
      </c>
      <c r="BF162" s="13">
        <f t="shared" si="167"/>
        <v>3.8796387982050903E-12</v>
      </c>
      <c r="BG162" s="20">
        <f t="shared" si="168"/>
        <v>7.2667013513884219E-12</v>
      </c>
      <c r="BH162" s="59">
        <f t="shared" si="116"/>
        <v>290.55372808360812</v>
      </c>
      <c r="BI162" s="59">
        <f ca="1">AVERAGE(OFFSET($BH$3,0,0,'Données projet'!$E$11+1,1))-AVERAGE(OFFSET($H$3,0,0,'Données projet'!$E$11+1,1))</f>
        <v>351.46787950120347</v>
      </c>
      <c r="BJ162" s="59">
        <f t="shared" si="146"/>
        <v>283.42185695241858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98.968217207955547</v>
      </c>
      <c r="BQ162" s="21">
        <f>EXP(-LN(2)/25)*BQ161+(1-EXP(-LN(2)/25))/(LN(2)/25)*Calculateur!BL162*Calculateur!BN162*VLOOKUP('Données projet'!$B$11,Paramètres!$A$1:$I$89,3,0)*0.475*44/12</f>
        <v>29.829287344125834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128.79750455208139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69.241925840982049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69.241925840982049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69.241925840982049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69.241925840982049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69.241925840982049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69.241925840982049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69.241925840982049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2.4500000000000002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8.9833333333333343</v>
      </c>
      <c r="H163" s="67">
        <f t="shared" si="110"/>
        <v>220.73333333333335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69.255076732841076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8.4429999999999943</v>
      </c>
      <c r="N163" s="13">
        <f>IF('Données projet'!$A$36&gt;35,N162+M163-V162,IF(A163&lt;'Données projet'!$A$36,$K$205^A163,IF(A163='Données projet'!$A$36,'Données projet'!$B$36,N162+M163-V162)))</f>
        <v>485.99800000000039</v>
      </c>
      <c r="O163" s="13">
        <f>N163*VLOOKUP('Données projet'!$B$9,Paramètres!$A$1:$I$89,3,0)*VLOOKUP('Données projet'!$B$9,Paramètres!$A$1:$I$89,5,0)</f>
        <v>492.80197200000038</v>
      </c>
      <c r="P163" s="13">
        <f t="shared" si="141"/>
        <v>110.35637600432534</v>
      </c>
      <c r="Q163" s="20">
        <f t="shared" si="162"/>
        <v>1050.5007894408673</v>
      </c>
      <c r="R163" s="59">
        <f t="shared" si="109"/>
        <v>1341.1027374612845</v>
      </c>
      <c r="S163" s="59">
        <f ca="1">AVERAGE(OFFSET($R$3,0,0,'Données projet'!$E$9+1,1))-AVERAGE(OFFSET($H$3,0,0,'Données projet'!$E$9+1,1))</f>
        <v>668.93155285055116</v>
      </c>
      <c r="T163" s="59">
        <f t="shared" si="142"/>
        <v>306.43050420339659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70.737775479381625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70.737775479381625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69.255076732841076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8.4429999999999943</v>
      </c>
      <c r="AI163" s="13">
        <f>IF('Données projet'!$A$62&gt;35,AI162+AH163-AQ162,IF(A163&lt;'Données projet'!$A$62,$AF$205^A163,IF(A163='Données projet'!$A$62,'Données projet'!$B$62,AI162+AH163-AQ162)))</f>
        <v>485.99800000000039</v>
      </c>
      <c r="AJ163" s="13">
        <f>AI163*VLOOKUP('Données projet'!$B$10,Paramètres!$A$1:$I$89,3,0)*VLOOKUP('Données projet'!$B$10,Paramètres!$A$1:$I$89,5,0)</f>
        <v>470.05726560000039</v>
      </c>
      <c r="AK163" s="13">
        <f t="shared" si="164"/>
        <v>105.843571313921</v>
      </c>
      <c r="AL163" s="20">
        <f t="shared" si="165"/>
        <v>1003.0272909584129</v>
      </c>
      <c r="AM163" s="59">
        <f t="shared" si="113"/>
        <v>1293.6292389788302</v>
      </c>
      <c r="AN163" s="59">
        <f ca="1">AVERAGE(OFFSET($AM$3,0,0,'Données projet'!$E$10+1,1))-AVERAGE(OFFSET($H$3,0,0,'Données projet'!$E$10+1,1))</f>
        <v>641.25537514609562</v>
      </c>
      <c r="AO163" s="59">
        <f t="shared" si="144"/>
        <v>294.69846357521487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67.472955072640914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67.472955072640914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69.255076732841076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6.2527760746888816E-13</v>
      </c>
      <c r="BE163" s="13">
        <f>BD163*VLOOKUP('Données projet'!$B$11,Paramètres!$A$1:$I$89,3,0)*VLOOKUP('Données projet'!$B$11,Paramètres!$A$1:$I$89,5,0)</f>
        <v>2.9262992029543964E-13</v>
      </c>
      <c r="BF163" s="13">
        <f t="shared" si="167"/>
        <v>3.8796387982050903E-12</v>
      </c>
      <c r="BG163" s="20">
        <f t="shared" si="168"/>
        <v>7.2667013513884219E-12</v>
      </c>
      <c r="BH163" s="59">
        <f t="shared" si="116"/>
        <v>290.60194802042457</v>
      </c>
      <c r="BI163" s="59">
        <f ca="1">AVERAGE(OFFSET($BH$3,0,0,'Données projet'!$E$11+1,1))-AVERAGE(OFFSET($H$3,0,0,'Données projet'!$E$11+1,1))</f>
        <v>351.46787950120347</v>
      </c>
      <c r="BJ163" s="59">
        <f t="shared" si="146"/>
        <v>283.42185695241858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97.027510833159525</v>
      </c>
      <c r="BQ163" s="21">
        <f>EXP(-LN(2)/25)*BQ162+(1-EXP(-LN(2)/25))/(LN(2)/25)*Calculateur!BL163*Calculateur!BN163*VLOOKUP('Données projet'!$B$11,Paramètres!$A$1:$I$89,3,0)*0.475*44/12</f>
        <v>29.013603913046669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126.04111474620619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69.255076732841076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69.255076732841076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69.255076732841076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69.255076732841076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69.255076732841076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69.255076732841076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69.255076732841076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2.4500000000000002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8.9833333333333343</v>
      </c>
      <c r="H164" s="67">
        <f t="shared" si="110"/>
        <v>220.73333333333335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69.267999486127366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8.4429999999999943</v>
      </c>
      <c r="N164" s="13">
        <f>IF('Données projet'!$A$36&gt;35,N163+M164-V163,IF(A164&lt;'Données projet'!$A$36,$K$205^A164,IF(A164='Données projet'!$A$36,'Données projet'!$B$36,N163+M164-V163)))</f>
        <v>494.44100000000037</v>
      </c>
      <c r="O164" s="13">
        <f>N164*VLOOKUP('Données projet'!$B$9,Paramètres!$A$1:$I$89,3,0)*VLOOKUP('Données projet'!$B$9,Paramètres!$A$1:$I$89,5,0)</f>
        <v>501.36317400000041</v>
      </c>
      <c r="P164" s="13">
        <f t="shared" si="141"/>
        <v>112.04868215190658</v>
      </c>
      <c r="Q164" s="20">
        <f t="shared" si="162"/>
        <v>1068.3589827979044</v>
      </c>
      <c r="R164" s="59">
        <f t="shared" si="109"/>
        <v>1359.008314247038</v>
      </c>
      <c r="S164" s="59">
        <f ca="1">AVERAGE(OFFSET($R$3,0,0,'Données projet'!$E$9+1,1))-AVERAGE(OFFSET($H$3,0,0,'Données projet'!$E$9+1,1))</f>
        <v>668.93155285055116</v>
      </c>
      <c r="T164" s="59">
        <f t="shared" si="142"/>
        <v>306.43050420339659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69.3506508480137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69.3506508480137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69.267999486127366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8.4429999999999943</v>
      </c>
      <c r="AI164" s="13">
        <f>IF('Données projet'!$A$62&gt;35,AI163+AH164-AQ163,IF(A164&lt;'Données projet'!$A$62,$AF$205^A164,IF(A164='Données projet'!$A$62,'Données projet'!$B$62,AI163+AH164-AQ163)))</f>
        <v>494.44100000000037</v>
      </c>
      <c r="AJ164" s="13">
        <f>AI164*VLOOKUP('Données projet'!$B$10,Paramètres!$A$1:$I$89,3,0)*VLOOKUP('Données projet'!$B$10,Paramètres!$A$1:$I$89,5,0)</f>
        <v>478.22333520000041</v>
      </c>
      <c r="AK164" s="13">
        <f t="shared" si="164"/>
        <v>107.46667396464125</v>
      </c>
      <c r="AL164" s="20">
        <f t="shared" si="165"/>
        <v>1020.0767659617509</v>
      </c>
      <c r="AM164" s="59">
        <f t="shared" si="113"/>
        <v>1310.7260974108844</v>
      </c>
      <c r="AN164" s="59">
        <f ca="1">AVERAGE(OFFSET($AM$3,0,0,'Données projet'!$E$10+1,1))-AVERAGE(OFFSET($H$3,0,0,'Données projet'!$E$10+1,1))</f>
        <v>641.25537514609562</v>
      </c>
      <c r="AO164" s="59">
        <f t="shared" si="144"/>
        <v>294.69846357521487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66.149851578105356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66.149851578105356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69.267999486127366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6.2527760746888816E-13</v>
      </c>
      <c r="BE164" s="13">
        <f>BD164*VLOOKUP('Données projet'!$B$11,Paramètres!$A$1:$I$89,3,0)*VLOOKUP('Données projet'!$B$11,Paramètres!$A$1:$I$89,5,0)</f>
        <v>2.9262992029543964E-13</v>
      </c>
      <c r="BF164" s="13">
        <f t="shared" si="167"/>
        <v>3.8796387982050903E-12</v>
      </c>
      <c r="BG164" s="20">
        <f t="shared" si="168"/>
        <v>7.2667013513884219E-12</v>
      </c>
      <c r="BH164" s="59">
        <f t="shared" si="116"/>
        <v>290.64933144914096</v>
      </c>
      <c r="BI164" s="59">
        <f ca="1">AVERAGE(OFFSET($BH$3,0,0,'Données projet'!$E$11+1,1))-AVERAGE(OFFSET($H$3,0,0,'Données projet'!$E$11+1,1))</f>
        <v>351.46787950120347</v>
      </c>
      <c r="BJ164" s="59">
        <f t="shared" si="146"/>
        <v>283.42185695241858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95.124860526659248</v>
      </c>
      <c r="BQ164" s="21">
        <f>EXP(-LN(2)/25)*BQ163+(1-EXP(-LN(2)/25))/(LN(2)/25)*Calculateur!BL164*Calculateur!BN164*VLOOKUP('Données projet'!$B$11,Paramètres!$A$1:$I$89,3,0)*0.475*44/12</f>
        <v>28.220225388285289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123.34508591494453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69.267999486127366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69.267999486127366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69.267999486127366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69.267999486127366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69.267999486127366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69.267999486127366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69.267999486127366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2.4500000000000002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8.9833333333333343</v>
      </c>
      <c r="H165" s="67">
        <f t="shared" si="110"/>
        <v>220.73333333333335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69.280698058535066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8.4429999999999943</v>
      </c>
      <c r="N165" s="13">
        <f>IF('Données projet'!$A$36&gt;35,N164+M165-V164,IF(A165&lt;'Données projet'!$A$36,$K$205^A165,IF(A165='Données projet'!$A$36,'Données projet'!$B$36,N164+M165-V164)))</f>
        <v>502.88400000000036</v>
      </c>
      <c r="O165" s="13">
        <f>N165*VLOOKUP('Données projet'!$B$9,Paramètres!$A$1:$I$89,3,0)*VLOOKUP('Données projet'!$B$9,Paramètres!$A$1:$I$89,5,0)</f>
        <v>509.92437600000034</v>
      </c>
      <c r="P165" s="13">
        <f t="shared" si="141"/>
        <v>113.73762779095213</v>
      </c>
      <c r="Q165" s="20">
        <f t="shared" si="162"/>
        <v>1086.211323269242</v>
      </c>
      <c r="R165" s="59">
        <f t="shared" si="109"/>
        <v>1376.9072161505374</v>
      </c>
      <c r="S165" s="59">
        <f ca="1">AVERAGE(OFFSET($R$3,0,0,'Données projet'!$E$9+1,1))-AVERAGE(OFFSET($H$3,0,0,'Données projet'!$E$9+1,1))</f>
        <v>668.93155285055116</v>
      </c>
      <c r="T165" s="59">
        <f t="shared" si="142"/>
        <v>306.43050420339659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67.990726884604413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67.990726884604413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69.280698058535066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8.4429999999999943</v>
      </c>
      <c r="AI165" s="13">
        <f>IF('Données projet'!$A$62&gt;35,AI164+AH165-AQ164,IF(A165&lt;'Données projet'!$A$62,$AF$205^A165,IF(A165='Données projet'!$A$62,'Données projet'!$B$62,AI164+AH165-AQ164)))</f>
        <v>502.88400000000036</v>
      </c>
      <c r="AJ165" s="13">
        <f>AI165*VLOOKUP('Données projet'!$B$10,Paramètres!$A$1:$I$89,3,0)*VLOOKUP('Données projet'!$B$10,Paramètres!$A$1:$I$89,5,0)</f>
        <v>486.38940480000036</v>
      </c>
      <c r="AK165" s="13">
        <f t="shared" si="164"/>
        <v>109.08655352814421</v>
      </c>
      <c r="AL165" s="20">
        <f t="shared" si="165"/>
        <v>1037.1206274215183</v>
      </c>
      <c r="AM165" s="59">
        <f t="shared" si="113"/>
        <v>1327.8165203028136</v>
      </c>
      <c r="AN165" s="59">
        <f ca="1">AVERAGE(OFFSET($AM$3,0,0,'Données projet'!$E$10+1,1))-AVERAGE(OFFSET($H$3,0,0,'Données projet'!$E$10+1,1))</f>
        <v>641.25537514609562</v>
      </c>
      <c r="AO165" s="59">
        <f t="shared" si="144"/>
        <v>294.69846357521487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64.852693336084201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64.852693336084201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69.280698058535066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6.2527760746888816E-13</v>
      </c>
      <c r="BE165" s="13">
        <f>BD165*VLOOKUP('Données projet'!$B$11,Paramètres!$A$1:$I$89,3,0)*VLOOKUP('Données projet'!$B$11,Paramètres!$A$1:$I$89,5,0)</f>
        <v>2.9262992029543964E-13</v>
      </c>
      <c r="BF165" s="13">
        <f t="shared" si="167"/>
        <v>3.8796387982050903E-12</v>
      </c>
      <c r="BG165" s="20">
        <f t="shared" si="168"/>
        <v>7.2667013513884219E-12</v>
      </c>
      <c r="BH165" s="59">
        <f t="shared" si="116"/>
        <v>290.69589288130254</v>
      </c>
      <c r="BI165" s="59">
        <f ca="1">AVERAGE(OFFSET($BH$3,0,0,'Données projet'!$E$11+1,1))-AVERAGE(OFFSET($H$3,0,0,'Données projet'!$E$11+1,1))</f>
        <v>351.46787950120347</v>
      </c>
      <c r="BJ165" s="59">
        <f t="shared" si="146"/>
        <v>283.42185695241858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93.259520032167345</v>
      </c>
      <c r="BQ165" s="21">
        <f>EXP(-LN(2)/25)*BQ164+(1-EXP(-LN(2)/25))/(LN(2)/25)*Calculateur!BL165*Calculateur!BN165*VLOOKUP('Données projet'!$B$11,Paramètres!$A$1:$I$89,3,0)*0.475*44/12</f>
        <v>27.448541841005472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120.70806187317282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69.280698058535066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69.280698058535066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69.280698058535066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69.280698058535066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69.280698058535066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69.280698058535066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69.280698058535066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2.4500000000000002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8.9833333333333343</v>
      </c>
      <c r="H166" s="67">
        <f t="shared" si="110"/>
        <v>220.73333333333335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69.293176339101251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8.4429999999999943</v>
      </c>
      <c r="N166" s="13">
        <f>IF('Données projet'!$A$36&gt;35,N165+M166-V165,IF(A166&lt;'Données projet'!$A$36,$K$205^A166,IF(A166='Données projet'!$A$36,'Données projet'!$B$36,N165+M166-V165)))</f>
        <v>511.32700000000034</v>
      </c>
      <c r="O166" s="13">
        <f>N166*VLOOKUP('Données projet'!$B$9,Paramètres!$A$1:$I$89,3,0)*VLOOKUP('Données projet'!$B$9,Paramètres!$A$1:$I$89,5,0)</f>
        <v>518.48557800000037</v>
      </c>
      <c r="P166" s="13">
        <f t="shared" si="141"/>
        <v>115.42327585333055</v>
      </c>
      <c r="Q166" s="20">
        <f t="shared" si="162"/>
        <v>1104.0579204612179</v>
      </c>
      <c r="R166" s="59">
        <f t="shared" si="109"/>
        <v>1394.7995670379225</v>
      </c>
      <c r="S166" s="59">
        <f ca="1">AVERAGE(OFFSET($R$3,0,0,'Données projet'!$E$9+1,1))-AVERAGE(OFFSET($H$3,0,0,'Données projet'!$E$9+1,1))</f>
        <v>668.93155285055116</v>
      </c>
      <c r="T166" s="59">
        <f t="shared" si="142"/>
        <v>306.43050420339659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66.657470200645875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66.657470200645875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69.293176339101251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8.4429999999999943</v>
      </c>
      <c r="AI166" s="13">
        <f>IF('Données projet'!$A$62&gt;35,AI165+AH166-AQ165,IF(A166&lt;'Données projet'!$A$62,$AF$205^A166,IF(A166='Données projet'!$A$62,'Données projet'!$B$62,AI165+AH166-AQ165)))</f>
        <v>511.32700000000034</v>
      </c>
      <c r="AJ166" s="13">
        <f>AI166*VLOOKUP('Données projet'!$B$10,Paramètres!$A$1:$I$89,3,0)*VLOOKUP('Données projet'!$B$10,Paramètres!$A$1:$I$89,5,0)</f>
        <v>494.55547440000038</v>
      </c>
      <c r="AK166" s="13">
        <f t="shared" si="164"/>
        <v>110.7032703628248</v>
      </c>
      <c r="AL166" s="20">
        <f t="shared" si="165"/>
        <v>1054.1589804619205</v>
      </c>
      <c r="AM166" s="59">
        <f t="shared" si="113"/>
        <v>1344.9006270386251</v>
      </c>
      <c r="AN166" s="59">
        <f ca="1">AVERAGE(OFFSET($AM$3,0,0,'Données projet'!$E$10+1,1))-AVERAGE(OFFSET($H$3,0,0,'Données projet'!$E$10+1,1))</f>
        <v>641.25537514609562</v>
      </c>
      <c r="AO166" s="59">
        <f t="shared" si="144"/>
        <v>294.69846357521487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63.580971576000671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63.580971576000671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69.293176339101251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6.2527760746888816E-13</v>
      </c>
      <c r="BE166" s="13">
        <f>BD166*VLOOKUP('Données projet'!$B$11,Paramètres!$A$1:$I$89,3,0)*VLOOKUP('Données projet'!$B$11,Paramètres!$A$1:$I$89,5,0)</f>
        <v>2.9262992029543964E-13</v>
      </c>
      <c r="BF166" s="13">
        <f t="shared" si="167"/>
        <v>3.8796387982050903E-12</v>
      </c>
      <c r="BG166" s="20">
        <f t="shared" si="168"/>
        <v>7.2667013513884219E-12</v>
      </c>
      <c r="BH166" s="59">
        <f t="shared" si="116"/>
        <v>290.74164657671184</v>
      </c>
      <c r="BI166" s="59">
        <f ca="1">AVERAGE(OFFSET($BH$3,0,0,'Données projet'!$E$11+1,1))-AVERAGE(OFFSET($H$3,0,0,'Données projet'!$E$11+1,1))</f>
        <v>351.46787950120347</v>
      </c>
      <c r="BJ166" s="59">
        <f t="shared" si="146"/>
        <v>283.42185695241858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91.430757727027057</v>
      </c>
      <c r="BQ166" s="21">
        <f>EXP(-LN(2)/25)*BQ165+(1-EXP(-LN(2)/25))/(LN(2)/25)*Calculateur!BL166*Calculateur!BN166*VLOOKUP('Données projet'!$B$11,Paramètres!$A$1:$I$89,3,0)*0.475*44/12</f>
        <v>26.697960020907097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118.12871774793416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69.293176339101251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69.293176339101251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69.293176339101251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69.293176339101251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69.293176339101251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69.293176339101251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69.293176339101251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2.4500000000000002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8.9833333333333343</v>
      </c>
      <c r="H167" s="67">
        <f t="shared" si="110"/>
        <v>220.73333333333335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69.305438149396878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>
        <f>VLOOKUP(A167,'Données projet'!$A$35:$I$55,2,0)</f>
        <v>519.77</v>
      </c>
      <c r="L167" s="12">
        <f>VLOOKUP(A167,'Données projet'!$A$35:$I$55,9,0)</f>
        <v>8.4429999999999943</v>
      </c>
      <c r="M167" s="12">
        <f t="array" ref="M167">INDEX(L:L,MIN(IF(ISNUMBER(L167:L363),ROW(L167:L363),"")))</f>
        <v>8.4429999999999943</v>
      </c>
      <c r="N167" s="13">
        <f>IF('Données projet'!$A$36&gt;35,N166+M167-V166,IF(A167&lt;'Données projet'!$A$36,$K$205^A167,IF(A167='Données projet'!$A$36,'Données projet'!$B$36,N166+M167-V166)))</f>
        <v>519.77000000000032</v>
      </c>
      <c r="O167" s="13">
        <f>N167*VLOOKUP('Données projet'!$B$9,Paramètres!$A$1:$I$89,3,0)*VLOOKUP('Données projet'!$B$9,Paramètres!$A$1:$I$89,5,0)</f>
        <v>527.04678000000035</v>
      </c>
      <c r="P167" s="13">
        <f t="shared" si="141"/>
        <v>117.10568707351568</v>
      </c>
      <c r="Q167" s="20">
        <f t="shared" si="162"/>
        <v>1121.8988801530404</v>
      </c>
      <c r="R167" s="59">
        <f t="shared" si="109"/>
        <v>1412.685486700829</v>
      </c>
      <c r="S167" s="59">
        <f ca="1">AVERAGE(OFFSET($R$3,0,0,'Données projet'!$E$9+1,1))-AVERAGE(OFFSET($H$3,0,0,'Données projet'!$E$9+1,1))</f>
        <v>668.93155285055116</v>
      </c>
      <c r="T167" s="59">
        <f t="shared" si="142"/>
        <v>306.43050420339659</v>
      </c>
      <c r="U167" s="15">
        <f>IF(ISNA(VLOOKUP(A167,'Données projet'!$A$35:$I$55,3,0)),0,VLOOKUP(A167,'Données projet'!$A$35:$I$55,3,0))</f>
        <v>14</v>
      </c>
      <c r="V167" s="15">
        <f>IF(ISNA(VLOOKUP(A167,'Données projet'!$A$35:$I$55,4,0)),0,VLOOKUP(A167,'Données projet'!$A$35:$I$55,4,0))</f>
        <v>59.58</v>
      </c>
      <c r="W167" s="16">
        <f>IF(ISNA(VLOOKUP(A167,'Données projet'!$A$35:$I$55,5,0)),0%,VLOOKUP(A167,'Données projet'!$A$35:$I$55,5,0)*VLOOKUP('Données projet'!$B$9,Paramètres!$A$1:$I$89,7,0))</f>
        <v>0.25800000000000001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82.581151069765184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82.581151069765184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69.305438149396878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519.77</v>
      </c>
      <c r="AG167" s="12">
        <f>VLOOKUP(A167,'Données projet'!$A$61:$I$81,9,0)</f>
        <v>8.4429999999999943</v>
      </c>
      <c r="AH167" s="12">
        <f t="array" ref="AH167">INDEX(AG:AG,MIN(IF(ISNUMBER(AG167:AG363),ROW(AG167:AG363),"")))</f>
        <v>8.4429999999999943</v>
      </c>
      <c r="AI167" s="13">
        <f>IF('Données projet'!$A$62&gt;35,AI166+AH167-AQ166,IF(A167&lt;'Données projet'!$A$62,$AF$205^A167,IF(A167='Données projet'!$A$62,'Données projet'!$B$62,AI166+AH167-AQ166)))</f>
        <v>519.77000000000032</v>
      </c>
      <c r="AJ167" s="13">
        <f>AI167*VLOOKUP('Données projet'!$B$10,Paramètres!$A$1:$I$89,3,0)*VLOOKUP('Données projet'!$B$10,Paramètres!$A$1:$I$89,5,0)</f>
        <v>502.72154400000034</v>
      </c>
      <c r="AK167" s="13">
        <f t="shared" si="164"/>
        <v>112.31688271954096</v>
      </c>
      <c r="AL167" s="20">
        <f t="shared" si="165"/>
        <v>1071.1919265365345</v>
      </c>
      <c r="AM167" s="59">
        <f t="shared" si="113"/>
        <v>1361.9785330843231</v>
      </c>
      <c r="AN167" s="59">
        <f ca="1">AVERAGE(OFFSET($AM$3,0,0,'Données projet'!$E$10+1,1))-AVERAGE(OFFSET($H$3,0,0,'Données projet'!$E$10+1,1))</f>
        <v>641.25537514609562</v>
      </c>
      <c r="AO167" s="59">
        <f t="shared" si="144"/>
        <v>294.69846357521487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0.25800000000000001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78.769713328083697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78.769713328083697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69.305438149396878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6.2527760746888816E-13</v>
      </c>
      <c r="BE167" s="13">
        <f>BD167*VLOOKUP('Données projet'!$B$11,Paramètres!$A$1:$I$89,3,0)*VLOOKUP('Données projet'!$B$11,Paramètres!$A$1:$I$89,5,0)</f>
        <v>2.9262992029543964E-13</v>
      </c>
      <c r="BF167" s="13">
        <f t="shared" si="167"/>
        <v>3.8796387982050903E-12</v>
      </c>
      <c r="BG167" s="20">
        <f t="shared" si="168"/>
        <v>7.2667013513884219E-12</v>
      </c>
      <c r="BH167" s="59">
        <f t="shared" si="116"/>
        <v>290.78660654779583</v>
      </c>
      <c r="BI167" s="59">
        <f ca="1">AVERAGE(OFFSET($BH$3,0,0,'Données projet'!$E$11+1,1))-AVERAGE(OFFSET($H$3,0,0,'Données projet'!$E$11+1,1))</f>
        <v>351.46787950120347</v>
      </c>
      <c r="BJ167" s="59">
        <f t="shared" si="146"/>
        <v>283.42185695241858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89.637856335255705</v>
      </c>
      <c r="BQ167" s="21">
        <f>EXP(-LN(2)/25)*BQ166+(1-EXP(-LN(2)/25))/(LN(2)/25)*Calculateur!BL167*Calculateur!BN167*VLOOKUP('Données projet'!$B$11,Paramètres!$A$1:$I$89,3,0)*0.475*44/12</f>
        <v>25.967902900150694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115.6057592354064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69.305438149396878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69.305438149396878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69.305438149396878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69.305438149396878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69.305438149396878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69.305438149396878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69.305438149396878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2.4500000000000002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8.9833333333333343</v>
      </c>
      <c r="H168" s="67">
        <f t="shared" si="110"/>
        <v>220.73333333333335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69.317487244697162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8.5459999999999976</v>
      </c>
      <c r="N168" s="13">
        <f>IF('Données projet'!$A$36&gt;35,N167+M168-V167,IF(A168&lt;'Données projet'!$A$36,$K$205^A168,IF(A168='Données projet'!$A$36,'Données projet'!$B$36,N167+M168-V167)))</f>
        <v>468.73600000000039</v>
      </c>
      <c r="O168" s="13">
        <f>N168*VLOOKUP('Données projet'!$B$9,Paramètres!$A$1:$I$89,3,0)*VLOOKUP('Données projet'!$B$9,Paramètres!$A$1:$I$89,5,0)</f>
        <v>475.29830400000037</v>
      </c>
      <c r="P168" s="13">
        <f t="shared" si="141"/>
        <v>106.88566320039537</v>
      </c>
      <c r="Q168" s="20">
        <f t="shared" si="162"/>
        <v>1013.9704095406892</v>
      </c>
      <c r="R168" s="59">
        <f t="shared" si="109"/>
        <v>1304.8011961045788</v>
      </c>
      <c r="S168" s="59">
        <f ca="1">AVERAGE(OFFSET($R$3,0,0,'Données projet'!$E$9+1,1))-AVERAGE(OFFSET($H$3,0,0,'Données projet'!$E$9+1,1))</f>
        <v>668.93155285055116</v>
      </c>
      <c r="T168" s="59">
        <f t="shared" si="142"/>
        <v>306.43050420339659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80.961785066815665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80.961785066815665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69.317487244697162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8.5459999999999976</v>
      </c>
      <c r="AI168" s="13">
        <f>IF('Données projet'!$A$62&gt;35,AI167+AH168-AQ167,IF(A168&lt;'Données projet'!$A$62,$AF$205^A168,IF(A168='Données projet'!$A$62,'Données projet'!$B$62,AI167+AH168-AQ167)))</f>
        <v>468.73600000000039</v>
      </c>
      <c r="AJ168" s="13">
        <f>AI168*VLOOKUP('Données projet'!$B$10,Paramètres!$A$1:$I$89,3,0)*VLOOKUP('Données projet'!$B$10,Paramètres!$A$1:$I$89,5,0)</f>
        <v>453.36145920000041</v>
      </c>
      <c r="AK168" s="13">
        <f t="shared" si="164"/>
        <v>102.51478641291534</v>
      </c>
      <c r="AL168" s="20">
        <f t="shared" si="165"/>
        <v>968.15112777582817</v>
      </c>
      <c r="AM168" s="59">
        <f t="shared" si="113"/>
        <v>1258.9819143397178</v>
      </c>
      <c r="AN168" s="59">
        <f ca="1">AVERAGE(OFFSET($AM$3,0,0,'Données projet'!$E$10+1,1))-AVERAGE(OFFSET($H$3,0,0,'Données projet'!$E$10+1,1))</f>
        <v>641.25537514609562</v>
      </c>
      <c r="AO168" s="59">
        <f t="shared" si="144"/>
        <v>294.69846357521487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77.22508729450108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77.22508729450108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69.317487244697162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6.2527760746888816E-13</v>
      </c>
      <c r="BE168" s="13">
        <f>BD168*VLOOKUP('Données projet'!$B$11,Paramètres!$A$1:$I$89,3,0)*VLOOKUP('Données projet'!$B$11,Paramètres!$A$1:$I$89,5,0)</f>
        <v>2.9262992029543964E-13</v>
      </c>
      <c r="BF168" s="13">
        <f t="shared" si="167"/>
        <v>3.8796387982050903E-12</v>
      </c>
      <c r="BG168" s="20">
        <f t="shared" si="168"/>
        <v>7.2667013513884219E-12</v>
      </c>
      <c r="BH168" s="59">
        <f t="shared" si="116"/>
        <v>290.83078656389688</v>
      </c>
      <c r="BI168" s="59">
        <f ca="1">AVERAGE(OFFSET($BH$3,0,0,'Données projet'!$E$11+1,1))-AVERAGE(OFFSET($H$3,0,0,'Données projet'!$E$11+1,1))</f>
        <v>351.46787950120347</v>
      </c>
      <c r="BJ168" s="59">
        <f t="shared" si="146"/>
        <v>283.42185695241858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87.880112646215125</v>
      </c>
      <c r="BQ168" s="21">
        <f>EXP(-LN(2)/25)*BQ167+(1-EXP(-LN(2)/25))/(LN(2)/25)*Calculateur!BL168*Calculateur!BN168*VLOOKUP('Données projet'!$B$11,Paramètres!$A$1:$I$89,3,0)*0.475*44/12</f>
        <v>25.257809229753409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113.13792187596853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69.317487244697162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69.317487244697162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69.317487244697162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69.317487244697162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69.317487244697162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69.317487244697162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69.317487244697162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2.4500000000000002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8.9833333333333343</v>
      </c>
      <c r="H169" s="67">
        <f t="shared" si="110"/>
        <v>220.73333333333335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69.329327315131749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8.5459999999999976</v>
      </c>
      <c r="N169" s="13">
        <f>IF('Données projet'!$A$36&gt;35,N168+M169-V168,IF(A169&lt;'Données projet'!$A$36,$K$205^A169,IF(A169='Données projet'!$A$36,'Données projet'!$B$36,N168+M169-V168)))</f>
        <v>477.28200000000038</v>
      </c>
      <c r="O169" s="13">
        <f>N169*VLOOKUP('Données projet'!$B$9,Paramètres!$A$1:$I$89,3,0)*VLOOKUP('Données projet'!$B$9,Paramètres!$A$1:$I$89,5,0)</f>
        <v>483.96394800000041</v>
      </c>
      <c r="P169" s="13">
        <f t="shared" si="141"/>
        <v>108.6057555590847</v>
      </c>
      <c r="Q169" s="20">
        <f t="shared" si="162"/>
        <v>1032.0589003654065</v>
      </c>
      <c r="R169" s="59">
        <f t="shared" si="109"/>
        <v>1322.9331005208896</v>
      </c>
      <c r="S169" s="59">
        <f ca="1">AVERAGE(OFFSET($R$3,0,0,'Données projet'!$E$9+1,1))-AVERAGE(OFFSET($H$3,0,0,'Données projet'!$E$9+1,1))</f>
        <v>668.93155285055116</v>
      </c>
      <c r="T169" s="59">
        <f t="shared" si="142"/>
        <v>306.43050420339659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79.374173843468256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79.374173843468256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69.329327315131749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8.5459999999999976</v>
      </c>
      <c r="AI169" s="13">
        <f>IF('Données projet'!$A$62&gt;35,AI168+AH169-AQ168,IF(A169&lt;'Données projet'!$A$62,$AF$205^A169,IF(A169='Données projet'!$A$62,'Données projet'!$B$62,AI168+AH169-AQ168)))</f>
        <v>477.28200000000038</v>
      </c>
      <c r="AJ169" s="13">
        <f>AI169*VLOOKUP('Données projet'!$B$10,Paramètres!$A$1:$I$89,3,0)*VLOOKUP('Données projet'!$B$10,Paramètres!$A$1:$I$89,5,0)</f>
        <v>461.6271504000004</v>
      </c>
      <c r="AK169" s="13">
        <f t="shared" si="164"/>
        <v>104.16453901285873</v>
      </c>
      <c r="AL169" s="20">
        <f t="shared" si="165"/>
        <v>985.42052572739613</v>
      </c>
      <c r="AM169" s="59">
        <f t="shared" si="113"/>
        <v>1276.2947258828792</v>
      </c>
      <c r="AN169" s="59">
        <f ca="1">AVERAGE(OFFSET($AM$3,0,0,'Données projet'!$E$10+1,1))-AVERAGE(OFFSET($H$3,0,0,'Données projet'!$E$10+1,1))</f>
        <v>641.25537514609562</v>
      </c>
      <c r="AO169" s="59">
        <f t="shared" si="144"/>
        <v>294.69846357521487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75.710750435308157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75.710750435308157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69.329327315131749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6.2527760746888816E-13</v>
      </c>
      <c r="BE169" s="13">
        <f>BD169*VLOOKUP('Données projet'!$B$11,Paramètres!$A$1:$I$89,3,0)*VLOOKUP('Données projet'!$B$11,Paramètres!$A$1:$I$89,5,0)</f>
        <v>2.9262992029543964E-13</v>
      </c>
      <c r="BF169" s="13">
        <f t="shared" si="167"/>
        <v>3.8796387982050903E-12</v>
      </c>
      <c r="BG169" s="20">
        <f t="shared" si="168"/>
        <v>7.2667013513884219E-12</v>
      </c>
      <c r="BH169" s="59">
        <f t="shared" si="116"/>
        <v>290.87420015549037</v>
      </c>
      <c r="BI169" s="59">
        <f ca="1">AVERAGE(OFFSET($BH$3,0,0,'Données projet'!$E$11+1,1))-AVERAGE(OFFSET($H$3,0,0,'Données projet'!$E$11+1,1))</f>
        <v>351.46787950120347</v>
      </c>
      <c r="BJ169" s="59">
        <f t="shared" si="146"/>
        <v>283.42185695241858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86.156837238798843</v>
      </c>
      <c r="BQ169" s="21">
        <f>EXP(-LN(2)/25)*BQ168+(1-EXP(-LN(2)/25))/(LN(2)/25)*Calculateur!BL169*Calculateur!BN169*VLOOKUP('Données projet'!$B$11,Paramètres!$A$1:$I$89,3,0)*0.475*44/12</f>
        <v>24.567133108115343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110.72397034691419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69.329327315131749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69.329327315131749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69.329327315131749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69.329327315131749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69.329327315131749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69.329327315131749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69.329327315131749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2.4500000000000002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8.9833333333333343</v>
      </c>
      <c r="H170" s="67">
        <f t="shared" si="110"/>
        <v>220.73333333333335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69.340961986814705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8.5459999999999976</v>
      </c>
      <c r="N170" s="13">
        <f>IF('Données projet'!$A$36&gt;35,N169+M170-V169,IF(A170&lt;'Données projet'!$A$36,$K$205^A170,IF(A170='Données projet'!$A$36,'Données projet'!$B$36,N169+M170-V169)))</f>
        <v>485.82800000000037</v>
      </c>
      <c r="O170" s="13">
        <f>N170*VLOOKUP('Données projet'!$B$9,Paramètres!$A$1:$I$89,3,0)*VLOOKUP('Données projet'!$B$9,Paramètres!$A$1:$I$89,5,0)</f>
        <v>492.6295920000004</v>
      </c>
      <c r="P170" s="13">
        <f t="shared" si="141"/>
        <v>110.3222664206035</v>
      </c>
      <c r="Q170" s="20">
        <f t="shared" si="162"/>
        <v>1050.1411534158851</v>
      </c>
      <c r="R170" s="59">
        <f t="shared" si="109"/>
        <v>1341.0580140342058</v>
      </c>
      <c r="S170" s="59">
        <f ca="1">AVERAGE(OFFSET($R$3,0,0,'Données projet'!$E$9+1,1))-AVERAGE(OFFSET($H$3,0,0,'Données projet'!$E$9+1,1))</f>
        <v>668.93155285055116</v>
      </c>
      <c r="T170" s="59">
        <f t="shared" si="142"/>
        <v>306.43050420339659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77.817694707863453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77.817694707863453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69.340961986814705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8.5459999999999976</v>
      </c>
      <c r="AI170" s="13">
        <f>IF('Données projet'!$A$62&gt;35,AI169+AH170-AQ169,IF(A170&lt;'Données projet'!$A$62,$AF$205^A170,IF(A170='Données projet'!$A$62,'Données projet'!$B$62,AI169+AH170-AQ169)))</f>
        <v>485.82800000000037</v>
      </c>
      <c r="AJ170" s="13">
        <f>AI170*VLOOKUP('Données projet'!$B$10,Paramètres!$A$1:$I$89,3,0)*VLOOKUP('Données projet'!$B$10,Paramètres!$A$1:$I$89,5,0)</f>
        <v>469.89284160000039</v>
      </c>
      <c r="AK170" s="13">
        <f t="shared" si="164"/>
        <v>105.81085657384101</v>
      </c>
      <c r="AL170" s="20">
        <f t="shared" si="165"/>
        <v>1002.6839409861069</v>
      </c>
      <c r="AM170" s="59">
        <f t="shared" si="113"/>
        <v>1293.6008016044275</v>
      </c>
      <c r="AN170" s="59">
        <f ca="1">AVERAGE(OFFSET($AM$3,0,0,'Données projet'!$E$10+1,1))-AVERAGE(OFFSET($H$3,0,0,'Données projet'!$E$10+1,1))</f>
        <v>641.25537514609562</v>
      </c>
      <c r="AO170" s="59">
        <f t="shared" si="144"/>
        <v>294.69846357521487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74.226108798269735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74.226108798269735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69.340961986814705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6.2527760746888816E-13</v>
      </c>
      <c r="BE170" s="13">
        <f>BD170*VLOOKUP('Données projet'!$B$11,Paramètres!$A$1:$I$89,3,0)*VLOOKUP('Données projet'!$B$11,Paramètres!$A$1:$I$89,5,0)</f>
        <v>2.9262992029543964E-13</v>
      </c>
      <c r="BF170" s="13">
        <f t="shared" si="167"/>
        <v>3.8796387982050903E-12</v>
      </c>
      <c r="BG170" s="20">
        <f t="shared" si="168"/>
        <v>7.2667013513884219E-12</v>
      </c>
      <c r="BH170" s="59">
        <f t="shared" si="116"/>
        <v>290.91686061832786</v>
      </c>
      <c r="BI170" s="59">
        <f ca="1">AVERAGE(OFFSET($BH$3,0,0,'Données projet'!$E$11+1,1))-AVERAGE(OFFSET($H$3,0,0,'Données projet'!$E$11+1,1))</f>
        <v>351.46787950120347</v>
      </c>
      <c r="BJ170" s="59">
        <f t="shared" si="146"/>
        <v>283.42185695241858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84.467354211027782</v>
      </c>
      <c r="BQ170" s="21">
        <f>EXP(-LN(2)/25)*BQ169+(1-EXP(-LN(2)/25))/(LN(2)/25)*Calculateur!BL170*Calculateur!BN170*VLOOKUP('Données projet'!$B$11,Paramètres!$A$1:$I$89,3,0)*0.475*44/12</f>
        <v>23.895343561344546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108.36269777237233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69.340961986814705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69.340961986814705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69.340961986814705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69.340961986814705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69.340961986814705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69.340961986814705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69.340961986814705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2.4500000000000002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8.9833333333333343</v>
      </c>
      <c r="H171" s="67">
        <f t="shared" si="110"/>
        <v>220.73333333333335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69.352394822955205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8.5459999999999976</v>
      </c>
      <c r="N171" s="13">
        <f>IF('Données projet'!$A$36&gt;35,N170+M171-V170,IF(A171&lt;'Données projet'!$A$36,$K$205^A171,IF(A171='Données projet'!$A$36,'Données projet'!$B$36,N170+M171-V170)))</f>
        <v>494.37400000000036</v>
      </c>
      <c r="O171" s="13">
        <f>N171*VLOOKUP('Données projet'!$B$9,Paramètres!$A$1:$I$89,3,0)*VLOOKUP('Données projet'!$B$9,Paramètres!$A$1:$I$89,5,0)</f>
        <v>501.29523600000039</v>
      </c>
      <c r="P171" s="13">
        <f t="shared" si="141"/>
        <v>112.03526605421492</v>
      </c>
      <c r="Q171" s="20">
        <f t="shared" si="162"/>
        <v>1068.2172910777583</v>
      </c>
      <c r="R171" s="59">
        <f t="shared" si="109"/>
        <v>1359.1760720952607</v>
      </c>
      <c r="S171" s="59">
        <f ca="1">AVERAGE(OFFSET($R$3,0,0,'Données projet'!$E$9+1,1))-AVERAGE(OFFSET($H$3,0,0,'Données projet'!$E$9+1,1))</f>
        <v>668.93155285055116</v>
      </c>
      <c r="T171" s="59">
        <f t="shared" si="142"/>
        <v>306.43050420339659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76.291737178749329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76.291737178749329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69.352394822955205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8.5459999999999976</v>
      </c>
      <c r="AI171" s="13">
        <f>IF('Données projet'!$A$62&gt;35,AI170+AH171-AQ170,IF(A171&lt;'Données projet'!$A$62,$AF$205^A171,IF(A171='Données projet'!$A$62,'Données projet'!$B$62,AI170+AH171-AQ170)))</f>
        <v>494.37400000000036</v>
      </c>
      <c r="AJ171" s="13">
        <f>AI171*VLOOKUP('Données projet'!$B$10,Paramètres!$A$1:$I$89,3,0)*VLOOKUP('Données projet'!$B$10,Paramètres!$A$1:$I$89,5,0)</f>
        <v>478.15853280000039</v>
      </c>
      <c r="AK171" s="13">
        <f t="shared" si="164"/>
        <v>107.45380649160349</v>
      </c>
      <c r="AL171" s="20">
        <f t="shared" si="165"/>
        <v>1019.9414909328767</v>
      </c>
      <c r="AM171" s="59">
        <f t="shared" si="113"/>
        <v>1310.9002719503792</v>
      </c>
      <c r="AN171" s="59">
        <f ca="1">AVERAGE(OFFSET($AM$3,0,0,'Données projet'!$E$10+1,1))-AVERAGE(OFFSET($H$3,0,0,'Données projet'!$E$10+1,1))</f>
        <v>641.25537514609562</v>
      </c>
      <c r="AO171" s="59">
        <f t="shared" si="144"/>
        <v>294.69846357521487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72.770580078191657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72.770580078191657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69.352394822955205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6.2527760746888816E-13</v>
      </c>
      <c r="BE171" s="13">
        <f>BD171*VLOOKUP('Données projet'!$B$11,Paramètres!$A$1:$I$89,3,0)*VLOOKUP('Données projet'!$B$11,Paramètres!$A$1:$I$89,5,0)</f>
        <v>2.9262992029543964E-13</v>
      </c>
      <c r="BF171" s="13">
        <f t="shared" si="167"/>
        <v>3.8796387982050903E-12</v>
      </c>
      <c r="BG171" s="20">
        <f t="shared" si="168"/>
        <v>7.2667013513884219E-12</v>
      </c>
      <c r="BH171" s="59">
        <f t="shared" si="116"/>
        <v>290.95878101750969</v>
      </c>
      <c r="BI171" s="59">
        <f ca="1">AVERAGE(OFFSET($BH$3,0,0,'Données projet'!$E$11+1,1))-AVERAGE(OFFSET($H$3,0,0,'Données projet'!$E$11+1,1))</f>
        <v>351.46787950120347</v>
      </c>
      <c r="BJ171" s="59">
        <f t="shared" si="146"/>
        <v>283.42185695241858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82.811000914948423</v>
      </c>
      <c r="BQ171" s="21">
        <f>EXP(-LN(2)/25)*BQ170+(1-EXP(-LN(2)/25))/(LN(2)/25)*Calculateur!BL171*Calculateur!BN171*VLOOKUP('Données projet'!$B$11,Paramètres!$A$1:$I$89,3,0)*0.475*44/12</f>
        <v>23.241924135058074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106.05292505000649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69.352394822955205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69.352394822955205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69.352394822955205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69.352394822955205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69.352394822955205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69.352394822955205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69.352394822955205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2.4500000000000002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8.9833333333333343</v>
      </c>
      <c r="H172" s="67">
        <f t="shared" si="110"/>
        <v>220.73333333333335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69.363629324948676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8.5459999999999976</v>
      </c>
      <c r="N172" s="13">
        <f>IF('Données projet'!$A$36&gt;35,N171+M172-V171,IF(A172&lt;'Données projet'!$A$36,$K$205^A172,IF(A172='Données projet'!$A$36,'Données projet'!$B$36,N171+M172-V171)))</f>
        <v>502.92000000000036</v>
      </c>
      <c r="O172" s="13">
        <f>N172*VLOOKUP('Données projet'!$B$9,Paramètres!$A$1:$I$89,3,0)*VLOOKUP('Données projet'!$B$9,Paramètres!$A$1:$I$89,5,0)</f>
        <v>509.96088000000043</v>
      </c>
      <c r="P172" s="13">
        <f t="shared" si="141"/>
        <v>113.74482216057152</v>
      </c>
      <c r="Q172" s="20">
        <f t="shared" si="162"/>
        <v>1086.2874312629961</v>
      </c>
      <c r="R172" s="59">
        <f t="shared" si="109"/>
        <v>1377.2874054544745</v>
      </c>
      <c r="S172" s="59">
        <f ca="1">AVERAGE(OFFSET($R$3,0,0,'Données projet'!$E$9+1,1))-AVERAGE(OFFSET($H$3,0,0,'Données projet'!$E$9+1,1))</f>
        <v>668.93155285055116</v>
      </c>
      <c r="T172" s="59">
        <f t="shared" si="142"/>
        <v>306.43050420339659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74.795702746038941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74.795702746038941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69.363629324948676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8.5459999999999976</v>
      </c>
      <c r="AI172" s="13">
        <f>IF('Données projet'!$A$62&gt;35,AI171+AH172-AQ171,IF(A172&lt;'Données projet'!$A$62,$AF$205^A172,IF(A172='Données projet'!$A$62,'Données projet'!$B$62,AI171+AH172-AQ171)))</f>
        <v>502.92000000000036</v>
      </c>
      <c r="AJ172" s="13">
        <f>AI172*VLOOKUP('Données projet'!$B$10,Paramètres!$A$1:$I$89,3,0)*VLOOKUP('Données projet'!$B$10,Paramètres!$A$1:$I$89,5,0)</f>
        <v>486.42422400000038</v>
      </c>
      <c r="AK172" s="13">
        <f t="shared" si="164"/>
        <v>109.09345369831506</v>
      </c>
      <c r="AL172" s="20">
        <f t="shared" si="165"/>
        <v>1037.1932886578995</v>
      </c>
      <c r="AM172" s="59">
        <f t="shared" si="113"/>
        <v>1328.193262849378</v>
      </c>
      <c r="AN172" s="59">
        <f ca="1">AVERAGE(OFFSET($AM$3,0,0,'Données projet'!$E$10+1,1))-AVERAGE(OFFSET($H$3,0,0,'Données projet'!$E$10+1,1))</f>
        <v>641.25537514609562</v>
      </c>
      <c r="AO172" s="59">
        <f t="shared" si="144"/>
        <v>294.69846357521487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71.343593388529442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71.343593388529442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69.363629324948676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6.2527760746888816E-13</v>
      </c>
      <c r="BE172" s="13">
        <f>BD172*VLOOKUP('Données projet'!$B$11,Paramètres!$A$1:$I$89,3,0)*VLOOKUP('Données projet'!$B$11,Paramètres!$A$1:$I$89,5,0)</f>
        <v>2.9262992029543964E-13</v>
      </c>
      <c r="BF172" s="13">
        <f t="shared" si="167"/>
        <v>3.8796387982050903E-12</v>
      </c>
      <c r="BG172" s="20">
        <f t="shared" si="168"/>
        <v>7.2667013513884219E-12</v>
      </c>
      <c r="BH172" s="59">
        <f t="shared" si="116"/>
        <v>290.99997419148576</v>
      </c>
      <c r="BI172" s="59">
        <f ca="1">AVERAGE(OFFSET($BH$3,0,0,'Données projet'!$E$11+1,1))-AVERAGE(OFFSET($H$3,0,0,'Données projet'!$E$11+1,1))</f>
        <v>351.46787950120347</v>
      </c>
      <c r="BJ172" s="59">
        <f t="shared" si="146"/>
        <v>283.42185695241858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81.187127696729419</v>
      </c>
      <c r="BQ172" s="21">
        <f>EXP(-LN(2)/25)*BQ171+(1-EXP(-LN(2)/25))/(LN(2)/25)*Calculateur!BL172*Calculateur!BN172*VLOOKUP('Données projet'!$B$11,Paramètres!$A$1:$I$89,3,0)*0.475*44/12</f>
        <v>22.606372497345241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103.79350019407465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69.363629324948676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69.363629324948676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69.363629324948676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69.363629324948676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69.363629324948676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69.363629324948676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69.363629324948676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2.4500000000000002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8.9833333333333343</v>
      </c>
      <c r="H173" s="67">
        <f t="shared" si="110"/>
        <v>220.73333333333335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69.374668933449115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8.5459999999999976</v>
      </c>
      <c r="N173" s="13">
        <f>IF('Données projet'!$A$36&gt;35,N172+M173-V172,IF(A173&lt;'Données projet'!$A$36,$K$205^A173,IF(A173='Données projet'!$A$36,'Données projet'!$B$36,N172+M173-V172)))</f>
        <v>511.46600000000035</v>
      </c>
      <c r="O173" s="13">
        <f>N173*VLOOKUP('Données projet'!$B$9,Paramètres!$A$1:$I$89,3,0)*VLOOKUP('Données projet'!$B$9,Paramètres!$A$1:$I$89,5,0)</f>
        <v>518.62652400000036</v>
      </c>
      <c r="P173" s="13">
        <f t="shared" si="141"/>
        <v>115.45100000763091</v>
      </c>
      <c r="Q173" s="20">
        <f t="shared" si="162"/>
        <v>1104.3516876466244</v>
      </c>
      <c r="R173" s="59">
        <f t="shared" si="109"/>
        <v>1395.3921404026046</v>
      </c>
      <c r="S173" s="59">
        <f ca="1">AVERAGE(OFFSET($R$3,0,0,'Données projet'!$E$9+1,1))-AVERAGE(OFFSET($H$3,0,0,'Données projet'!$E$9+1,1))</f>
        <v>668.93155285055116</v>
      </c>
      <c r="T173" s="59">
        <f t="shared" si="142"/>
        <v>306.43050420339659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73.329004636063104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73.329004636063104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69.374668933449115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8.5459999999999976</v>
      </c>
      <c r="AI173" s="13">
        <f>IF('Données projet'!$A$62&gt;35,AI172+AH173-AQ172,IF(A173&lt;'Données projet'!$A$62,$AF$205^A173,IF(A173='Données projet'!$A$62,'Données projet'!$B$62,AI172+AH173-AQ172)))</f>
        <v>511.46600000000035</v>
      </c>
      <c r="AJ173" s="13">
        <f>AI173*VLOOKUP('Données projet'!$B$10,Paramètres!$A$1:$I$89,3,0)*VLOOKUP('Données projet'!$B$10,Paramètres!$A$1:$I$89,5,0)</f>
        <v>494.68991520000037</v>
      </c>
      <c r="AK173" s="13">
        <f t="shared" si="164"/>
        <v>110.72986079292981</v>
      </c>
      <c r="AL173" s="20">
        <f t="shared" si="165"/>
        <v>1054.4394431876869</v>
      </c>
      <c r="AM173" s="59">
        <f t="shared" si="113"/>
        <v>1345.4798959436671</v>
      </c>
      <c r="AN173" s="59">
        <f ca="1">AVERAGE(OFFSET($AM$3,0,0,'Données projet'!$E$10+1,1))-AVERAGE(OFFSET($H$3,0,0,'Données projet'!$E$10+1,1))</f>
        <v>641.25537514609562</v>
      </c>
      <c r="AO173" s="59">
        <f t="shared" si="144"/>
        <v>294.69846357521487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69.944589037475566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69.944589037475566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69.374668933449115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6.2527760746888816E-13</v>
      </c>
      <c r="BE173" s="13">
        <f>BD173*VLOOKUP('Données projet'!$B$11,Paramètres!$A$1:$I$89,3,0)*VLOOKUP('Données projet'!$B$11,Paramètres!$A$1:$I$89,5,0)</f>
        <v>2.9262992029543964E-13</v>
      </c>
      <c r="BF173" s="13">
        <f t="shared" si="167"/>
        <v>3.8796387982050903E-12</v>
      </c>
      <c r="BG173" s="20">
        <f t="shared" si="168"/>
        <v>7.2667013513884219E-12</v>
      </c>
      <c r="BH173" s="59">
        <f t="shared" si="116"/>
        <v>291.04045275598736</v>
      </c>
      <c r="BI173" s="59">
        <f ca="1">AVERAGE(OFFSET($BH$3,0,0,'Données projet'!$E$11+1,1))-AVERAGE(OFFSET($H$3,0,0,'Données projet'!$E$11+1,1))</f>
        <v>351.46787950120347</v>
      </c>
      <c r="BJ173" s="59">
        <f t="shared" si="146"/>
        <v>283.42185695241858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79.595097641854835</v>
      </c>
      <c r="BQ173" s="21">
        <f>EXP(-LN(2)/25)*BQ172+(1-EXP(-LN(2)/25))/(LN(2)/25)*Calculateur!BL173*Calculateur!BN173*VLOOKUP('Données projet'!$B$11,Paramètres!$A$1:$I$89,3,0)*0.475*44/12</f>
        <v>21.988200052587874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101.58329769444271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69.374668933449115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69.374668933449115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69.374668933449115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69.374668933449115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69.374668933449115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69.374668933449115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69.374668933449115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2.4500000000000002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8.9833333333333343</v>
      </c>
      <c r="H174" s="67">
        <f t="shared" si="110"/>
        <v>220.73333333333335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69.385517029422942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8.5459999999999976</v>
      </c>
      <c r="N174" s="13">
        <f>IF('Données projet'!$A$36&gt;35,N173+M174-V173,IF(A174&lt;'Données projet'!$A$36,$K$205^A174,IF(A174='Données projet'!$A$36,'Données projet'!$B$36,N173+M174-V173)))</f>
        <v>520.0120000000004</v>
      </c>
      <c r="O174" s="13">
        <f>N174*VLOOKUP('Données projet'!$B$9,Paramètres!$A$1:$I$89,3,0)*VLOOKUP('Données projet'!$B$9,Paramètres!$A$1:$I$89,5,0)</f>
        <v>527.2921680000004</v>
      </c>
      <c r="P174" s="13">
        <f t="shared" si="141"/>
        <v>117.15386255722979</v>
      </c>
      <c r="Q174" s="20">
        <f t="shared" si="162"/>
        <v>1122.4101698871759</v>
      </c>
      <c r="R174" s="59">
        <f t="shared" si="109"/>
        <v>1413.4903989950601</v>
      </c>
      <c r="S174" s="59">
        <f ca="1">AVERAGE(OFFSET($R$3,0,0,'Données projet'!$E$9+1,1))-AVERAGE(OFFSET($H$3,0,0,'Données projet'!$E$9+1,1))</f>
        <v>668.93155285055116</v>
      </c>
      <c r="T174" s="59">
        <f t="shared" si="142"/>
        <v>306.43050420339659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71.891067581426384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71.891067581426384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69.385517029422942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8.5459999999999976</v>
      </c>
      <c r="AI174" s="13">
        <f>IF('Données projet'!$A$62&gt;35,AI173+AH174-AQ173,IF(A174&lt;'Données projet'!$A$62,$AF$205^A174,IF(A174='Données projet'!$A$62,'Données projet'!$B$62,AI173+AH174-AQ173)))</f>
        <v>520.0120000000004</v>
      </c>
      <c r="AJ174" s="13">
        <f>AI174*VLOOKUP('Données projet'!$B$10,Paramètres!$A$1:$I$89,3,0)*VLOOKUP('Données projet'!$B$10,Paramètres!$A$1:$I$89,5,0)</f>
        <v>502.95560640000036</v>
      </c>
      <c r="AK174" s="13">
        <f t="shared" si="164"/>
        <v>112.36308816258565</v>
      </c>
      <c r="AL174" s="20">
        <f t="shared" si="165"/>
        <v>1071.6800596965038</v>
      </c>
      <c r="AM174" s="59">
        <f t="shared" si="113"/>
        <v>1362.760288804388</v>
      </c>
      <c r="AN174" s="59">
        <f ca="1">AVERAGE(OFFSET($AM$3,0,0,'Données projet'!$E$10+1,1))-AVERAGE(OFFSET($H$3,0,0,'Données projet'!$E$10+1,1))</f>
        <v>641.25537514609562</v>
      </c>
      <c r="AO174" s="59">
        <f t="shared" si="144"/>
        <v>294.69846357521487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68.573018308437469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68.573018308437469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69.385517029422942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6.2527760746888816E-13</v>
      </c>
      <c r="BE174" s="13">
        <f>BD174*VLOOKUP('Données projet'!$B$11,Paramètres!$A$1:$I$89,3,0)*VLOOKUP('Données projet'!$B$11,Paramètres!$A$1:$I$89,5,0)</f>
        <v>2.9262992029543964E-13</v>
      </c>
      <c r="BF174" s="13">
        <f t="shared" si="167"/>
        <v>3.8796387982050903E-12</v>
      </c>
      <c r="BG174" s="20">
        <f t="shared" si="168"/>
        <v>7.2667013513884219E-12</v>
      </c>
      <c r="BH174" s="59">
        <f t="shared" si="116"/>
        <v>291.0802291078914</v>
      </c>
      <c r="BI174" s="59">
        <f ca="1">AVERAGE(OFFSET($BH$3,0,0,'Données projet'!$E$11+1,1))-AVERAGE(OFFSET($H$3,0,0,'Données projet'!$E$11+1,1))</f>
        <v>351.46787950120347</v>
      </c>
      <c r="BJ174" s="59">
        <f t="shared" si="146"/>
        <v>283.42185695241858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78.034286325313886</v>
      </c>
      <c r="BQ174" s="21">
        <f>EXP(-LN(2)/25)*BQ173+(1-EXP(-LN(2)/25))/(LN(2)/25)*Calculateur!BL174*Calculateur!BN174*VLOOKUP('Données projet'!$B$11,Paramètres!$A$1:$I$89,3,0)*0.475*44/12</f>
        <v>21.386931565840673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99.421217891154555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69.385517029422942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69.385517029422942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69.385517029422942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69.385517029422942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69.385517029422942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69.385517029422942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69.385517029422942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2.4500000000000002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8.9833333333333343</v>
      </c>
      <c r="H175" s="67">
        <f t="shared" si="110"/>
        <v>220.73333333333335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69.396176935184343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8.5459999999999976</v>
      </c>
      <c r="N175" s="13">
        <f>IF('Données projet'!$A$36&gt;35,N174+M175-V174,IF(A175&lt;'Données projet'!$A$36,$K$205^A175,IF(A175='Données projet'!$A$36,'Données projet'!$B$36,N174+M175-V174)))</f>
        <v>528.55800000000045</v>
      </c>
      <c r="O175" s="13">
        <f>N175*VLOOKUP('Données projet'!$B$9,Paramètres!$A$1:$I$89,3,0)*VLOOKUP('Données projet'!$B$9,Paramètres!$A$1:$I$89,5,0)</f>
        <v>535.95781200000044</v>
      </c>
      <c r="P175" s="13">
        <f t="shared" si="141"/>
        <v>118.85347058310219</v>
      </c>
      <c r="Q175" s="20">
        <f t="shared" si="162"/>
        <v>1140.4629838322371</v>
      </c>
      <c r="R175" s="59">
        <f t="shared" si="109"/>
        <v>1431.5822992612464</v>
      </c>
      <c r="S175" s="59">
        <f ca="1">AVERAGE(OFFSET($R$3,0,0,'Données projet'!$E$9+1,1))-AVERAGE(OFFSET($H$3,0,0,'Données projet'!$E$9+1,1))</f>
        <v>668.93155285055116</v>
      </c>
      <c r="T175" s="59">
        <f t="shared" si="142"/>
        <v>306.43050420339659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70.481327595376086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70.481327595376086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69.396176935184343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8.5459999999999976</v>
      </c>
      <c r="AI175" s="13">
        <f>IF('Données projet'!$A$62&gt;35,AI174+AH175-AQ174,IF(A175&lt;'Données projet'!$A$62,$AF$205^A175,IF(A175='Données projet'!$A$62,'Données projet'!$B$62,AI174+AH175-AQ174)))</f>
        <v>528.55800000000045</v>
      </c>
      <c r="AJ175" s="13">
        <f>AI175*VLOOKUP('Données projet'!$B$10,Paramètres!$A$1:$I$89,3,0)*VLOOKUP('Données projet'!$B$10,Paramètres!$A$1:$I$89,5,0)</f>
        <v>511.22129760000047</v>
      </c>
      <c r="AK175" s="13">
        <f t="shared" si="164"/>
        <v>113.99319409579488</v>
      </c>
      <c r="AL175" s="20">
        <f t="shared" si="165"/>
        <v>1088.9152397035102</v>
      </c>
      <c r="AM175" s="59">
        <f t="shared" si="113"/>
        <v>1380.0345551325195</v>
      </c>
      <c r="AN175" s="59">
        <f ca="1">AVERAGE(OFFSET($AM$3,0,0,'Données projet'!$E$10+1,1))-AVERAGE(OFFSET($H$3,0,0,'Données projet'!$E$10+1,1))</f>
        <v>641.25537514609562</v>
      </c>
      <c r="AO175" s="59">
        <f t="shared" si="144"/>
        <v>294.69846357521487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67.228343244820266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67.228343244820266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69.396176935184343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6.2527760746888816E-13</v>
      </c>
      <c r="BE175" s="13">
        <f>BD175*VLOOKUP('Données projet'!$B$11,Paramètres!$A$1:$I$89,3,0)*VLOOKUP('Données projet'!$B$11,Paramètres!$A$1:$I$89,5,0)</f>
        <v>2.9262992029543964E-13</v>
      </c>
      <c r="BF175" s="13">
        <f t="shared" si="167"/>
        <v>3.8796387982050903E-12</v>
      </c>
      <c r="BG175" s="20">
        <f t="shared" si="168"/>
        <v>7.2667013513884219E-12</v>
      </c>
      <c r="BH175" s="59">
        <f t="shared" si="116"/>
        <v>291.11931542901652</v>
      </c>
      <c r="BI175" s="59">
        <f ca="1">AVERAGE(OFFSET($BH$3,0,0,'Données projet'!$E$11+1,1))-AVERAGE(OFFSET($H$3,0,0,'Données projet'!$E$11+1,1))</f>
        <v>351.46787950120347</v>
      </c>
      <c r="BJ175" s="59">
        <f t="shared" si="146"/>
        <v>283.42185695241858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76.504081566689408</v>
      </c>
      <c r="BQ175" s="21">
        <f>EXP(-LN(2)/25)*BQ174+(1-EXP(-LN(2)/25))/(LN(2)/25)*Calculateur!BL175*Calculateur!BN175*VLOOKUP('Données projet'!$B$11,Paramètres!$A$1:$I$89,3,0)*0.475*44/12</f>
        <v>20.802104797482908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97.306186364172319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69.396176935184343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69.396176935184343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69.396176935184343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69.396176935184343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69.396176935184343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69.396176935184343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69.396176935184343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2.4500000000000002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8.9833333333333343</v>
      </c>
      <c r="H176" s="67">
        <f t="shared" si="110"/>
        <v>220.73333333333335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69.406651915412752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8.5459999999999976</v>
      </c>
      <c r="N176" s="13">
        <f>IF('Données projet'!$A$36&gt;35,N175+M176-V175,IF(A176&lt;'Données projet'!$A$36,$K$205^A176,IF(A176='Données projet'!$A$36,'Données projet'!$B$36,N175+M176-V175)))</f>
        <v>537.1040000000005</v>
      </c>
      <c r="O176" s="13">
        <f>N176*VLOOKUP('Données projet'!$B$9,Paramètres!$A$1:$I$89,3,0)*VLOOKUP('Données projet'!$B$9,Paramètres!$A$1:$I$89,5,0)</f>
        <v>544.62345600000049</v>
      </c>
      <c r="P176" s="13">
        <f t="shared" si="141"/>
        <v>120.54988278104692</v>
      </c>
      <c r="Q176" s="20">
        <f t="shared" si="162"/>
        <v>1158.510231710324</v>
      </c>
      <c r="R176" s="59">
        <f t="shared" si="109"/>
        <v>1449.6679554001707</v>
      </c>
      <c r="S176" s="59">
        <f ca="1">AVERAGE(OFFSET($R$3,0,0,'Données projet'!$E$9+1,1))-AVERAGE(OFFSET($H$3,0,0,'Données projet'!$E$9+1,1))</f>
        <v>668.93155285055116</v>
      </c>
      <c r="T176" s="59">
        <f t="shared" si="142"/>
        <v>306.43050420339659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69.099231750595749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69.099231750595749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69.406651915412752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8.5459999999999976</v>
      </c>
      <c r="AI176" s="13">
        <f>IF('Données projet'!$A$62&gt;35,AI175+AH176-AQ175,IF(A176&lt;'Données projet'!$A$62,$AF$205^A176,IF(A176='Données projet'!$A$62,'Données projet'!$B$62,AI175+AH176-AQ175)))</f>
        <v>537.1040000000005</v>
      </c>
      <c r="AJ176" s="13">
        <f>AI176*VLOOKUP('Données projet'!$B$10,Paramètres!$A$1:$I$89,3,0)*VLOOKUP('Données projet'!$B$10,Paramètres!$A$1:$I$89,5,0)</f>
        <v>519.48698880000052</v>
      </c>
      <c r="AK176" s="13">
        <f t="shared" si="164"/>
        <v>115.62023488810887</v>
      </c>
      <c r="AL176" s="20">
        <f t="shared" si="165"/>
        <v>1106.1450812567903</v>
      </c>
      <c r="AM176" s="59">
        <f t="shared" si="113"/>
        <v>1397.302804946637</v>
      </c>
      <c r="AN176" s="59">
        <f ca="1">AVERAGE(OFFSET($AM$3,0,0,'Données projet'!$E$10+1,1))-AVERAGE(OFFSET($H$3,0,0,'Données projet'!$E$10+1,1))</f>
        <v>641.25537514609562</v>
      </c>
      <c r="AO176" s="59">
        <f t="shared" si="144"/>
        <v>294.69846357521487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65.910036439029795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65.910036439029795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69.406651915412752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6.2527760746888816E-13</v>
      </c>
      <c r="BE176" s="13">
        <f>BD176*VLOOKUP('Données projet'!$B$11,Paramètres!$A$1:$I$89,3,0)*VLOOKUP('Données projet'!$B$11,Paramètres!$A$1:$I$89,5,0)</f>
        <v>2.9262992029543964E-13</v>
      </c>
      <c r="BF176" s="13">
        <f t="shared" si="167"/>
        <v>3.8796387982050903E-12</v>
      </c>
      <c r="BG176" s="20">
        <f t="shared" si="168"/>
        <v>7.2667013513884219E-12</v>
      </c>
      <c r="BH176" s="59">
        <f t="shared" si="116"/>
        <v>291.15772368985404</v>
      </c>
      <c r="BI176" s="59">
        <f ca="1">AVERAGE(OFFSET($BH$3,0,0,'Données projet'!$E$11+1,1))-AVERAGE(OFFSET($H$3,0,0,'Données projet'!$E$11+1,1))</f>
        <v>351.46787950120347</v>
      </c>
      <c r="BJ176" s="59">
        <f t="shared" si="146"/>
        <v>283.42185695241858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75.003883190048811</v>
      </c>
      <c r="BQ176" s="21">
        <f>EXP(-LN(2)/25)*BQ175+(1-EXP(-LN(2)/25))/(LN(2)/25)*Calculateur!BL176*Calculateur!BN176*VLOOKUP('Données projet'!$B$11,Paramètres!$A$1:$I$89,3,0)*0.475*44/12</f>
        <v>20.233270147860591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95.237153337909405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69.406651915412752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69.406651915412752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69.406651915412752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69.406651915412752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69.406651915412752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69.406651915412752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69.406651915412752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2.4500000000000002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8.9833333333333343</v>
      </c>
      <c r="H177" s="67">
        <f t="shared" si="110"/>
        <v>220.73333333333335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69.416945178152758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>
        <f>VLOOKUP(A177,'Données projet'!$A$35:$I$55,2,0)</f>
        <v>545.65</v>
      </c>
      <c r="L177" s="12">
        <f>VLOOKUP(A177,'Données projet'!$A$35:$I$55,9,0)</f>
        <v>8.5459999999999976</v>
      </c>
      <c r="M177" s="12">
        <f t="array" ref="M177">INDEX(L:L,MIN(IF(ISNUMBER(L177:L373),ROW(L177:L373),"")))</f>
        <v>8.5459999999999976</v>
      </c>
      <c r="N177" s="13">
        <f>IF('Données projet'!$A$36&gt;35,N176+M177-V176,IF(A177&lt;'Données projet'!$A$36,$K$205^A177,IF(A177='Données projet'!$A$36,'Données projet'!$B$36,N176+M177-V176)))</f>
        <v>545.65000000000055</v>
      </c>
      <c r="O177" s="13">
        <f>N177*VLOOKUP('Données projet'!$B$9,Paramètres!$A$1:$I$89,3,0)*VLOOKUP('Données projet'!$B$9,Paramètres!$A$1:$I$89,5,0)</f>
        <v>553.28910000000053</v>
      </c>
      <c r="P177" s="13">
        <f t="shared" si="141"/>
        <v>122.24315587188718</v>
      </c>
      <c r="Q177" s="20">
        <f t="shared" si="162"/>
        <v>1176.5520123102044</v>
      </c>
      <c r="R177" s="59">
        <f t="shared" si="109"/>
        <v>1467.7474779634313</v>
      </c>
      <c r="S177" s="59">
        <f ca="1">AVERAGE(OFFSET($R$3,0,0,'Données projet'!$E$9+1,1))-AVERAGE(OFFSET($H$3,0,0,'Données projet'!$E$9+1,1))</f>
        <v>668.93155285055116</v>
      </c>
      <c r="T177" s="59">
        <f t="shared" si="142"/>
        <v>306.43050420339659</v>
      </c>
      <c r="U177" s="15">
        <f>IF(ISNA(VLOOKUP(A177,'Données projet'!$A$35:$I$55,3,0)),0,VLOOKUP(A177,'Données projet'!$A$35:$I$55,3,0))</f>
        <v>15</v>
      </c>
      <c r="V177" s="15">
        <f>IF(ISNA(VLOOKUP(A177,'Données projet'!$A$35:$I$55,4,0)),0,VLOOKUP(A177,'Données projet'!$A$35:$I$55,4,0))</f>
        <v>214.77</v>
      </c>
      <c r="W177" s="16">
        <f>IF(ISNA(VLOOKUP(A177,'Données projet'!$A$35:$I$55,5,0)),0%,VLOOKUP(A177,'Données projet'!$A$35:$I$55,5,0)*VLOOKUP('Données projet'!$B$9,Paramètres!$A$1:$I$89,7,0))</f>
        <v>0.25800000000000001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129.85664910947281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129.85664910947281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69.416945178152758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545.65</v>
      </c>
      <c r="AG177" s="12">
        <f>VLOOKUP(A177,'Données projet'!$A$61:$I$81,9,0)</f>
        <v>8.5459999999999976</v>
      </c>
      <c r="AH177" s="12">
        <f t="array" ref="AH177">INDEX(AG:AG,MIN(IF(ISNUMBER(AG177:AG373),ROW(AG177:AG373),"")))</f>
        <v>8.5459999999999976</v>
      </c>
      <c r="AI177" s="13">
        <f>IF('Données projet'!$A$62&gt;35,AI176+AH177-AQ176,IF(A177&lt;'Données projet'!$A$62,$AF$205^A177,IF(A177='Données projet'!$A$62,'Données projet'!$B$62,AI176+AH177-AQ176)))</f>
        <v>545.65000000000055</v>
      </c>
      <c r="AJ177" s="13">
        <f>AI177*VLOOKUP('Données projet'!$B$10,Paramètres!$A$1:$I$89,3,0)*VLOOKUP('Données projet'!$B$10,Paramètres!$A$1:$I$89,5,0)</f>
        <v>527.75268000000051</v>
      </c>
      <c r="AK177" s="13">
        <f t="shared" si="164"/>
        <v>117.24426494086524</v>
      </c>
      <c r="AL177" s="20">
        <f t="shared" si="165"/>
        <v>1123.369679105341</v>
      </c>
      <c r="AM177" s="59">
        <f t="shared" si="113"/>
        <v>1414.5651447585678</v>
      </c>
      <c r="AN177" s="59">
        <f ca="1">AVERAGE(OFFSET($AM$3,0,0,'Données projet'!$E$10+1,1))-AVERAGE(OFFSET($H$3,0,0,'Données projet'!$E$10+1,1))</f>
        <v>641.25537514609562</v>
      </c>
      <c r="AO177" s="59">
        <f t="shared" si="144"/>
        <v>294.69846357521487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0.25800000000000001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123.8632653044202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123.8632653044202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69.416945178152758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6.2527760746888816E-13</v>
      </c>
      <c r="BE177" s="13">
        <f>BD177*VLOOKUP('Données projet'!$B$11,Paramètres!$A$1:$I$89,3,0)*VLOOKUP('Données projet'!$B$11,Paramètres!$A$1:$I$89,5,0)</f>
        <v>2.9262992029543964E-13</v>
      </c>
      <c r="BF177" s="13">
        <f t="shared" si="167"/>
        <v>3.8796387982050903E-12</v>
      </c>
      <c r="BG177" s="20">
        <f t="shared" si="168"/>
        <v>7.2667013513884219E-12</v>
      </c>
      <c r="BH177" s="59">
        <f t="shared" si="116"/>
        <v>291.19546565323407</v>
      </c>
      <c r="BI177" s="59">
        <f ca="1">AVERAGE(OFFSET($BH$3,0,0,'Données projet'!$E$11+1,1))-AVERAGE(OFFSET($H$3,0,0,'Données projet'!$E$11+1,1))</f>
        <v>351.46787950120347</v>
      </c>
      <c r="BJ177" s="59">
        <f t="shared" si="146"/>
        <v>283.42185695241858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73.533102788543474</v>
      </c>
      <c r="BQ177" s="21">
        <f>EXP(-LN(2)/25)*BQ176+(1-EXP(-LN(2)/25))/(LN(2)/25)*Calculateur!BL177*Calculateur!BN177*VLOOKUP('Données projet'!$B$11,Paramètres!$A$1:$I$89,3,0)*0.475*44/12</f>
        <v>19.679990311645909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93.213093100189383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69.416945178152758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69.416945178152758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69.416945178152758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69.416945178152758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69.416945178152758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69.416945178152758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69.416945178152758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2.4500000000000002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8.9833333333333343</v>
      </c>
      <c r="H178" s="67">
        <f t="shared" si="110"/>
        <v>220.73333333333335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69.427059875796502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5.3866666666666747</v>
      </c>
      <c r="N178" s="13">
        <f>IF('Données projet'!$A$36&gt;35,N177+M178-V177,IF(A178&lt;'Données projet'!$A$36,$K$205^A178,IF(A178='Données projet'!$A$36,'Données projet'!$B$36,N177+M178-V177)))</f>
        <v>336.26666666666722</v>
      </c>
      <c r="O178" s="13">
        <f>N178*VLOOKUP('Données projet'!$B$9,Paramètres!$A$1:$I$89,3,0)*VLOOKUP('Données projet'!$B$9,Paramètres!$A$1:$I$89,5,0)</f>
        <v>340.97440000000057</v>
      </c>
      <c r="P178" s="13">
        <f t="shared" si="141"/>
        <v>79.70123008824433</v>
      </c>
      <c r="Q178" s="20">
        <f t="shared" si="162"/>
        <v>732.67672240369313</v>
      </c>
      <c r="R178" s="59">
        <f t="shared" si="109"/>
        <v>1023.9092752816136</v>
      </c>
      <c r="S178" s="59">
        <f ca="1">AVERAGE(OFFSET($R$3,0,0,'Données projet'!$E$9+1,1))-AVERAGE(OFFSET($H$3,0,0,'Données projet'!$E$9+1,1))</f>
        <v>668.93155285055116</v>
      </c>
      <c r="T178" s="59">
        <f t="shared" si="142"/>
        <v>306.43050420339659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127.31023942517119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127.31023942517119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69.427059875796502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5.3866666666666747</v>
      </c>
      <c r="AI178" s="13">
        <f>IF('Données projet'!$A$62&gt;35,AI177+AH178-AQ177,IF(A178&lt;'Données projet'!$A$62,$AF$205^A178,IF(A178='Données projet'!$A$62,'Données projet'!$B$62,AI177+AH178-AQ177)))</f>
        <v>336.26666666666722</v>
      </c>
      <c r="AJ178" s="13">
        <f>AI178*VLOOKUP('Données projet'!$B$10,Paramètres!$A$1:$I$89,3,0)*VLOOKUP('Données projet'!$B$10,Paramètres!$A$1:$I$89,5,0)</f>
        <v>325.23712000000052</v>
      </c>
      <c r="AK178" s="13">
        <f t="shared" si="164"/>
        <v>76.442006670477085</v>
      </c>
      <c r="AL178" s="20">
        <f t="shared" si="165"/>
        <v>699.59114561774857</v>
      </c>
      <c r="AM178" s="59">
        <f t="shared" si="113"/>
        <v>990.82369849566908</v>
      </c>
      <c r="AN178" s="59">
        <f ca="1">AVERAGE(OFFSET($AM$3,0,0,'Données projet'!$E$10+1,1))-AVERAGE(OFFSET($H$3,0,0,'Données projet'!$E$10+1,1))</f>
        <v>641.25537514609562</v>
      </c>
      <c r="AO178" s="59">
        <f t="shared" si="144"/>
        <v>294.69846357521487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121.43438222093249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121.43438222093249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69.427059875796502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6.2527760746888816E-13</v>
      </c>
      <c r="BE178" s="13">
        <f>BD178*VLOOKUP('Données projet'!$B$11,Paramètres!$A$1:$I$89,3,0)*VLOOKUP('Données projet'!$B$11,Paramètres!$A$1:$I$89,5,0)</f>
        <v>2.9262992029543964E-13</v>
      </c>
      <c r="BF178" s="13">
        <f t="shared" si="167"/>
        <v>3.8796387982050903E-12</v>
      </c>
      <c r="BG178" s="20">
        <f t="shared" si="168"/>
        <v>7.2667013513884219E-12</v>
      </c>
      <c r="BH178" s="59">
        <f t="shared" si="116"/>
        <v>291.23255287792779</v>
      </c>
      <c r="BI178" s="59">
        <f ca="1">AVERAGE(OFFSET($BH$3,0,0,'Données projet'!$E$11+1,1))-AVERAGE(OFFSET($H$3,0,0,'Données projet'!$E$11+1,1))</f>
        <v>351.46787950120347</v>
      </c>
      <c r="BJ178" s="59">
        <f t="shared" si="146"/>
        <v>283.42185695241858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72.091163493624194</v>
      </c>
      <c r="BQ178" s="21">
        <f>EXP(-LN(2)/25)*BQ177+(1-EXP(-LN(2)/25))/(LN(2)/25)*Calculateur!BL178*Calculateur!BN178*VLOOKUP('Données projet'!$B$11,Paramètres!$A$1:$I$89,3,0)*0.475*44/12</f>
        <v>19.141839941648239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91.233003435272437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69.427059875796502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69.427059875796502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69.427059875796502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69.427059875796502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69.427059875796502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69.427059875796502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69.427059875796502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2.4500000000000002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8.9833333333333343</v>
      </c>
      <c r="H179" s="67">
        <f t="shared" si="110"/>
        <v>220.73333333333335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69.4369991060492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5.3866666666666747</v>
      </c>
      <c r="N179" s="13">
        <f>IF('Données projet'!$A$36&gt;35,N178+M179-V178,IF(A179&lt;'Données projet'!$A$36,$K$205^A179,IF(A179='Données projet'!$A$36,'Données projet'!$B$36,N178+M179-V178)))</f>
        <v>341.65333333333388</v>
      </c>
      <c r="O179" s="13">
        <f>N179*VLOOKUP('Données projet'!$B$9,Paramètres!$A$1:$I$89,3,0)*VLOOKUP('Données projet'!$B$9,Paramètres!$A$1:$I$89,5,0)</f>
        <v>346.43648000000053</v>
      </c>
      <c r="P179" s="13">
        <f t="shared" si="141"/>
        <v>80.828309002667666</v>
      </c>
      <c r="Q179" s="20">
        <f t="shared" si="162"/>
        <v>744.15284084631367</v>
      </c>
      <c r="R179" s="59">
        <f t="shared" si="109"/>
        <v>1035.4218375684941</v>
      </c>
      <c r="S179" s="59">
        <f ca="1">AVERAGE(OFFSET($R$3,0,0,'Données projet'!$E$9+1,1))-AVERAGE(OFFSET($H$3,0,0,'Données projet'!$E$9+1,1))</f>
        <v>668.93155285055116</v>
      </c>
      <c r="T179" s="59">
        <f t="shared" si="142"/>
        <v>306.43050420339659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124.81376328162217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124.81376328162217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69.4369991060492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5.3866666666666747</v>
      </c>
      <c r="AI179" s="13">
        <f>IF('Données projet'!$A$62&gt;35,AI178+AH179-AQ178,IF(A179&lt;'Données projet'!$A$62,$AF$205^A179,IF(A179='Données projet'!$A$62,'Données projet'!$B$62,AI178+AH179-AQ178)))</f>
        <v>341.65333333333388</v>
      </c>
      <c r="AJ179" s="13">
        <f>AI179*VLOOKUP('Données projet'!$B$10,Paramètres!$A$1:$I$89,3,0)*VLOOKUP('Données projet'!$B$10,Paramètres!$A$1:$I$89,5,0)</f>
        <v>330.44710400000054</v>
      </c>
      <c r="AK179" s="13">
        <f t="shared" si="164"/>
        <v>77.522995932488612</v>
      </c>
      <c r="AL179" s="20">
        <f t="shared" si="165"/>
        <v>710.54792404908528</v>
      </c>
      <c r="AM179" s="59">
        <f t="shared" si="113"/>
        <v>1001.8169207712657</v>
      </c>
      <c r="AN179" s="59">
        <f ca="1">AVERAGE(OFFSET($AM$3,0,0,'Données projet'!$E$10+1,1))-AVERAGE(OFFSET($H$3,0,0,'Données projet'!$E$10+1,1))</f>
        <v>641.25537514609562</v>
      </c>
      <c r="AO179" s="59">
        <f t="shared" si="144"/>
        <v>294.69846357521487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119.05312805323959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119.05312805323959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69.4369991060492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6.2527760746888816E-13</v>
      </c>
      <c r="BE179" s="13">
        <f>BD179*VLOOKUP('Données projet'!$B$11,Paramètres!$A$1:$I$89,3,0)*VLOOKUP('Données projet'!$B$11,Paramètres!$A$1:$I$89,5,0)</f>
        <v>2.9262992029543964E-13</v>
      </c>
      <c r="BF179" s="13">
        <f t="shared" si="167"/>
        <v>3.8796387982050903E-12</v>
      </c>
      <c r="BG179" s="20">
        <f t="shared" si="168"/>
        <v>7.2667013513884219E-12</v>
      </c>
      <c r="BH179" s="59">
        <f t="shared" si="116"/>
        <v>291.26899672218769</v>
      </c>
      <c r="BI179" s="59">
        <f ca="1">AVERAGE(OFFSET($BH$3,0,0,'Données projet'!$E$11+1,1))-AVERAGE(OFFSET($H$3,0,0,'Données projet'!$E$11+1,1))</f>
        <v>351.46787950120347</v>
      </c>
      <c r="BJ179" s="59">
        <f t="shared" si="146"/>
        <v>283.42185695241858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70.677499748782154</v>
      </c>
      <c r="BQ179" s="21">
        <f>EXP(-LN(2)/25)*BQ178+(1-EXP(-LN(2)/25))/(LN(2)/25)*Calculateur!BL179*Calculateur!BN179*VLOOKUP('Données projet'!$B$11,Paramètres!$A$1:$I$89,3,0)*0.475*44/12</f>
        <v>18.618405321818255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89.295905070600412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69.4369991060492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69.4369991060492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69.4369991060492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69.4369991060492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69.4369991060492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69.4369991060492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69.4369991060492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2.4500000000000002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8.9833333333333343</v>
      </c>
      <c r="H180" s="67">
        <f t="shared" si="110"/>
        <v>220.73333333333335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69.446765912877822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>
        <f>VLOOKUP(A180,'Données projet'!$A$35:$I$55,2,0)</f>
        <v>347.04</v>
      </c>
      <c r="L180" s="12">
        <f>VLOOKUP(A180,'Données projet'!$A$35:$I$55,9,0)</f>
        <v>5.3866666666666747</v>
      </c>
      <c r="M180" s="12">
        <f t="array" ref="M180">INDEX(L:L,MIN(IF(ISNUMBER(L180:L376),ROW(L180:L376),"")))</f>
        <v>5.3866666666666747</v>
      </c>
      <c r="N180" s="13">
        <f>IF('Données projet'!$A$36&gt;35,N179+M180-V179,IF(A180&lt;'Données projet'!$A$36,$K$205^A180,IF(A180='Données projet'!$A$36,'Données projet'!$B$36,N179+M180-V179)))</f>
        <v>347.04000000000053</v>
      </c>
      <c r="O180" s="13">
        <f>N180*VLOOKUP('Données projet'!$B$9,Paramètres!$A$1:$I$89,3,0)*VLOOKUP('Données projet'!$B$9,Paramètres!$A$1:$I$89,5,0)</f>
        <v>351.8985600000006</v>
      </c>
      <c r="P180" s="13">
        <f t="shared" si="141"/>
        <v>81.953321289050805</v>
      </c>
      <c r="Q180" s="20">
        <f t="shared" si="162"/>
        <v>755.62535991176446</v>
      </c>
      <c r="R180" s="59">
        <f t="shared" si="109"/>
        <v>1046.930168258983</v>
      </c>
      <c r="S180" s="59">
        <f ca="1">AVERAGE(OFFSET($R$3,0,0,'Données projet'!$E$9+1,1))-AVERAGE(OFFSET($H$3,0,0,'Données projet'!$E$9+1,1))</f>
        <v>668.93155285055116</v>
      </c>
      <c r="T180" s="59">
        <f t="shared" si="142"/>
        <v>306.43050420339659</v>
      </c>
      <c r="U180" s="15">
        <f>IF(ISNA(VLOOKUP(A180,'Données projet'!$A$35:$I$55,3,0)),0,VLOOKUP(A180,'Données projet'!$A$35:$I$55,3,0))</f>
        <v>16</v>
      </c>
      <c r="V180" s="15">
        <f>IF(ISNA(VLOOKUP(A180,'Données projet'!$A$35:$I$55,4,0)),0,VLOOKUP(A180,'Données projet'!$A$35:$I$55,4,0))</f>
        <v>115.19</v>
      </c>
      <c r="W180" s="16">
        <f>IF(ISNA(VLOOKUP(A180,'Données projet'!$A$35:$I$55,5,0)),0%,VLOOKUP(A180,'Données projet'!$A$35:$I$55,5,0)*VLOOKUP('Données projet'!$B$9,Paramètres!$A$1:$I$89,7,0))</f>
        <v>0.25800000000000001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155.67968677975784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155.67968677975784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69.446765912877822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347.04</v>
      </c>
      <c r="AG180" s="12">
        <f>VLOOKUP(A180,'Données projet'!$A$61:$I$81,9,0)</f>
        <v>5.3866666666666747</v>
      </c>
      <c r="AH180" s="12">
        <f t="array" ref="AH180">INDEX(AG:AG,MIN(IF(ISNUMBER(AG180:AG376),ROW(AG180:AG376),"")))</f>
        <v>5.3866666666666747</v>
      </c>
      <c r="AI180" s="13">
        <f>IF('Données projet'!$A$62&gt;35,AI179+AH180-AQ179,IF(A180&lt;'Données projet'!$A$62,$AF$205^A180,IF(A180='Données projet'!$A$62,'Données projet'!$B$62,AI179+AH180-AQ179)))</f>
        <v>347.04000000000053</v>
      </c>
      <c r="AJ180" s="13">
        <f>AI180*VLOOKUP('Données projet'!$B$10,Paramètres!$A$1:$I$89,3,0)*VLOOKUP('Données projet'!$B$10,Paramètres!$A$1:$I$89,5,0)</f>
        <v>335.6570880000005</v>
      </c>
      <c r="AK180" s="13">
        <f t="shared" si="164"/>
        <v>78.602003077106744</v>
      </c>
      <c r="AL180" s="20">
        <f t="shared" si="165"/>
        <v>721.50125029262847</v>
      </c>
      <c r="AM180" s="59">
        <f t="shared" si="113"/>
        <v>1012.8060586398472</v>
      </c>
      <c r="AN180" s="59">
        <f ca="1">AVERAGE(OFFSET($AM$3,0,0,'Données projet'!$E$10+1,1))-AVERAGE(OFFSET($H$3,0,0,'Données projet'!$E$10+1,1))</f>
        <v>641.25537514609562</v>
      </c>
      <c r="AO180" s="59">
        <f t="shared" si="144"/>
        <v>294.69846357521487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0.25800000000000001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148.49447046684594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148.49447046684594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69.446765912877822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6.2527760746888816E-13</v>
      </c>
      <c r="BE180" s="13">
        <f>BD180*VLOOKUP('Données projet'!$B$11,Paramètres!$A$1:$I$89,3,0)*VLOOKUP('Données projet'!$B$11,Paramètres!$A$1:$I$89,5,0)</f>
        <v>2.9262992029543964E-13</v>
      </c>
      <c r="BF180" s="13">
        <f t="shared" si="167"/>
        <v>3.8796387982050903E-12</v>
      </c>
      <c r="BG180" s="20">
        <f t="shared" si="168"/>
        <v>7.2667013513884219E-12</v>
      </c>
      <c r="BH180" s="59">
        <f t="shared" si="116"/>
        <v>291.30480834722596</v>
      </c>
      <c r="BI180" s="59">
        <f ca="1">AVERAGE(OFFSET($BH$3,0,0,'Données projet'!$E$11+1,1))-AVERAGE(OFFSET($H$3,0,0,'Données projet'!$E$11+1,1))</f>
        <v>351.46787950120347</v>
      </c>
      <c r="BJ180" s="59">
        <f t="shared" si="146"/>
        <v>283.42185695241858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69.291557087726716</v>
      </c>
      <c r="BQ180" s="21">
        <f>EXP(-LN(2)/25)*BQ179+(1-EXP(-LN(2)/25))/(LN(2)/25)*Calculateur!BL180*Calculateur!BN180*VLOOKUP('Données projet'!$B$11,Paramètres!$A$1:$I$89,3,0)*0.475*44/12</f>
        <v>18.10928404919375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87.400841136920462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69.446765912877822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69.446765912877822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69.446765912877822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69.446765912877822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69.446765912877822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69.446765912877822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69.446765912877822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2.4500000000000002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8.9833333333333343</v>
      </c>
      <c r="H181" s="67">
        <f t="shared" si="110"/>
        <v>220.73333333333335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69.456363287443253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3.2566666666666606</v>
      </c>
      <c r="N181" s="13">
        <f>IF('Données projet'!$A$36&gt;35,N180+M181-V180,IF(A181&lt;'Données projet'!$A$36,$K$205^A181,IF(A181='Données projet'!$A$36,'Données projet'!$B$36,N180+M181-V180)))</f>
        <v>235.10666666666719</v>
      </c>
      <c r="O181" s="13">
        <f>N181*VLOOKUP('Données projet'!$B$9,Paramètres!$A$1:$I$89,3,0)*VLOOKUP('Données projet'!$B$9,Paramètres!$A$1:$I$89,5,0)</f>
        <v>238.39816000000053</v>
      </c>
      <c r="P181" s="13">
        <f t="shared" si="141"/>
        <v>58.09475259380514</v>
      </c>
      <c r="Q181" s="20">
        <f t="shared" si="162"/>
        <v>516.39182276754491</v>
      </c>
      <c r="R181" s="59">
        <f t="shared" si="109"/>
        <v>807.73182148817023</v>
      </c>
      <c r="S181" s="59">
        <f ca="1">AVERAGE(OFFSET($R$3,0,0,'Données projet'!$E$9+1,1))-AVERAGE(OFFSET($H$3,0,0,'Données projet'!$E$9+1,1))</f>
        <v>668.93155285055116</v>
      </c>
      <c r="T181" s="59">
        <f t="shared" si="142"/>
        <v>306.43050420339659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152.62690307723969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152.62690307723969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69.456363287443253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3.2566666666666606</v>
      </c>
      <c r="AI181" s="13">
        <f>IF('Données projet'!$A$62&gt;35,AI180+AH181-AQ180,IF(A181&lt;'Données projet'!$A$62,$AF$205^A181,IF(A181='Données projet'!$A$62,'Données projet'!$B$62,AI180+AH181-AQ180)))</f>
        <v>235.10666666666719</v>
      </c>
      <c r="AJ181" s="13">
        <f>AI181*VLOOKUP('Données projet'!$B$10,Paramètres!$A$1:$I$89,3,0)*VLOOKUP('Données projet'!$B$10,Paramètres!$A$1:$I$89,5,0)</f>
        <v>227.39516800000052</v>
      </c>
      <c r="AK181" s="13">
        <f t="shared" si="164"/>
        <v>55.719083135586125</v>
      </c>
      <c r="AL181" s="20">
        <f t="shared" si="165"/>
        <v>493.09065406114672</v>
      </c>
      <c r="AM181" s="59">
        <f t="shared" si="113"/>
        <v>784.43065278177198</v>
      </c>
      <c r="AN181" s="59">
        <f ca="1">AVERAGE(OFFSET($AM$3,0,0,'Données projet'!$E$10+1,1))-AVERAGE(OFFSET($H$3,0,0,'Données projet'!$E$10+1,1))</f>
        <v>641.25537514609562</v>
      </c>
      <c r="AO181" s="59">
        <f t="shared" si="144"/>
        <v>294.69846357521487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145.58258447367476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145.58258447367476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69.456363287443253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6.2527760746888816E-13</v>
      </c>
      <c r="BE181" s="13">
        <f>BD181*VLOOKUP('Données projet'!$B$11,Paramètres!$A$1:$I$89,3,0)*VLOOKUP('Données projet'!$B$11,Paramètres!$A$1:$I$89,5,0)</f>
        <v>2.9262992029543964E-13</v>
      </c>
      <c r="BF181" s="13">
        <f t="shared" si="167"/>
        <v>3.8796387982050903E-12</v>
      </c>
      <c r="BG181" s="20">
        <f t="shared" si="168"/>
        <v>7.2667013513884219E-12</v>
      </c>
      <c r="BH181" s="59">
        <f t="shared" si="116"/>
        <v>291.33999872063254</v>
      </c>
      <c r="BI181" s="59">
        <f ca="1">AVERAGE(OFFSET($BH$3,0,0,'Données projet'!$E$11+1,1))-AVERAGE(OFFSET($H$3,0,0,'Données projet'!$E$11+1,1))</f>
        <v>351.46787950120347</v>
      </c>
      <c r="BJ181" s="59">
        <f t="shared" si="146"/>
        <v>283.42185695241858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67.932791916913033</v>
      </c>
      <c r="BQ181" s="21">
        <f>EXP(-LN(2)/25)*BQ180+(1-EXP(-LN(2)/25))/(LN(2)/25)*Calculateur!BL181*Calculateur!BN181*VLOOKUP('Données projet'!$B$11,Paramètres!$A$1:$I$89,3,0)*0.475*44/12</f>
        <v>17.614084724542689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85.546876641455725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69.456363287443253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69.456363287443253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69.456363287443253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69.456363287443253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69.456363287443253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69.456363287443253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69.456363287443253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2.4500000000000002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8.9833333333333343</v>
      </c>
      <c r="H182" s="67">
        <f t="shared" si="110"/>
        <v>220.73333333333335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69.465794169016505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3.2566666666666606</v>
      </c>
      <c r="N182" s="13">
        <f>IF('Données projet'!$A$36&gt;35,N181+M182-V181,IF(A182&lt;'Données projet'!$A$36,$K$205^A182,IF(A182='Données projet'!$A$36,'Données projet'!$B$36,N181+M182-V181)))</f>
        <v>238.36333333333386</v>
      </c>
      <c r="O182" s="13">
        <f>N182*VLOOKUP('Données projet'!$B$9,Paramètres!$A$1:$I$89,3,0)*VLOOKUP('Données projet'!$B$9,Paramètres!$A$1:$I$89,5,0)</f>
        <v>241.70042000000055</v>
      </c>
      <c r="P182" s="13">
        <f t="shared" si="141"/>
        <v>58.805233664472574</v>
      </c>
      <c r="Q182" s="20">
        <f t="shared" si="162"/>
        <v>523.38068013229065</v>
      </c>
      <c r="R182" s="59">
        <f t="shared" si="109"/>
        <v>814.75525875201788</v>
      </c>
      <c r="S182" s="59">
        <f ca="1">AVERAGE(OFFSET($R$3,0,0,'Données projet'!$E$9+1,1))-AVERAGE(OFFSET($H$3,0,0,'Données projet'!$E$9+1,1))</f>
        <v>668.93155285055116</v>
      </c>
      <c r="T182" s="59">
        <f t="shared" si="142"/>
        <v>306.43050420339659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149.6339826011137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149.6339826011137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69.465794169016505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3.2566666666666606</v>
      </c>
      <c r="AI182" s="13">
        <f>IF('Données projet'!$A$62&gt;35,AI181+AH182-AQ181,IF(A182&lt;'Données projet'!$A$62,$AF$205^A182,IF(A182='Données projet'!$A$62,'Données projet'!$B$62,AI181+AH182-AQ181)))</f>
        <v>238.36333333333386</v>
      </c>
      <c r="AJ182" s="13">
        <f>AI182*VLOOKUP('Données projet'!$B$10,Paramètres!$A$1:$I$89,3,0)*VLOOKUP('Données projet'!$B$10,Paramètres!$A$1:$I$89,5,0)</f>
        <v>230.54501600000052</v>
      </c>
      <c r="AK182" s="13">
        <f t="shared" si="164"/>
        <v>56.400510494775887</v>
      </c>
      <c r="AL182" s="20">
        <f t="shared" si="165"/>
        <v>499.76345864506885</v>
      </c>
      <c r="AM182" s="59">
        <f t="shared" si="113"/>
        <v>791.13803726479603</v>
      </c>
      <c r="AN182" s="59">
        <f ca="1">AVERAGE(OFFSET($AM$3,0,0,'Données projet'!$E$10+1,1))-AVERAGE(OFFSET($H$3,0,0,'Données projet'!$E$10+1,1))</f>
        <v>641.25537514609562</v>
      </c>
      <c r="AO182" s="59">
        <f t="shared" si="144"/>
        <v>294.69846357521487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142.7277987887546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142.7277987887546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69.465794169016505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6.2527760746888816E-13</v>
      </c>
      <c r="BE182" s="13">
        <f>BD182*VLOOKUP('Données projet'!$B$11,Paramètres!$A$1:$I$89,3,0)*VLOOKUP('Données projet'!$B$11,Paramètres!$A$1:$I$89,5,0)</f>
        <v>2.9262992029543964E-13</v>
      </c>
      <c r="BF182" s="13">
        <f t="shared" si="167"/>
        <v>3.8796387982050903E-12</v>
      </c>
      <c r="BG182" s="20">
        <f t="shared" si="168"/>
        <v>7.2667013513884219E-12</v>
      </c>
      <c r="BH182" s="59">
        <f t="shared" si="116"/>
        <v>291.37457861973445</v>
      </c>
      <c r="BI182" s="59">
        <f ca="1">AVERAGE(OFFSET($BH$3,0,0,'Données projet'!$E$11+1,1))-AVERAGE(OFFSET($H$3,0,0,'Données projet'!$E$11+1,1))</f>
        <v>351.46787950120347</v>
      </c>
      <c r="BJ182" s="59">
        <f t="shared" si="146"/>
        <v>283.42185695241858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66.600671302334078</v>
      </c>
      <c r="BQ182" s="21">
        <f>EXP(-LN(2)/25)*BQ181+(1-EXP(-LN(2)/25))/(LN(2)/25)*Calculateur!BL182*Calculateur!BN182*VLOOKUP('Données projet'!$B$11,Paramètres!$A$1:$I$89,3,0)*0.475*44/12</f>
        <v>17.132426651465611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83.733097953799685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69.465794169016505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69.465794169016505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69.465794169016505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69.465794169016505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69.465794169016505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69.465794169016505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69.465794169016505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2.4500000000000002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8.9833333333333343</v>
      </c>
      <c r="H183" s="67">
        <f t="shared" si="110"/>
        <v>220.73333333333335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69.475061445878765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>
        <f>VLOOKUP(A183,'Données projet'!$A$35:$I$55,2,0)</f>
        <v>241.62</v>
      </c>
      <c r="L183" s="12">
        <f>VLOOKUP(A183,'Données projet'!$A$35:$I$55,9,0)</f>
        <v>3.2566666666666606</v>
      </c>
      <c r="M183" s="12">
        <f t="array" ref="M183">INDEX(L:L,MIN(IF(ISNUMBER(L183:L379),ROW(L183:L379),"")))</f>
        <v>3.2566666666666606</v>
      </c>
      <c r="N183" s="13">
        <f>IF('Données projet'!$A$36&gt;35,N182+M183-V182,IF(A183&lt;'Données projet'!$A$36,$K$205^A183,IF(A183='Données projet'!$A$36,'Données projet'!$B$36,N182+M183-V182)))</f>
        <v>241.62000000000052</v>
      </c>
      <c r="O183" s="13">
        <f>N183*VLOOKUP('Données projet'!$B$9,Paramètres!$A$1:$I$89,3,0)*VLOOKUP('Données projet'!$B$9,Paramètres!$A$1:$I$89,5,0)</f>
        <v>245.00268000000054</v>
      </c>
      <c r="P183" s="13">
        <f t="shared" si="141"/>
        <v>59.514585697688133</v>
      </c>
      <c r="Q183" s="20">
        <f t="shared" si="162"/>
        <v>530.36757109014115</v>
      </c>
      <c r="R183" s="59">
        <f t="shared" si="109"/>
        <v>821.77612972502993</v>
      </c>
      <c r="S183" s="59">
        <f ca="1">AVERAGE(OFFSET($R$3,0,0,'Données projet'!$E$9+1,1))-AVERAGE(OFFSET($H$3,0,0,'Données projet'!$E$9+1,1))</f>
        <v>668.93155285055116</v>
      </c>
      <c r="T183" s="59">
        <f t="shared" si="142"/>
        <v>306.43050420339659</v>
      </c>
      <c r="U183" s="15">
        <f>IF(ISNA(VLOOKUP(A183,'Données projet'!$A$35:$I$55,3,0)),0,VLOOKUP(A183,'Données projet'!$A$35:$I$55,3,0))</f>
        <v>17</v>
      </c>
      <c r="V183" s="15">
        <f>IF(ISNA(VLOOKUP(A183,'Données projet'!$A$35:$I$55,4,0)),0,VLOOKUP(A183,'Données projet'!$A$35:$I$55,4,0))</f>
        <v>77.72</v>
      </c>
      <c r="W183" s="16">
        <f>IF(ISNA(VLOOKUP(A183,'Données projet'!$A$35:$I$55,5,0)),0%,VLOOKUP(A183,'Données projet'!$A$35:$I$55,5,0)*VLOOKUP('Données projet'!$B$9,Paramètres!$A$1:$I$89,7,0))</f>
        <v>0.25800000000000001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169.17671098185198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169.17671098185198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69.475061445878765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241.62</v>
      </c>
      <c r="AG183" s="12">
        <f>VLOOKUP(A183,'Données projet'!$A$61:$I$81,9,0)</f>
        <v>3.2566666666666606</v>
      </c>
      <c r="AH183" s="12">
        <f t="array" ref="AH183">INDEX(AG:AG,MIN(IF(ISNUMBER(AG183:AG379),ROW(AG183:AG379),"")))</f>
        <v>3.2566666666666606</v>
      </c>
      <c r="AI183" s="13">
        <f>IF('Données projet'!$A$62&gt;35,AI182+AH183-AQ182,IF(A183&lt;'Données projet'!$A$62,$AF$205^A183,IF(A183='Données projet'!$A$62,'Données projet'!$B$62,AI182+AH183-AQ182)))</f>
        <v>241.62000000000052</v>
      </c>
      <c r="AJ183" s="13">
        <f>AI183*VLOOKUP('Données projet'!$B$10,Paramètres!$A$1:$I$89,3,0)*VLOOKUP('Données projet'!$B$10,Paramètres!$A$1:$I$89,5,0)</f>
        <v>233.69486400000051</v>
      </c>
      <c r="AK183" s="13">
        <f t="shared" si="164"/>
        <v>57.080854986256675</v>
      </c>
      <c r="AL183" s="20">
        <f t="shared" si="165"/>
        <v>506.43437723439791</v>
      </c>
      <c r="AM183" s="59">
        <f t="shared" si="113"/>
        <v>797.84293586928675</v>
      </c>
      <c r="AN183" s="59">
        <f ca="1">AVERAGE(OFFSET($AM$3,0,0,'Données projet'!$E$10+1,1))-AVERAGE(OFFSET($H$3,0,0,'Données projet'!$E$10+1,1))</f>
        <v>641.25537514609562</v>
      </c>
      <c r="AO183" s="59">
        <f t="shared" si="144"/>
        <v>294.69846357521487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0.25800000000000001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161.36855509038188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161.36855509038188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69.475061445878765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6.2527760746888816E-13</v>
      </c>
      <c r="BE183" s="13">
        <f>BD183*VLOOKUP('Données projet'!$B$11,Paramètres!$A$1:$I$89,3,0)*VLOOKUP('Données projet'!$B$11,Paramètres!$A$1:$I$89,5,0)</f>
        <v>2.9262992029543964E-13</v>
      </c>
      <c r="BF183" s="13">
        <f t="shared" si="167"/>
        <v>3.8796387982050903E-12</v>
      </c>
      <c r="BG183" s="20">
        <f t="shared" si="168"/>
        <v>7.2667013513884219E-12</v>
      </c>
      <c r="BH183" s="59">
        <f t="shared" si="116"/>
        <v>291.40855863489611</v>
      </c>
      <c r="BI183" s="59">
        <f ca="1">AVERAGE(OFFSET($BH$3,0,0,'Données projet'!$E$11+1,1))-AVERAGE(OFFSET($H$3,0,0,'Données projet'!$E$11+1,1))</f>
        <v>351.46787950120347</v>
      </c>
      <c r="BJ183" s="59">
        <f t="shared" si="146"/>
        <v>283.42185695241858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65.294672760493668</v>
      </c>
      <c r="BQ183" s="21">
        <f>EXP(-LN(2)/25)*BQ182+(1-EXP(-LN(2)/25))/(LN(2)/25)*Calculateur!BL183*Calculateur!BN183*VLOOKUP('Données projet'!$B$11,Paramètres!$A$1:$I$89,3,0)*0.475*44/12</f>
        <v>16.663939543726123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81.958612304219798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69.475061445878765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69.475061445878765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69.475061445878765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69.475061445878765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69.475061445878765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69.475061445878765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69.475061445878765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2.4500000000000002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8.9833333333333343</v>
      </c>
      <c r="H184" s="67">
        <f t="shared" si="110"/>
        <v>220.73333333333335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69.484167956205965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1.9533333333333285</v>
      </c>
      <c r="N184" s="13">
        <f>IF('Données projet'!$A$36&gt;35,N183+M184-V183,IF(A184&lt;'Données projet'!$A$36,$K$205^A184,IF(A184='Données projet'!$A$36,'Données projet'!$B$36,N183+M184-V183)))</f>
        <v>165.85333333333384</v>
      </c>
      <c r="O184" s="13">
        <f>N184*VLOOKUP('Données projet'!$B$9,Paramètres!$A$1:$I$89,3,0)*VLOOKUP('Données projet'!$B$9,Paramètres!$A$1:$I$89,5,0)</f>
        <v>168.17528000000053</v>
      </c>
      <c r="P184" s="13">
        <f t="shared" si="141"/>
        <v>42.681090680670735</v>
      </c>
      <c r="Q184" s="20">
        <f t="shared" si="162"/>
        <v>367.24151226883578</v>
      </c>
      <c r="R184" s="59">
        <f t="shared" si="109"/>
        <v>658.68346144159091</v>
      </c>
      <c r="S184" s="59">
        <f ca="1">AVERAGE(OFFSET($R$3,0,0,'Données projet'!$E$9+1,1))-AVERAGE(OFFSET($H$3,0,0,'Données projet'!$E$9+1,1))</f>
        <v>668.93155285055116</v>
      </c>
      <c r="T184" s="59">
        <f t="shared" si="142"/>
        <v>306.43050420339659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165.85925886710262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165.85925886710262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69.484167956205965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1.9533333333333285</v>
      </c>
      <c r="AI184" s="13">
        <f>IF('Données projet'!$A$62&gt;35,AI183+AH184-AQ183,IF(A184&lt;'Données projet'!$A$62,$AF$205^A184,IF(A184='Données projet'!$A$62,'Données projet'!$B$62,AI183+AH184-AQ183)))</f>
        <v>165.85333333333384</v>
      </c>
      <c r="AJ184" s="13">
        <f>AI184*VLOOKUP('Données projet'!$B$10,Paramètres!$A$1:$I$89,3,0)*VLOOKUP('Données projet'!$B$10,Paramètres!$A$1:$I$89,5,0)</f>
        <v>160.41334400000048</v>
      </c>
      <c r="AK184" s="13">
        <f t="shared" si="164"/>
        <v>40.935732295508117</v>
      </c>
      <c r="AL184" s="20">
        <f t="shared" si="165"/>
        <v>350.68297454801086</v>
      </c>
      <c r="AM184" s="59">
        <f t="shared" si="113"/>
        <v>642.12492372076599</v>
      </c>
      <c r="AN184" s="59">
        <f ca="1">AVERAGE(OFFSET($AM$3,0,0,'Données projet'!$E$10+1,1))-AVERAGE(OFFSET($H$3,0,0,'Données projet'!$E$10+1,1))</f>
        <v>641.25537514609562</v>
      </c>
      <c r="AO184" s="59">
        <f t="shared" si="144"/>
        <v>294.69846357521487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158.20421615015943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158.20421615015943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69.484167956205965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6.2527760746888816E-13</v>
      </c>
      <c r="BE184" s="13">
        <f>BD184*VLOOKUP('Données projet'!$B$11,Paramètres!$A$1:$I$89,3,0)*VLOOKUP('Données projet'!$B$11,Paramètres!$A$1:$I$89,5,0)</f>
        <v>2.9262992029543964E-13</v>
      </c>
      <c r="BF184" s="13">
        <f t="shared" si="167"/>
        <v>3.8796387982050903E-12</v>
      </c>
      <c r="BG184" s="20">
        <f t="shared" si="168"/>
        <v>7.2667013513884219E-12</v>
      </c>
      <c r="BH184" s="59">
        <f t="shared" si="116"/>
        <v>291.44194917276246</v>
      </c>
      <c r="BI184" s="59">
        <f ca="1">AVERAGE(OFFSET($BH$3,0,0,'Données projet'!$E$11+1,1))-AVERAGE(OFFSET($H$3,0,0,'Données projet'!$E$11+1,1))</f>
        <v>351.46787950120347</v>
      </c>
      <c r="BJ184" s="59">
        <f t="shared" si="146"/>
        <v>283.42185695241858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64.014284053478292</v>
      </c>
      <c r="BQ184" s="21">
        <f>EXP(-LN(2)/25)*BQ183+(1-EXP(-LN(2)/25))/(LN(2)/25)*Calculateur!BL184*Calculateur!BN184*VLOOKUP('Données projet'!$B$11,Paramètres!$A$1:$I$89,3,0)*0.475*44/12</f>
        <v>16.208263240584436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80.222547294062736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69.484167956205965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69.484167956205965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69.484167956205965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69.484167956205965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69.484167956205965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69.484167956205965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69.484167956205965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2.4500000000000002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8.9833333333333343</v>
      </c>
      <c r="H185" s="67">
        <f t="shared" si="110"/>
        <v>220.73333333333335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69.493116488938114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1.9533333333333285</v>
      </c>
      <c r="N185" s="13">
        <f>IF('Données projet'!$A$36&gt;35,N184+M185-V184,IF(A185&lt;'Données projet'!$A$36,$K$205^A185,IF(A185='Données projet'!$A$36,'Données projet'!$B$36,N184+M185-V184)))</f>
        <v>167.80666666666716</v>
      </c>
      <c r="O185" s="13">
        <f>N185*VLOOKUP('Données projet'!$B$9,Paramètres!$A$1:$I$89,3,0)*VLOOKUP('Données projet'!$B$9,Paramètres!$A$1:$I$89,5,0)</f>
        <v>170.1559600000005</v>
      </c>
      <c r="P185" s="13">
        <f t="shared" si="141"/>
        <v>43.124951572816009</v>
      </c>
      <c r="Q185" s="20">
        <f t="shared" si="162"/>
        <v>371.46425432265534</v>
      </c>
      <c r="R185" s="59">
        <f t="shared" si="109"/>
        <v>662.93901478209511</v>
      </c>
      <c r="S185" s="59">
        <f ca="1">AVERAGE(OFFSET($R$3,0,0,'Données projet'!$E$9+1,1))-AVERAGE(OFFSET($H$3,0,0,'Données projet'!$E$9+1,1))</f>
        <v>668.93155285055116</v>
      </c>
      <c r="T185" s="59">
        <f t="shared" si="142"/>
        <v>306.43050420339659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162.60685996487751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162.60685996487751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69.493116488938114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1.9533333333333285</v>
      </c>
      <c r="AI185" s="13">
        <f>IF('Données projet'!$A$62&gt;35,AI184+AH185-AQ184,IF(A185&lt;'Données projet'!$A$62,$AF$205^A185,IF(A185='Données projet'!$A$62,'Données projet'!$B$62,AI184+AH185-AQ184)))</f>
        <v>167.80666666666716</v>
      </c>
      <c r="AJ185" s="13">
        <f>AI185*VLOOKUP('Données projet'!$B$10,Paramètres!$A$1:$I$89,3,0)*VLOOKUP('Données projet'!$B$10,Paramètres!$A$1:$I$89,5,0)</f>
        <v>162.30260800000048</v>
      </c>
      <c r="AK185" s="13">
        <f t="shared" si="164"/>
        <v>41.361442378534058</v>
      </c>
      <c r="AL185" s="20">
        <f t="shared" si="165"/>
        <v>354.71488774261428</v>
      </c>
      <c r="AM185" s="59">
        <f t="shared" si="113"/>
        <v>646.18964820205406</v>
      </c>
      <c r="AN185" s="59">
        <f ca="1">AVERAGE(OFFSET($AM$3,0,0,'Données projet'!$E$10+1,1))-AVERAGE(OFFSET($H$3,0,0,'Données projet'!$E$10+1,1))</f>
        <v>641.25537514609562</v>
      </c>
      <c r="AO185" s="59">
        <f t="shared" si="144"/>
        <v>294.69846357521487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155.10192796649855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155.10192796649855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69.493116488938114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6.2527760746888816E-13</v>
      </c>
      <c r="BE185" s="13">
        <f>BD185*VLOOKUP('Données projet'!$B$11,Paramètres!$A$1:$I$89,3,0)*VLOOKUP('Données projet'!$B$11,Paramètres!$A$1:$I$89,5,0)</f>
        <v>2.9262992029543964E-13</v>
      </c>
      <c r="BF185" s="13">
        <f t="shared" si="167"/>
        <v>3.8796387982050903E-12</v>
      </c>
      <c r="BG185" s="20">
        <f t="shared" si="168"/>
        <v>7.2667013513884219E-12</v>
      </c>
      <c r="BH185" s="59">
        <f t="shared" si="116"/>
        <v>291.47476045944705</v>
      </c>
      <c r="BI185" s="59">
        <f ca="1">AVERAGE(OFFSET($BH$3,0,0,'Données projet'!$E$11+1,1))-AVERAGE(OFFSET($H$3,0,0,'Données projet'!$E$11+1,1))</f>
        <v>351.46787950120347</v>
      </c>
      <c r="BJ185" s="59">
        <f t="shared" si="146"/>
        <v>283.42185695241858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62.759002988047499</v>
      </c>
      <c r="BQ185" s="21">
        <f>EXP(-LN(2)/25)*BQ184+(1-EXP(-LN(2)/25))/(LN(2)/25)*Calculateur!BL185*Calculateur!BN185*VLOOKUP('Données projet'!$B$11,Paramètres!$A$1:$I$89,3,0)*0.475*44/12</f>
        <v>15.765047429915136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78.524050417962627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69.493116488938114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69.493116488938114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69.493116488938114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69.493116488938114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69.493116488938114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69.493116488938114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69.493116488938114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2.4500000000000002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8.9833333333333343</v>
      </c>
      <c r="H186" s="67">
        <f t="shared" si="110"/>
        <v>220.73333333333335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69.501909784633284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>
        <f>VLOOKUP(A186,'Données projet'!$A$35:$I$55,2,0)</f>
        <v>169.76</v>
      </c>
      <c r="L186" s="12">
        <f>VLOOKUP(A186,'Données projet'!$A$35:$I$55,9,0)</f>
        <v>1.9533333333333285</v>
      </c>
      <c r="M186" s="12">
        <f t="array" ref="M186">INDEX(L:L,MIN(IF(ISNUMBER(L186:L382),ROW(L186:L382),"")))</f>
        <v>1.9533333333333285</v>
      </c>
      <c r="N186" s="13">
        <f>IF('Données projet'!$A$36&gt;35,N185+M186-V185,IF(A186&lt;'Données projet'!$A$36,$K$205^A186,IF(A186='Données projet'!$A$36,'Données projet'!$B$36,N185+M186-V185)))</f>
        <v>169.76000000000047</v>
      </c>
      <c r="O186" s="13">
        <f>N186*VLOOKUP('Données projet'!$B$9,Paramètres!$A$1:$I$89,3,0)*VLOOKUP('Données projet'!$B$9,Paramètres!$A$1:$I$89,5,0)</f>
        <v>172.13664000000048</v>
      </c>
      <c r="P186" s="13">
        <f t="shared" si="141"/>
        <v>43.568211452887901</v>
      </c>
      <c r="Q186" s="20">
        <f t="shared" si="162"/>
        <v>375.68594961378062</v>
      </c>
      <c r="R186" s="59">
        <f t="shared" si="109"/>
        <v>667.19295215743591</v>
      </c>
      <c r="S186" s="59">
        <f ca="1">AVERAGE(OFFSET($R$3,0,0,'Données projet'!$E$9+1,1))-AVERAGE(OFFSET($H$3,0,0,'Données projet'!$E$9+1,1))</f>
        <v>668.93155285055116</v>
      </c>
      <c r="T186" s="59">
        <f t="shared" si="142"/>
        <v>306.43050420339659</v>
      </c>
      <c r="U186" s="15">
        <f>IF(ISNA(VLOOKUP(A186,'Données projet'!$A$35:$I$55,3,0)),0,VLOOKUP(A186,'Données projet'!$A$35:$I$55,3,0))</f>
        <v>18</v>
      </c>
      <c r="V186" s="15">
        <f>IF(ISNA(VLOOKUP(A186,'Données projet'!$A$35:$I$55,4,0)),0,VLOOKUP(A186,'Données projet'!$A$35:$I$55,4,0))</f>
        <v>169.76</v>
      </c>
      <c r="W186" s="16">
        <f>IF(ISNA(VLOOKUP(A186,'Données projet'!$A$35:$I$55,5,0)),0%,VLOOKUP(A186,'Données projet'!$A$35:$I$55,5,0)*VLOOKUP('Données projet'!$B$9,Paramètres!$A$1:$I$89,7,0))</f>
        <v>0.25800000000000001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208.51356346345793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208.51356346345793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69.501909784633284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169.76</v>
      </c>
      <c r="AG186" s="12">
        <f>VLOOKUP(A186,'Données projet'!$A$61:$I$81,9,0)</f>
        <v>1.9533333333333285</v>
      </c>
      <c r="AH186" s="12">
        <f t="array" ref="AH186">INDEX(AG:AG,MIN(IF(ISNUMBER(AG186:AG382),ROW(AG186:AG382),"")))</f>
        <v>1.9533333333333285</v>
      </c>
      <c r="AI186" s="13">
        <f>IF('Données projet'!$A$62&gt;35,AI185+AH186-AQ185,IF(A186&lt;'Données projet'!$A$62,$AF$205^A186,IF(A186='Données projet'!$A$62,'Données projet'!$B$62,AI185+AH186-AQ185)))</f>
        <v>169.76000000000047</v>
      </c>
      <c r="AJ186" s="13">
        <f>AI186*VLOOKUP('Données projet'!$B$10,Paramètres!$A$1:$I$89,3,0)*VLOOKUP('Données projet'!$B$10,Paramètres!$A$1:$I$89,5,0)</f>
        <v>164.19187200000047</v>
      </c>
      <c r="AK186" s="13">
        <f t="shared" si="164"/>
        <v>41.786576026680912</v>
      </c>
      <c r="AL186" s="20">
        <f t="shared" si="165"/>
        <v>358.7457969798034</v>
      </c>
      <c r="AM186" s="59">
        <f t="shared" si="113"/>
        <v>650.25279952345875</v>
      </c>
      <c r="AN186" s="59">
        <f ca="1">AVERAGE(OFFSET($AM$3,0,0,'Données projet'!$E$10+1,1))-AVERAGE(OFFSET($H$3,0,0,'Données projet'!$E$10+1,1))</f>
        <v>641.25537514609562</v>
      </c>
      <c r="AO186" s="59">
        <f t="shared" si="144"/>
        <v>294.69846357521487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0.25800000000000001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198.88986053437523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198.88986053437523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69.501909784633284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6.2527760746888816E-13</v>
      </c>
      <c r="BE186" s="13">
        <f>BD186*VLOOKUP('Données projet'!$B$11,Paramètres!$A$1:$I$89,3,0)*VLOOKUP('Données projet'!$B$11,Paramètres!$A$1:$I$89,5,0)</f>
        <v>2.9262992029543964E-13</v>
      </c>
      <c r="BF186" s="13">
        <f t="shared" si="167"/>
        <v>3.8796387982050903E-12</v>
      </c>
      <c r="BG186" s="20">
        <f t="shared" si="168"/>
        <v>7.2667013513884219E-12</v>
      </c>
      <c r="BH186" s="59">
        <f t="shared" si="116"/>
        <v>291.50700254366262</v>
      </c>
      <c r="BI186" s="59">
        <f ca="1">AVERAGE(OFFSET($BH$3,0,0,'Données projet'!$E$11+1,1))-AVERAGE(OFFSET($H$3,0,0,'Données projet'!$E$11+1,1))</f>
        <v>351.46787950120347</v>
      </c>
      <c r="BJ186" s="59">
        <f t="shared" si="146"/>
        <v>283.42185695241858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61.52833721866395</v>
      </c>
      <c r="BQ186" s="21">
        <f>EXP(-LN(2)/25)*BQ185+(1-EXP(-LN(2)/25))/(LN(2)/25)*Calculateur!BL186*Calculateur!BN186*VLOOKUP('Données projet'!$B$11,Paramètres!$A$1:$I$89,3,0)*0.475*44/12</f>
        <v>15.333951378896293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76.862288597560237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69.501909784633284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69.501909784633284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69.501909784633284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69.501909784633284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69.501909784633284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69.501909784633284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69.501909784633284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2.4500000000000002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8.9833333333333343</v>
      </c>
      <c r="H187" s="67">
        <f t="shared" si="110"/>
        <v>220.73333333333335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69.510550536306994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4.8316906031686813E-13</v>
      </c>
      <c r="O187" s="13">
        <f>N187*VLOOKUP('Données projet'!$B$9,Paramètres!$A$1:$I$89,3,0)*VLOOKUP('Données projet'!$B$9,Paramètres!$A$1:$I$89,5,0)</f>
        <v>4.8993342716130437E-13</v>
      </c>
      <c r="P187" s="13">
        <f t="shared" si="141"/>
        <v>6.1172634040517391E-12</v>
      </c>
      <c r="Q187" s="20">
        <f t="shared" si="162"/>
        <v>1.1507534481029384E-11</v>
      </c>
      <c r="R187" s="59">
        <f t="shared" si="109"/>
        <v>291.53868529980383</v>
      </c>
      <c r="S187" s="59">
        <f ca="1">AVERAGE(OFFSET($R$3,0,0,'Données projet'!$E$9+1,1))-AVERAGE(OFFSET($H$3,0,0,'Données projet'!$E$9+1,1))</f>
        <v>668.93155285055116</v>
      </c>
      <c r="T187" s="59">
        <f t="shared" si="142"/>
        <v>306.43050420339659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204.42473966465516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204.42473966465516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69.510550536306994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4.8316906031686813E-13</v>
      </c>
      <c r="AJ187" s="13">
        <f>AI187*VLOOKUP('Données projet'!$B$10,Paramètres!$A$1:$I$89,3,0)*VLOOKUP('Données projet'!$B$10,Paramètres!$A$1:$I$89,5,0)</f>
        <v>4.6732111513847483E-13</v>
      </c>
      <c r="AK187" s="13">
        <f t="shared" si="164"/>
        <v>5.8671100737071438E-12</v>
      </c>
      <c r="AL187" s="20">
        <f t="shared" si="165"/>
        <v>1.1032467653906121E-11</v>
      </c>
      <c r="AM187" s="59">
        <f t="shared" si="113"/>
        <v>291.53868529980338</v>
      </c>
      <c r="AN187" s="59">
        <f ca="1">AVERAGE(OFFSET($AM$3,0,0,'Données projet'!$E$10+1,1))-AVERAGE(OFFSET($H$3,0,0,'Données projet'!$E$10+1,1))</f>
        <v>641.25537514609562</v>
      </c>
      <c r="AO187" s="59">
        <f t="shared" si="144"/>
        <v>294.69846357521487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194.9897516801326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194.9897516801326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69.510550536306994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6.2527760746888816E-13</v>
      </c>
      <c r="BE187" s="13">
        <f>BD187*VLOOKUP('Données projet'!$B$11,Paramètres!$A$1:$I$89,3,0)*VLOOKUP('Données projet'!$B$11,Paramètres!$A$1:$I$89,5,0)</f>
        <v>2.9262992029543964E-13</v>
      </c>
      <c r="BF187" s="13">
        <f t="shared" si="167"/>
        <v>3.8796387982050903E-12</v>
      </c>
      <c r="BG187" s="20">
        <f t="shared" si="168"/>
        <v>7.2667013513884219E-12</v>
      </c>
      <c r="BH187" s="59">
        <f t="shared" si="116"/>
        <v>291.53868529979962</v>
      </c>
      <c r="BI187" s="59">
        <f ca="1">AVERAGE(OFFSET($BH$3,0,0,'Données projet'!$E$11+1,1))-AVERAGE(OFFSET($H$3,0,0,'Données projet'!$E$11+1,1))</f>
        <v>351.46787950120347</v>
      </c>
      <c r="BJ187" s="59">
        <f t="shared" si="146"/>
        <v>283.42185695241858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60.321804054386014</v>
      </c>
      <c r="BQ187" s="21">
        <f>EXP(-LN(2)/25)*BQ186+(1-EXP(-LN(2)/25))/(LN(2)/25)*Calculateur!BL187*Calculateur!BN187*VLOOKUP('Données projet'!$B$11,Paramètres!$A$1:$I$89,3,0)*0.475*44/12</f>
        <v>14.914643672062917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75.23644772644893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69.510550536306994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69.510550536306994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69.510550536306994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69.510550536306994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69.510550536306994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69.510550536306994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69.510550536306994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2.4500000000000002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8.9833333333333343</v>
      </c>
      <c r="H188" s="67">
        <f t="shared" si="110"/>
        <v>220.73333333333335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69.519041390257001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4.8316906031686813E-13</v>
      </c>
      <c r="O188" s="13">
        <f>N188*VLOOKUP('Données projet'!$B$9,Paramètres!$A$1:$I$89,3,0)*VLOOKUP('Données projet'!$B$9,Paramètres!$A$1:$I$89,5,0)</f>
        <v>4.8993342716130437E-13</v>
      </c>
      <c r="P188" s="13">
        <f t="shared" si="141"/>
        <v>6.1172634040517391E-12</v>
      </c>
      <c r="Q188" s="20">
        <f t="shared" si="162"/>
        <v>1.1507534481029384E-11</v>
      </c>
      <c r="R188" s="59">
        <f t="shared" si="109"/>
        <v>291.56981843095383</v>
      </c>
      <c r="S188" s="59">
        <f ca="1">AVERAGE(OFFSET($R$3,0,0,'Données projet'!$E$9+1,1))-AVERAGE(OFFSET($H$3,0,0,'Données projet'!$E$9+1,1))</f>
        <v>668.93155285055116</v>
      </c>
      <c r="T188" s="59">
        <f t="shared" si="142"/>
        <v>306.43050420339659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200.41609520661066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200.41609520661066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69.519041390257001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4.8316906031686813E-13</v>
      </c>
      <c r="AJ188" s="13">
        <f>AI188*VLOOKUP('Données projet'!$B$10,Paramètres!$A$1:$I$89,3,0)*VLOOKUP('Données projet'!$B$10,Paramètres!$A$1:$I$89,5,0)</f>
        <v>4.6732111513847483E-13</v>
      </c>
      <c r="AK188" s="13">
        <f t="shared" si="164"/>
        <v>5.8671100737071438E-12</v>
      </c>
      <c r="AL188" s="20">
        <f t="shared" si="165"/>
        <v>1.1032467653906121E-11</v>
      </c>
      <c r="AM188" s="59">
        <f t="shared" si="113"/>
        <v>291.56981843095338</v>
      </c>
      <c r="AN188" s="59">
        <f ca="1">AVERAGE(OFFSET($AM$3,0,0,'Données projet'!$E$10+1,1))-AVERAGE(OFFSET($H$3,0,0,'Données projet'!$E$10+1,1))</f>
        <v>641.25537514609562</v>
      </c>
      <c r="AO188" s="59">
        <f t="shared" si="144"/>
        <v>294.69846357521487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191.16612158169016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191.16612158169016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69.519041390257001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6.2527760746888816E-13</v>
      </c>
      <c r="BE188" s="13">
        <f>BD188*VLOOKUP('Données projet'!$B$11,Paramètres!$A$1:$I$89,3,0)*VLOOKUP('Données projet'!$B$11,Paramètres!$A$1:$I$89,5,0)</f>
        <v>2.9262992029543964E-13</v>
      </c>
      <c r="BF188" s="13">
        <f t="shared" si="167"/>
        <v>3.8796387982050903E-12</v>
      </c>
      <c r="BG188" s="20">
        <f t="shared" si="168"/>
        <v>7.2667013513884219E-12</v>
      </c>
      <c r="BH188" s="59">
        <f t="shared" si="116"/>
        <v>291.56981843094962</v>
      </c>
      <c r="BI188" s="59">
        <f ca="1">AVERAGE(OFFSET($BH$3,0,0,'Données projet'!$E$11+1,1))-AVERAGE(OFFSET($H$3,0,0,'Données projet'!$E$11+1,1))</f>
        <v>351.46787950120347</v>
      </c>
      <c r="BJ188" s="59">
        <f t="shared" si="146"/>
        <v>283.42185695241858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59.138930269547004</v>
      </c>
      <c r="BQ188" s="21">
        <f>EXP(-LN(2)/25)*BQ187+(1-EXP(-LN(2)/25))/(LN(2)/25)*Calculateur!BL188*Calculateur!BN188*VLOOKUP('Données projet'!$B$11,Paramètres!$A$1:$I$89,3,0)*0.475*44/12</f>
        <v>14.506801956523335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73.645732226070336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69.519041390257001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69.519041390257001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69.519041390257001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69.519041390257001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69.519041390257001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69.519041390257001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69.519041390257001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2.4500000000000002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8.9833333333333343</v>
      </c>
      <c r="H189" s="67">
        <f t="shared" si="110"/>
        <v>220.73333333333335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69.527384946873667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4.8316906031686813E-13</v>
      </c>
      <c r="O189" s="13">
        <f>N189*VLOOKUP('Données projet'!$B$9,Paramètres!$A$1:$I$89,3,0)*VLOOKUP('Données projet'!$B$9,Paramètres!$A$1:$I$89,5,0)</f>
        <v>4.8993342716130437E-13</v>
      </c>
      <c r="P189" s="13">
        <f t="shared" si="141"/>
        <v>6.1172634040517391E-12</v>
      </c>
      <c r="Q189" s="20">
        <f t="shared" si="162"/>
        <v>1.1507534481029384E-11</v>
      </c>
      <c r="R189" s="59">
        <f t="shared" si="109"/>
        <v>291.60041147188161</v>
      </c>
      <c r="S189" s="59">
        <f ca="1">AVERAGE(OFFSET($R$3,0,0,'Données projet'!$E$9+1,1))-AVERAGE(OFFSET($H$3,0,0,'Données projet'!$E$9+1,1))</f>
        <v>668.93155285055116</v>
      </c>
      <c r="T189" s="59">
        <f t="shared" si="142"/>
        <v>306.43050420339659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196.48605782135672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196.48605782135672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69.527384946873667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4.8316906031686813E-13</v>
      </c>
      <c r="AJ189" s="13">
        <f>AI189*VLOOKUP('Données projet'!$B$10,Paramètres!$A$1:$I$89,3,0)*VLOOKUP('Données projet'!$B$10,Paramètres!$A$1:$I$89,5,0)</f>
        <v>4.6732111513847483E-13</v>
      </c>
      <c r="AK189" s="13">
        <f t="shared" si="164"/>
        <v>5.8671100737071438E-12</v>
      </c>
      <c r="AL189" s="20">
        <f t="shared" si="165"/>
        <v>1.1032467653906121E-11</v>
      </c>
      <c r="AM189" s="59">
        <f t="shared" si="113"/>
        <v>291.60041147188116</v>
      </c>
      <c r="AN189" s="59">
        <f ca="1">AVERAGE(OFFSET($AM$3,0,0,'Données projet'!$E$10+1,1))-AVERAGE(OFFSET($H$3,0,0,'Données projet'!$E$10+1,1))</f>
        <v>641.25537514609562</v>
      </c>
      <c r="AO189" s="59">
        <f t="shared" si="144"/>
        <v>294.69846357521487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187.41747053729412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187.41747053729412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69.527384946873667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6.2527760746888816E-13</v>
      </c>
      <c r="BE189" s="13">
        <f>BD189*VLOOKUP('Données projet'!$B$11,Paramètres!$A$1:$I$89,3,0)*VLOOKUP('Données projet'!$B$11,Paramètres!$A$1:$I$89,5,0)</f>
        <v>2.9262992029543964E-13</v>
      </c>
      <c r="BF189" s="13">
        <f t="shared" si="167"/>
        <v>3.8796387982050903E-12</v>
      </c>
      <c r="BG189" s="20">
        <f t="shared" si="168"/>
        <v>7.2667013513884219E-12</v>
      </c>
      <c r="BH189" s="59">
        <f t="shared" si="116"/>
        <v>291.60041147187741</v>
      </c>
      <c r="BI189" s="59">
        <f ca="1">AVERAGE(OFFSET($BH$3,0,0,'Données projet'!$E$11+1,1))-AVERAGE(OFFSET($H$3,0,0,'Données projet'!$E$11+1,1))</f>
        <v>351.46787950120347</v>
      </c>
      <c r="BJ189" s="59">
        <f t="shared" si="146"/>
        <v>283.42185695241858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57.979251918146915</v>
      </c>
      <c r="BQ189" s="21">
        <f>EXP(-LN(2)/25)*BQ188+(1-EXP(-LN(2)/25))/(LN(2)/25)*Calculateur!BL189*Calculateur!BN189*VLOOKUP('Données projet'!$B$11,Paramètres!$A$1:$I$89,3,0)*0.475*44/12</f>
        <v>14.110112694142645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72.089364612289557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69.527384946873667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69.527384946873667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69.527384946873667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69.527384946873667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69.527384946873667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69.527384946873667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69.527384946873667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2.4500000000000002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8.9833333333333343</v>
      </c>
      <c r="H190" s="67">
        <f t="shared" si="110"/>
        <v>220.73333333333335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69.535583761436442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4.8316906031686813E-13</v>
      </c>
      <c r="O190" s="13">
        <f>N190*VLOOKUP('Données projet'!$B$9,Paramètres!$A$1:$I$89,3,0)*VLOOKUP('Données projet'!$B$9,Paramètres!$A$1:$I$89,5,0)</f>
        <v>4.8993342716130437E-13</v>
      </c>
      <c r="P190" s="13">
        <f t="shared" si="141"/>
        <v>6.1172634040517391E-12</v>
      </c>
      <c r="Q190" s="20">
        <f t="shared" si="162"/>
        <v>1.1507534481029384E-11</v>
      </c>
      <c r="R190" s="59">
        <f t="shared" si="109"/>
        <v>291.63047379194512</v>
      </c>
      <c r="S190" s="59">
        <f ca="1">AVERAGE(OFFSET($R$3,0,0,'Données projet'!$E$9+1,1))-AVERAGE(OFFSET($H$3,0,0,'Données projet'!$E$9+1,1))</f>
        <v>668.93155285055116</v>
      </c>
      <c r="T190" s="59">
        <f t="shared" si="142"/>
        <v>306.43050420339659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192.63308607214151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192.63308607214151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69.535583761436442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4.8316906031686813E-13</v>
      </c>
      <c r="AJ190" s="13">
        <f>AI190*VLOOKUP('Données projet'!$B$10,Paramètres!$A$1:$I$89,3,0)*VLOOKUP('Données projet'!$B$10,Paramètres!$A$1:$I$89,5,0)</f>
        <v>4.6732111513847483E-13</v>
      </c>
      <c r="AK190" s="13">
        <f t="shared" si="164"/>
        <v>5.8671100737071438E-12</v>
      </c>
      <c r="AL190" s="20">
        <f t="shared" si="165"/>
        <v>1.1032467653906121E-11</v>
      </c>
      <c r="AM190" s="59">
        <f t="shared" si="113"/>
        <v>291.63047379194467</v>
      </c>
      <c r="AN190" s="59">
        <f ca="1">AVERAGE(OFFSET($AM$3,0,0,'Données projet'!$E$10+1,1))-AVERAGE(OFFSET($H$3,0,0,'Données projet'!$E$10+1,1))</f>
        <v>641.25537514609562</v>
      </c>
      <c r="AO190" s="59">
        <f t="shared" si="144"/>
        <v>294.69846357521487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183.7423282534273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183.7423282534273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69.535583761436442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6.2527760746888816E-13</v>
      </c>
      <c r="BE190" s="13">
        <f>BD190*VLOOKUP('Données projet'!$B$11,Paramètres!$A$1:$I$89,3,0)*VLOOKUP('Données projet'!$B$11,Paramètres!$A$1:$I$89,5,0)</f>
        <v>2.9262992029543964E-13</v>
      </c>
      <c r="BF190" s="13">
        <f t="shared" si="167"/>
        <v>3.8796387982050903E-12</v>
      </c>
      <c r="BG190" s="20">
        <f t="shared" si="168"/>
        <v>7.2667013513884219E-12</v>
      </c>
      <c r="BH190" s="59">
        <f t="shared" si="116"/>
        <v>291.63047379194091</v>
      </c>
      <c r="BI190" s="59">
        <f ca="1">AVERAGE(OFFSET($BH$3,0,0,'Données projet'!$E$11+1,1))-AVERAGE(OFFSET($H$3,0,0,'Données projet'!$E$11+1,1))</f>
        <v>351.46787950120347</v>
      </c>
      <c r="BJ190" s="59">
        <f t="shared" si="146"/>
        <v>283.42185695241858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56.842314151883834</v>
      </c>
      <c r="BQ190" s="21">
        <f>EXP(-LN(2)/25)*BQ189+(1-EXP(-LN(2)/25))/(LN(2)/25)*Calculateur!BL190*Calculateur!BN190*VLOOKUP('Données projet'!$B$11,Paramètres!$A$1:$I$89,3,0)*0.475*44/12</f>
        <v>13.724270920502736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70.566585072386573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69.535583761436442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69.535583761436442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69.535583761436442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69.535583761436442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69.535583761436442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69.535583761436442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69.535583761436442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2.4500000000000002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8.9833333333333343</v>
      </c>
      <c r="H191" s="67">
        <f t="shared" si="110"/>
        <v>220.73333333333335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69.54364034489636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4.8316906031686813E-13</v>
      </c>
      <c r="O191" s="13">
        <f>N191*VLOOKUP('Données projet'!$B$9,Paramètres!$A$1:$I$89,3,0)*VLOOKUP('Données projet'!$B$9,Paramètres!$A$1:$I$89,5,0)</f>
        <v>4.8993342716130437E-13</v>
      </c>
      <c r="P191" s="13">
        <f t="shared" si="141"/>
        <v>6.1172634040517391E-12</v>
      </c>
      <c r="Q191" s="20">
        <f t="shared" si="162"/>
        <v>1.1507534481029384E-11</v>
      </c>
      <c r="R191" s="59">
        <f t="shared" si="109"/>
        <v>291.66001459796479</v>
      </c>
      <c r="S191" s="59">
        <f ca="1">AVERAGE(OFFSET($R$3,0,0,'Données projet'!$E$9+1,1))-AVERAGE(OFFSET($H$3,0,0,'Données projet'!$E$9+1,1))</f>
        <v>668.93155285055116</v>
      </c>
      <c r="T191" s="59">
        <f t="shared" si="142"/>
        <v>306.43050420339659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188.85566874884771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188.85566874884771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69.54364034489636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4.8316906031686813E-13</v>
      </c>
      <c r="AJ191" s="13">
        <f>AI191*VLOOKUP('Données projet'!$B$10,Paramètres!$A$1:$I$89,3,0)*VLOOKUP('Données projet'!$B$10,Paramètres!$A$1:$I$89,5,0)</f>
        <v>4.6732111513847483E-13</v>
      </c>
      <c r="AK191" s="13">
        <f t="shared" si="164"/>
        <v>5.8671100737071438E-12</v>
      </c>
      <c r="AL191" s="20">
        <f t="shared" si="165"/>
        <v>1.1032467653906121E-11</v>
      </c>
      <c r="AM191" s="59">
        <f t="shared" si="113"/>
        <v>291.66001459796433</v>
      </c>
      <c r="AN191" s="59">
        <f ca="1">AVERAGE(OFFSET($AM$3,0,0,'Données projet'!$E$10+1,1))-AVERAGE(OFFSET($H$3,0,0,'Données projet'!$E$10+1,1))</f>
        <v>641.25537514609562</v>
      </c>
      <c r="AO191" s="59">
        <f t="shared" si="144"/>
        <v>294.69846357521487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180.13925326813165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180.13925326813165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69.54364034489636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6.2527760746888816E-13</v>
      </c>
      <c r="BE191" s="13">
        <f>BD191*VLOOKUP('Données projet'!$B$11,Paramètres!$A$1:$I$89,3,0)*VLOOKUP('Données projet'!$B$11,Paramètres!$A$1:$I$89,5,0)</f>
        <v>2.9262992029543964E-13</v>
      </c>
      <c r="BF191" s="13">
        <f t="shared" si="167"/>
        <v>3.8796387982050903E-12</v>
      </c>
      <c r="BG191" s="20">
        <f t="shared" si="168"/>
        <v>7.2667013513884219E-12</v>
      </c>
      <c r="BH191" s="59">
        <f t="shared" si="116"/>
        <v>291.66001459796058</v>
      </c>
      <c r="BI191" s="59">
        <f ca="1">AVERAGE(OFFSET($BH$3,0,0,'Données projet'!$E$11+1,1))-AVERAGE(OFFSET($H$3,0,0,'Données projet'!$E$11+1,1))</f>
        <v>351.46787950120347</v>
      </c>
      <c r="BJ191" s="59">
        <f t="shared" si="146"/>
        <v>283.42185695241858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55.727671041753609</v>
      </c>
      <c r="BQ191" s="21">
        <f>EXP(-LN(2)/25)*BQ190+(1-EXP(-LN(2)/25))/(LN(2)/25)*Calculateur!BL191*Calculateur!BN191*VLOOKUP('Données projet'!$B$11,Paramètres!$A$1:$I$89,3,0)*0.475*44/12</f>
        <v>13.348980010453548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69.076651052207154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69.54364034489636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69.54364034489636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69.54364034489636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69.54364034489636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69.54364034489636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69.54364034489636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69.54364034489636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2.4500000000000002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8.9833333333333343</v>
      </c>
      <c r="H192" s="67">
        <f t="shared" si="110"/>
        <v>220.73333333333335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69.551557164645061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4.8316906031686813E-13</v>
      </c>
      <c r="O192" s="13">
        <f>N192*VLOOKUP('Données projet'!$B$9,Paramètres!$A$1:$I$89,3,0)*VLOOKUP('Données projet'!$B$9,Paramètres!$A$1:$I$89,5,0)</f>
        <v>4.8993342716130437E-13</v>
      </c>
      <c r="P192" s="13">
        <f t="shared" si="141"/>
        <v>6.1172634040517391E-12</v>
      </c>
      <c r="Q192" s="20">
        <f t="shared" si="162"/>
        <v>1.1507534481029384E-11</v>
      </c>
      <c r="R192" s="59">
        <f t="shared" si="109"/>
        <v>291.68904293704338</v>
      </c>
      <c r="S192" s="59">
        <f ca="1">AVERAGE(OFFSET($R$3,0,0,'Données projet'!$E$9+1,1))-AVERAGE(OFFSET($H$3,0,0,'Données projet'!$E$9+1,1))</f>
        <v>668.93155285055116</v>
      </c>
      <c r="T192" s="59">
        <f t="shared" si="142"/>
        <v>306.43050420339659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185.15232427526661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185.15232427526661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69.551557164645061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4.8316906031686813E-13</v>
      </c>
      <c r="AJ192" s="13">
        <f>AI192*VLOOKUP('Données projet'!$B$10,Paramètres!$A$1:$I$89,3,0)*VLOOKUP('Données projet'!$B$10,Paramètres!$A$1:$I$89,5,0)</f>
        <v>4.6732111513847483E-13</v>
      </c>
      <c r="AK192" s="13">
        <f t="shared" si="164"/>
        <v>5.8671100737071438E-12</v>
      </c>
      <c r="AL192" s="20">
        <f t="shared" si="165"/>
        <v>1.1032467653906121E-11</v>
      </c>
      <c r="AM192" s="59">
        <f t="shared" si="113"/>
        <v>291.68904293704293</v>
      </c>
      <c r="AN192" s="59">
        <f ca="1">AVERAGE(OFFSET($AM$3,0,0,'Données projet'!$E$10+1,1))-AVERAGE(OFFSET($H$3,0,0,'Données projet'!$E$10+1,1))</f>
        <v>641.25537514609562</v>
      </c>
      <c r="AO192" s="59">
        <f t="shared" si="144"/>
        <v>294.69846357521487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176.60683238563891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176.60683238563891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69.551557164645061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6.2527760746888816E-13</v>
      </c>
      <c r="BE192" s="13">
        <f>BD192*VLOOKUP('Données projet'!$B$11,Paramètres!$A$1:$I$89,3,0)*VLOOKUP('Données projet'!$B$11,Paramètres!$A$1:$I$89,5,0)</f>
        <v>2.9262992029543964E-13</v>
      </c>
      <c r="BF192" s="13">
        <f t="shared" si="167"/>
        <v>3.8796387982050903E-12</v>
      </c>
      <c r="BG192" s="20">
        <f t="shared" si="168"/>
        <v>7.2667013513884219E-12</v>
      </c>
      <c r="BH192" s="59">
        <f t="shared" si="116"/>
        <v>291.68904293703918</v>
      </c>
      <c r="BI192" s="59">
        <f ca="1">AVERAGE(OFFSET($BH$3,0,0,'Données projet'!$E$11+1,1))-AVERAGE(OFFSET($H$3,0,0,'Données projet'!$E$11+1,1))</f>
        <v>351.46787950120347</v>
      </c>
      <c r="BJ192" s="59">
        <f t="shared" si="146"/>
        <v>283.42185695241858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54.634885403147869</v>
      </c>
      <c r="BQ192" s="21">
        <f>EXP(-LN(2)/25)*BQ191+(1-EXP(-LN(2)/25))/(LN(2)/25)*Calculateur!BL192*Calculateur!BN192*VLOOKUP('Données projet'!$B$11,Paramètres!$A$1:$I$89,3,0)*0.475*44/12</f>
        <v>12.983951450075347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67.618836853223215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69.551557164645061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69.551557164645061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69.551557164645061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69.551557164645061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69.551557164645061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69.551557164645061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69.551557164645061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2.4500000000000002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8.9833333333333343</v>
      </c>
      <c r="H193" s="67">
        <f t="shared" si="110"/>
        <v>220.73333333333335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69.559336645270491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4.8316906031686813E-13</v>
      </c>
      <c r="O193" s="13">
        <f>N193*VLOOKUP('Données projet'!$B$9,Paramètres!$A$1:$I$89,3,0)*VLOOKUP('Données projet'!$B$9,Paramètres!$A$1:$I$89,5,0)</f>
        <v>4.8993342716130437E-13</v>
      </c>
      <c r="P193" s="13">
        <f t="shared" si="141"/>
        <v>6.1172634040517391E-12</v>
      </c>
      <c r="Q193" s="20">
        <f t="shared" si="162"/>
        <v>1.1507534481029384E-11</v>
      </c>
      <c r="R193" s="59">
        <f t="shared" si="109"/>
        <v>291.7175676993366</v>
      </c>
      <c r="S193" s="59">
        <f ca="1">AVERAGE(OFFSET($R$3,0,0,'Données projet'!$E$9+1,1))-AVERAGE(OFFSET($H$3,0,0,'Données projet'!$E$9+1,1))</f>
        <v>668.93155285055116</v>
      </c>
      <c r="T193" s="59">
        <f t="shared" si="142"/>
        <v>306.43050420339659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181.52160012799536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181.52160012799536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69.559336645270491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4.8316906031686813E-13</v>
      </c>
      <c r="AJ193" s="13">
        <f>AI193*VLOOKUP('Données projet'!$B$10,Paramètres!$A$1:$I$89,3,0)*VLOOKUP('Données projet'!$B$10,Paramètres!$A$1:$I$89,5,0)</f>
        <v>4.6732111513847483E-13</v>
      </c>
      <c r="AK193" s="13">
        <f t="shared" si="164"/>
        <v>5.8671100737071438E-12</v>
      </c>
      <c r="AL193" s="20">
        <f t="shared" si="165"/>
        <v>1.1032467653906121E-11</v>
      </c>
      <c r="AM193" s="59">
        <f t="shared" si="113"/>
        <v>291.71756769933614</v>
      </c>
      <c r="AN193" s="59">
        <f ca="1">AVERAGE(OFFSET($AM$3,0,0,'Données projet'!$E$10+1,1))-AVERAGE(OFFSET($H$3,0,0,'Données projet'!$E$10+1,1))</f>
        <v>641.25537514609562</v>
      </c>
      <c r="AO193" s="59">
        <f t="shared" si="144"/>
        <v>294.69846357521487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173.14368012208786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173.14368012208786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69.559336645270491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6.2527760746888816E-13</v>
      </c>
      <c r="BE193" s="13">
        <f>BD193*VLOOKUP('Données projet'!$B$11,Paramètres!$A$1:$I$89,3,0)*VLOOKUP('Données projet'!$B$11,Paramètres!$A$1:$I$89,5,0)</f>
        <v>2.9262992029543964E-13</v>
      </c>
      <c r="BF193" s="13">
        <f t="shared" si="167"/>
        <v>3.8796387982050903E-12</v>
      </c>
      <c r="BG193" s="20">
        <f t="shared" si="168"/>
        <v>7.2667013513884219E-12</v>
      </c>
      <c r="BH193" s="59">
        <f t="shared" si="116"/>
        <v>291.71756769933239</v>
      </c>
      <c r="BI193" s="59">
        <f ca="1">AVERAGE(OFFSET($BH$3,0,0,'Données projet'!$E$11+1,1))-AVERAGE(OFFSET($H$3,0,0,'Données projet'!$E$11+1,1))</f>
        <v>351.46787950120347</v>
      </c>
      <c r="BJ193" s="59">
        <f t="shared" si="146"/>
        <v>283.42185695241858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53.563528624381767</v>
      </c>
      <c r="BQ193" s="21">
        <f>EXP(-LN(2)/25)*BQ192+(1-EXP(-LN(2)/25))/(LN(2)/25)*Calculateur!BL193*Calculateur!BN193*VLOOKUP('Données projet'!$B$11,Paramètres!$A$1:$I$89,3,0)*0.475*44/12</f>
        <v>12.628904614876705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66.192433239258477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69.559336645270491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69.559336645270491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69.559336645270491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69.559336645270491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69.559336645270491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69.559336645270491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69.559336645270491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2.4500000000000002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8.9833333333333343</v>
      </c>
      <c r="H194" s="67">
        <f t="shared" si="110"/>
        <v>220.73333333333335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69.566981169299368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4.8316906031686813E-13</v>
      </c>
      <c r="O194" s="13">
        <f>N194*VLOOKUP('Données projet'!$B$9,Paramètres!$A$1:$I$89,3,0)*VLOOKUP('Données projet'!$B$9,Paramètres!$A$1:$I$89,5,0)</f>
        <v>4.8993342716130437E-13</v>
      </c>
      <c r="P194" s="13">
        <f t="shared" si="141"/>
        <v>6.1172634040517391E-12</v>
      </c>
      <c r="Q194" s="20">
        <f t="shared" si="162"/>
        <v>1.1507534481029384E-11</v>
      </c>
      <c r="R194" s="59">
        <f t="shared" si="109"/>
        <v>291.74559762077581</v>
      </c>
      <c r="S194" s="59">
        <f ca="1">AVERAGE(OFFSET($R$3,0,0,'Données projet'!$E$9+1,1))-AVERAGE(OFFSET($H$3,0,0,'Données projet'!$E$9+1,1))</f>
        <v>668.93155285055116</v>
      </c>
      <c r="T194" s="59">
        <f t="shared" si="142"/>
        <v>306.43050420339659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177.96207226672902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177.96207226672902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69.566981169299368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4.8316906031686813E-13</v>
      </c>
      <c r="AJ194" s="13">
        <f>AI194*VLOOKUP('Données projet'!$B$10,Paramètres!$A$1:$I$89,3,0)*VLOOKUP('Données projet'!$B$10,Paramètres!$A$1:$I$89,5,0)</f>
        <v>4.6732111513847483E-13</v>
      </c>
      <c r="AK194" s="13">
        <f t="shared" si="164"/>
        <v>5.8671100737071438E-12</v>
      </c>
      <c r="AL194" s="20">
        <f t="shared" si="165"/>
        <v>1.1032467653906121E-11</v>
      </c>
      <c r="AM194" s="59">
        <f t="shared" si="113"/>
        <v>291.74559762077536</v>
      </c>
      <c r="AN194" s="59">
        <f ca="1">AVERAGE(OFFSET($AM$3,0,0,'Données projet'!$E$10+1,1))-AVERAGE(OFFSET($H$3,0,0,'Données projet'!$E$10+1,1))</f>
        <v>641.25537514609562</v>
      </c>
      <c r="AO194" s="59">
        <f t="shared" si="144"/>
        <v>294.69846357521487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169.74843816211074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169.74843816211074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69.566981169299368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6.2527760746888816E-13</v>
      </c>
      <c r="BE194" s="13">
        <f>BD194*VLOOKUP('Données projet'!$B$11,Paramètres!$A$1:$I$89,3,0)*VLOOKUP('Données projet'!$B$11,Paramètres!$A$1:$I$89,5,0)</f>
        <v>2.9262992029543964E-13</v>
      </c>
      <c r="BF194" s="13">
        <f t="shared" si="167"/>
        <v>3.8796387982050903E-12</v>
      </c>
      <c r="BG194" s="20">
        <f t="shared" si="168"/>
        <v>7.2667013513884219E-12</v>
      </c>
      <c r="BH194" s="59">
        <f t="shared" si="116"/>
        <v>291.7455976207716</v>
      </c>
      <c r="BI194" s="59">
        <f ca="1">AVERAGE(OFFSET($BH$3,0,0,'Données projet'!$E$11+1,1))-AVERAGE(OFFSET($H$3,0,0,'Données projet'!$E$11+1,1))</f>
        <v>351.46787950120347</v>
      </c>
      <c r="BJ194" s="59">
        <f t="shared" si="146"/>
        <v>283.42185695241858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52.513180498584155</v>
      </c>
      <c r="BQ194" s="21">
        <f>EXP(-LN(2)/25)*BQ193+(1-EXP(-LN(2)/25))/(LN(2)/25)*Calculateur!BL194*Calculateur!BN194*VLOOKUP('Données projet'!$B$11,Paramètres!$A$1:$I$89,3,0)*0.475*44/12</f>
        <v>12.283566554057671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64.79674705264182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69.566981169299368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69.566981169299368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69.566981169299368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69.566981169299368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69.566981169299368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69.566981169299368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69.566981169299368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2.4500000000000002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8.9833333333333343</v>
      </c>
      <c r="H195" s="67">
        <f t="shared" si="110"/>
        <v>220.73333333333335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69.574493077926959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4.8316906031686813E-13</v>
      </c>
      <c r="O195" s="13">
        <f>N195*VLOOKUP('Données projet'!$B$9,Paramètres!$A$1:$I$89,3,0)*VLOOKUP('Données projet'!$B$9,Paramètres!$A$1:$I$89,5,0)</f>
        <v>4.8993342716130437E-13</v>
      </c>
      <c r="P195" s="13">
        <f t="shared" si="141"/>
        <v>6.1172634040517391E-12</v>
      </c>
      <c r="Q195" s="20">
        <f t="shared" si="162"/>
        <v>1.1507534481029384E-11</v>
      </c>
      <c r="R195" s="59">
        <f t="shared" ref="R195:R203" si="191">Q195+(I195+J195)*44/12</f>
        <v>291.77314128574363</v>
      </c>
      <c r="S195" s="59">
        <f ca="1">AVERAGE(OFFSET($R$3,0,0,'Données projet'!$E$9+1,1))-AVERAGE(OFFSET($H$3,0,0,'Données projet'!$E$9+1,1))</f>
        <v>668.93155285055116</v>
      </c>
      <c r="T195" s="59">
        <f t="shared" si="142"/>
        <v>306.43050420339659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174.47234457572452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174.47234457572452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69.574493077926959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4.8316906031686813E-13</v>
      </c>
      <c r="AJ195" s="13">
        <f>AI195*VLOOKUP('Données projet'!$B$10,Paramètres!$A$1:$I$89,3,0)*VLOOKUP('Données projet'!$B$10,Paramètres!$A$1:$I$89,5,0)</f>
        <v>4.6732111513847483E-13</v>
      </c>
      <c r="AK195" s="13">
        <f t="shared" si="164"/>
        <v>5.8671100737071438E-12</v>
      </c>
      <c r="AL195" s="20">
        <f t="shared" si="165"/>
        <v>1.1032467653906121E-11</v>
      </c>
      <c r="AM195" s="59">
        <f t="shared" si="113"/>
        <v>291.77314128574318</v>
      </c>
      <c r="AN195" s="59">
        <f ca="1">AVERAGE(OFFSET($AM$3,0,0,'Données projet'!$E$10+1,1))-AVERAGE(OFFSET($H$3,0,0,'Données projet'!$E$10+1,1))</f>
        <v>641.25537514609562</v>
      </c>
      <c r="AO195" s="59">
        <f t="shared" si="144"/>
        <v>294.69846357521487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166.41977482607567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166.41977482607567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69.574493077926959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6.2527760746888816E-13</v>
      </c>
      <c r="BE195" s="13">
        <f>BD195*VLOOKUP('Données projet'!$B$11,Paramètres!$A$1:$I$89,3,0)*VLOOKUP('Données projet'!$B$11,Paramètres!$A$1:$I$89,5,0)</f>
        <v>2.9262992029543964E-13</v>
      </c>
      <c r="BF195" s="13">
        <f t="shared" si="167"/>
        <v>3.8796387982050903E-12</v>
      </c>
      <c r="BG195" s="20">
        <f t="shared" si="168"/>
        <v>7.2667013513884219E-12</v>
      </c>
      <c r="BH195" s="59">
        <f t="shared" si="116"/>
        <v>291.77314128573943</v>
      </c>
      <c r="BI195" s="59">
        <f ca="1">AVERAGE(OFFSET($BH$3,0,0,'Données projet'!$E$11+1,1))-AVERAGE(OFFSET($H$3,0,0,'Données projet'!$E$11+1,1))</f>
        <v>351.46787950120347</v>
      </c>
      <c r="BJ195" s="59">
        <f t="shared" si="146"/>
        <v>283.42185695241858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51.48342905888434</v>
      </c>
      <c r="BQ195" s="21">
        <f>EXP(-LN(2)/25)*BQ194+(1-EXP(-LN(2)/25))/(LN(2)/25)*Calculateur!BL195*Calculateur!BN195*VLOOKUP('Données projet'!$B$11,Paramètres!$A$1:$I$89,3,0)*0.475*44/12</f>
        <v>11.947671780672273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63.431100839556613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69.574493077926959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69.574493077926959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69.574493077926959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69.574493077926959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69.574493077926959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69.574493077926959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69.574493077926959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2.4500000000000002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8.9833333333333343</v>
      </c>
      <c r="H196" s="67">
        <f t="shared" ref="H196:H203" si="192">(B196+E196+F196)*44/12+(C196+D196)*0.475*44/12</f>
        <v>220.73333333333335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69.581874671733956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4.8316906031686813E-13</v>
      </c>
      <c r="O196" s="13">
        <f>N196*VLOOKUP('Données projet'!$B$9,Paramètres!$A$1:$I$89,3,0)*VLOOKUP('Données projet'!$B$9,Paramètres!$A$1:$I$89,5,0)</f>
        <v>4.8993342716130437E-13</v>
      </c>
      <c r="P196" s="13">
        <f t="shared" si="141"/>
        <v>6.1172634040517391E-12</v>
      </c>
      <c r="Q196" s="20">
        <f t="shared" si="162"/>
        <v>1.1507534481029384E-11</v>
      </c>
      <c r="R196" s="59">
        <f t="shared" si="191"/>
        <v>291.80020712970264</v>
      </c>
      <c r="S196" s="59">
        <f ca="1">AVERAGE(OFFSET($R$3,0,0,'Données projet'!$E$9+1,1))-AVERAGE(OFFSET($H$3,0,0,'Données projet'!$E$9+1,1))</f>
        <v>668.93155285055116</v>
      </c>
      <c r="T196" s="59">
        <f t="shared" si="142"/>
        <v>306.43050420339659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171.05104831621688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171.05104831621688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69.581874671733956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4.8316906031686813E-13</v>
      </c>
      <c r="AJ196" s="13">
        <f>AI196*VLOOKUP('Données projet'!$B$10,Paramètres!$A$1:$I$89,3,0)*VLOOKUP('Données projet'!$B$10,Paramètres!$A$1:$I$89,5,0)</f>
        <v>4.6732111513847483E-13</v>
      </c>
      <c r="AK196" s="13">
        <f t="shared" si="164"/>
        <v>5.8671100737071438E-12</v>
      </c>
      <c r="AL196" s="20">
        <f t="shared" si="165"/>
        <v>1.1032467653906121E-11</v>
      </c>
      <c r="AM196" s="59">
        <f t="shared" ref="AM196:AM203" si="193">AL196+(AD196+AE196)*44/12</f>
        <v>291.80020712970219</v>
      </c>
      <c r="AN196" s="59">
        <f ca="1">AVERAGE(OFFSET($AM$3,0,0,'Données projet'!$E$10+1,1))-AVERAGE(OFFSET($H$3,0,0,'Données projet'!$E$10+1,1))</f>
        <v>641.25537514609562</v>
      </c>
      <c r="AO196" s="59">
        <f t="shared" si="144"/>
        <v>294.69846357521487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163.15638454777607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163.15638454777607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69.581874671733956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6.2527760746888816E-13</v>
      </c>
      <c r="BE196" s="13">
        <f>BD196*VLOOKUP('Données projet'!$B$11,Paramètres!$A$1:$I$89,3,0)*VLOOKUP('Données projet'!$B$11,Paramètres!$A$1:$I$89,5,0)</f>
        <v>2.9262992029543964E-13</v>
      </c>
      <c r="BF196" s="13">
        <f t="shared" si="167"/>
        <v>3.8796387982050903E-12</v>
      </c>
      <c r="BG196" s="20">
        <f t="shared" si="168"/>
        <v>7.2667013513884219E-12</v>
      </c>
      <c r="BH196" s="59">
        <f t="shared" ref="BH196:BH203" si="194">BG196+(AY196+AZ196)*44/12</f>
        <v>291.80020712969844</v>
      </c>
      <c r="BI196" s="59">
        <f ca="1">AVERAGE(OFFSET($BH$3,0,0,'Données projet'!$E$11+1,1))-AVERAGE(OFFSET($H$3,0,0,'Données projet'!$E$11+1,1))</f>
        <v>351.46787950120347</v>
      </c>
      <c r="BJ196" s="59">
        <f t="shared" si="146"/>
        <v>283.42185695241858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50.473870416830678</v>
      </c>
      <c r="BQ196" s="21">
        <f>EXP(-LN(2)/25)*BQ195+(1-EXP(-LN(2)/25))/(LN(2)/25)*Calculateur!BL196*Calculateur!BN196*VLOOKUP('Données projet'!$B$11,Paramètres!$A$1:$I$89,3,0)*0.475*44/12</f>
        <v>11.620962067529037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62.094832484359713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69.581874671733956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69.581874671733956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69.581874671733956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69.581874671733956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69.581874671733956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69.581874671733956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69.581874671733956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2.4500000000000002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8.9833333333333343</v>
      </c>
      <c r="H197" s="67">
        <f t="shared" si="192"/>
        <v>220.73333333333335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69.589128211391184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4.8316906031686813E-13</v>
      </c>
      <c r="O197" s="13">
        <f>N197*VLOOKUP('Données projet'!$B$9,Paramètres!$A$1:$I$89,3,0)*VLOOKUP('Données projet'!$B$9,Paramètres!$A$1:$I$89,5,0)</f>
        <v>4.8993342716130437E-13</v>
      </c>
      <c r="P197" s="13">
        <f t="shared" ref="P197:P203" si="203">EXP(-1.0587+0.8836*LN(O197)+0.284)</f>
        <v>6.1172634040517391E-12</v>
      </c>
      <c r="Q197" s="20">
        <f t="shared" si="162"/>
        <v>1.1507534481029384E-11</v>
      </c>
      <c r="R197" s="59">
        <f t="shared" si="191"/>
        <v>291.82680344177919</v>
      </c>
      <c r="S197" s="59">
        <f ca="1">AVERAGE(OFFSET($R$3,0,0,'Données projet'!$E$9+1,1))-AVERAGE(OFFSET($H$3,0,0,'Données projet'!$E$9+1,1))</f>
        <v>668.93155285055116</v>
      </c>
      <c r="T197" s="59">
        <f t="shared" ref="T197:T203" si="204">$T$3</f>
        <v>306.43050420339659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167.69684158957352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167.69684158957352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69.589128211391184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4.8316906031686813E-13</v>
      </c>
      <c r="AJ197" s="13">
        <f>AI197*VLOOKUP('Données projet'!$B$10,Paramètres!$A$1:$I$89,3,0)*VLOOKUP('Données projet'!$B$10,Paramètres!$A$1:$I$89,5,0)</f>
        <v>4.6732111513847483E-13</v>
      </c>
      <c r="AK197" s="13">
        <f t="shared" si="164"/>
        <v>5.8671100737071438E-12</v>
      </c>
      <c r="AL197" s="20">
        <f t="shared" si="165"/>
        <v>1.1032467653906121E-11</v>
      </c>
      <c r="AM197" s="59">
        <f t="shared" si="193"/>
        <v>291.82680344177874</v>
      </c>
      <c r="AN197" s="59">
        <f ca="1">AVERAGE(OFFSET($AM$3,0,0,'Données projet'!$E$10+1,1))-AVERAGE(OFFSET($H$3,0,0,'Données projet'!$E$10+1,1))</f>
        <v>641.25537514609562</v>
      </c>
      <c r="AO197" s="59">
        <f t="shared" ref="AO197:AO203" si="205">$AO$3</f>
        <v>294.69846357521487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159.95698736236241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159.95698736236241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69.589128211391184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6.2527760746888816E-13</v>
      </c>
      <c r="BE197" s="13">
        <f>BD197*VLOOKUP('Données projet'!$B$11,Paramètres!$A$1:$I$89,3,0)*VLOOKUP('Données projet'!$B$11,Paramètres!$A$1:$I$89,5,0)</f>
        <v>2.9262992029543964E-13</v>
      </c>
      <c r="BF197" s="13">
        <f t="shared" si="167"/>
        <v>3.8796387982050903E-12</v>
      </c>
      <c r="BG197" s="20">
        <f t="shared" si="168"/>
        <v>7.2667013513884219E-12</v>
      </c>
      <c r="BH197" s="59">
        <f t="shared" si="194"/>
        <v>291.82680344177498</v>
      </c>
      <c r="BI197" s="59">
        <f ca="1">AVERAGE(OFFSET($BH$3,0,0,'Données projet'!$E$11+1,1))-AVERAGE(OFFSET($H$3,0,0,'Données projet'!$E$11+1,1))</f>
        <v>351.46787950120347</v>
      </c>
      <c r="BJ197" s="59">
        <f t="shared" ref="BJ197:BJ203" si="206">$BJ$3</f>
        <v>283.42185695241858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49.484108603977717</v>
      </c>
      <c r="BQ197" s="21">
        <f>EXP(-LN(2)/25)*BQ196+(1-EXP(-LN(2)/25))/(LN(2)/25)*Calculateur!BL197*Calculateur!BN197*VLOOKUP('Données projet'!$B$11,Paramètres!$A$1:$I$89,3,0)*0.475*44/12</f>
        <v>11.30318624867262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60.787294852650334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69.589128211391184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69.589128211391184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69.589128211391184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69.589128211391184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69.589128211391184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69.589128211391184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69.589128211391184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2.4500000000000002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8.9833333333333343</v>
      </c>
      <c r="H198" s="67">
        <f t="shared" si="192"/>
        <v>220.73333333333335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69.596255918351829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4.8316906031686813E-13</v>
      </c>
      <c r="O198" s="13">
        <f>N198*VLOOKUP('Données projet'!$B$9,Paramètres!$A$1:$I$89,3,0)*VLOOKUP('Données projet'!$B$9,Paramètres!$A$1:$I$89,5,0)</f>
        <v>4.8993342716130437E-13</v>
      </c>
      <c r="P198" s="13">
        <f t="shared" si="203"/>
        <v>6.1172634040517391E-12</v>
      </c>
      <c r="Q198" s="20">
        <f t="shared" si="162"/>
        <v>1.1507534481029384E-11</v>
      </c>
      <c r="R198" s="59">
        <f t="shared" si="191"/>
        <v>291.85293836730153</v>
      </c>
      <c r="S198" s="59">
        <f ca="1">AVERAGE(OFFSET($R$3,0,0,'Données projet'!$E$9+1,1))-AVERAGE(OFFSET($H$3,0,0,'Données projet'!$E$9+1,1))</f>
        <v>668.93155285055116</v>
      </c>
      <c r="T198" s="59">
        <f t="shared" si="204"/>
        <v>306.43050420339659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164.40840881097554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164.40840881097554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69.596255918351829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4.8316906031686813E-13</v>
      </c>
      <c r="AJ198" s="13">
        <f>AI198*VLOOKUP('Données projet'!$B$10,Paramètres!$A$1:$I$89,3,0)*VLOOKUP('Données projet'!$B$10,Paramètres!$A$1:$I$89,5,0)</f>
        <v>4.6732111513847483E-13</v>
      </c>
      <c r="AK198" s="13">
        <f t="shared" si="164"/>
        <v>5.8671100737071438E-12</v>
      </c>
      <c r="AL198" s="20">
        <f t="shared" si="165"/>
        <v>1.1032467653906121E-11</v>
      </c>
      <c r="AM198" s="59">
        <f t="shared" si="193"/>
        <v>291.85293836730108</v>
      </c>
      <c r="AN198" s="59">
        <f ca="1">AVERAGE(OFFSET($AM$3,0,0,'Données projet'!$E$10+1,1))-AVERAGE(OFFSET($H$3,0,0,'Données projet'!$E$10+1,1))</f>
        <v>641.25537514609562</v>
      </c>
      <c r="AO198" s="59">
        <f t="shared" si="205"/>
        <v>294.69846357521487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156.82032840431512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156.82032840431512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69.596255918351829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6.2527760746888816E-13</v>
      </c>
      <c r="BE198" s="13">
        <f>BD198*VLOOKUP('Données projet'!$B$11,Paramètres!$A$1:$I$89,3,0)*VLOOKUP('Données projet'!$B$11,Paramètres!$A$1:$I$89,5,0)</f>
        <v>2.9262992029543964E-13</v>
      </c>
      <c r="BF198" s="13">
        <f t="shared" si="167"/>
        <v>3.8796387982050903E-12</v>
      </c>
      <c r="BG198" s="20">
        <f t="shared" si="168"/>
        <v>7.2667013513884219E-12</v>
      </c>
      <c r="BH198" s="59">
        <f t="shared" si="194"/>
        <v>291.85293836729733</v>
      </c>
      <c r="BI198" s="59">
        <f ca="1">AVERAGE(OFFSET($BH$3,0,0,'Données projet'!$E$11+1,1))-AVERAGE(OFFSET($H$3,0,0,'Données projet'!$E$11+1,1))</f>
        <v>351.46787950120347</v>
      </c>
      <c r="BJ198" s="59">
        <f t="shared" si="206"/>
        <v>283.42185695241858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48.513755416579706</v>
      </c>
      <c r="BQ198" s="21">
        <f>EXP(-LN(2)/25)*BQ197+(1-EXP(-LN(2)/25))/(LN(2)/25)*Calculateur!BL198*Calculateur!BN198*VLOOKUP('Données projet'!$B$11,Paramètres!$A$1:$I$89,3,0)*0.475*44/12</f>
        <v>10.994100026293937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59.507855442873641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69.596255918351829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69.596255918351829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69.596255918351829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69.596255918351829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69.596255918351829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69.596255918351829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69.596255918351829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2.4500000000000002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8.9833333333333343</v>
      </c>
      <c r="H199" s="67">
        <f t="shared" si="192"/>
        <v>220.73333333333335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69.603259975531898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4.8316906031686813E-13</v>
      </c>
      <c r="O199" s="13">
        <f>N199*VLOOKUP('Données projet'!$B$9,Paramètres!$A$1:$I$89,3,0)*VLOOKUP('Données projet'!$B$9,Paramètres!$A$1:$I$89,5,0)</f>
        <v>4.8993342716130437E-13</v>
      </c>
      <c r="P199" s="13">
        <f t="shared" si="203"/>
        <v>6.1172634040517391E-12</v>
      </c>
      <c r="Q199" s="20">
        <f t="shared" si="162"/>
        <v>1.1507534481029384E-11</v>
      </c>
      <c r="R199" s="59">
        <f t="shared" si="191"/>
        <v>291.87861991029507</v>
      </c>
      <c r="S199" s="59">
        <f ca="1">AVERAGE(OFFSET($R$3,0,0,'Données projet'!$E$9+1,1))-AVERAGE(OFFSET($H$3,0,0,'Données projet'!$E$9+1,1))</f>
        <v>668.93155285055116</v>
      </c>
      <c r="T199" s="59">
        <f t="shared" si="204"/>
        <v>306.43050420339659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161.18446019341994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161.18446019341994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69.603259975531898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4.8316906031686813E-13</v>
      </c>
      <c r="AJ199" s="13">
        <f>AI199*VLOOKUP('Données projet'!$B$10,Paramètres!$A$1:$I$89,3,0)*VLOOKUP('Données projet'!$B$10,Paramètres!$A$1:$I$89,5,0)</f>
        <v>4.6732111513847483E-13</v>
      </c>
      <c r="AK199" s="13">
        <f t="shared" si="164"/>
        <v>5.8671100737071438E-12</v>
      </c>
      <c r="AL199" s="20">
        <f t="shared" si="165"/>
        <v>1.1032467653906121E-11</v>
      </c>
      <c r="AM199" s="59">
        <f t="shared" si="193"/>
        <v>291.87861991029462</v>
      </c>
      <c r="AN199" s="59">
        <f ca="1">AVERAGE(OFFSET($AM$3,0,0,'Données projet'!$E$10+1,1))-AVERAGE(OFFSET($H$3,0,0,'Données projet'!$E$10+1,1))</f>
        <v>641.25537514609562</v>
      </c>
      <c r="AO199" s="59">
        <f t="shared" si="205"/>
        <v>294.69846357521487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153.74517741526208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153.74517741526208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69.603259975531898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6.2527760746888816E-13</v>
      </c>
      <c r="BE199" s="13">
        <f>BD199*VLOOKUP('Données projet'!$B$11,Paramètres!$A$1:$I$89,3,0)*VLOOKUP('Données projet'!$B$11,Paramètres!$A$1:$I$89,5,0)</f>
        <v>2.9262992029543964E-13</v>
      </c>
      <c r="BF199" s="13">
        <f t="shared" si="167"/>
        <v>3.8796387982050903E-12</v>
      </c>
      <c r="BG199" s="20">
        <f t="shared" si="168"/>
        <v>7.2667013513884219E-12</v>
      </c>
      <c r="BH199" s="59">
        <f t="shared" si="194"/>
        <v>291.87861991029087</v>
      </c>
      <c r="BI199" s="59">
        <f ca="1">AVERAGE(OFFSET($BH$3,0,0,'Données projet'!$E$11+1,1))-AVERAGE(OFFSET($H$3,0,0,'Données projet'!$E$11+1,1))</f>
        <v>351.46787950120347</v>
      </c>
      <c r="BJ199" s="59">
        <f t="shared" si="206"/>
        <v>283.42185695241858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47.562430263329567</v>
      </c>
      <c r="BQ199" s="21">
        <f>EXP(-LN(2)/25)*BQ198+(1-EXP(-LN(2)/25))/(LN(2)/25)*Calculateur!BL199*Calculateur!BN199*VLOOKUP('Données projet'!$B$11,Paramètres!$A$1:$I$89,3,0)*0.475*44/12</f>
        <v>10.693465782920336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58.255896046249902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69.603259975531898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69.603259975531898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69.603259975531898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69.603259975531898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69.603259975531898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69.603259975531898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69.603259975531898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2.4500000000000002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8.9833333333333343</v>
      </c>
      <c r="H200" s="67">
        <f t="shared" si="192"/>
        <v>220.73333333333335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69.610142527978596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4.8316906031686813E-13</v>
      </c>
      <c r="O200" s="13">
        <f>N200*VLOOKUP('Données projet'!$B$9,Paramètres!$A$1:$I$89,3,0)*VLOOKUP('Données projet'!$B$9,Paramètres!$A$1:$I$89,5,0)</f>
        <v>4.8993342716130437E-13</v>
      </c>
      <c r="P200" s="13">
        <f t="shared" si="203"/>
        <v>6.1172634040517391E-12</v>
      </c>
      <c r="Q200" s="20">
        <f t="shared" si="162"/>
        <v>1.1507534481029384E-11</v>
      </c>
      <c r="R200" s="59">
        <f t="shared" si="191"/>
        <v>291.903855935933</v>
      </c>
      <c r="S200" s="59">
        <f ca="1">AVERAGE(OFFSET($R$3,0,0,'Données projet'!$E$9+1,1))-AVERAGE(OFFSET($H$3,0,0,'Données projet'!$E$9+1,1))</f>
        <v>668.93155285055116</v>
      </c>
      <c r="T200" s="59">
        <f t="shared" si="204"/>
        <v>306.43050420339659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158.0237312418401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158.0237312418401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69.610142527978596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4.8316906031686813E-13</v>
      </c>
      <c r="AJ200" s="13">
        <f>AI200*VLOOKUP('Données projet'!$B$10,Paramètres!$A$1:$I$89,3,0)*VLOOKUP('Données projet'!$B$10,Paramètres!$A$1:$I$89,5,0)</f>
        <v>4.6732111513847483E-13</v>
      </c>
      <c r="AK200" s="13">
        <f t="shared" si="164"/>
        <v>5.8671100737071438E-12</v>
      </c>
      <c r="AL200" s="20">
        <f t="shared" si="165"/>
        <v>1.1032467653906121E-11</v>
      </c>
      <c r="AM200" s="59">
        <f t="shared" si="193"/>
        <v>291.90385593593254</v>
      </c>
      <c r="AN200" s="59">
        <f ca="1">AVERAGE(OFFSET($AM$3,0,0,'Données projet'!$E$10+1,1))-AVERAGE(OFFSET($H$3,0,0,'Données projet'!$E$10+1,1))</f>
        <v>641.25537514609562</v>
      </c>
      <c r="AO200" s="59">
        <f t="shared" si="205"/>
        <v>294.69846357521487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150.73032826144748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150.73032826144748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69.610142527978596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6.2527760746888816E-13</v>
      </c>
      <c r="BE200" s="13">
        <f>BD200*VLOOKUP('Données projet'!$B$11,Paramètres!$A$1:$I$89,3,0)*VLOOKUP('Données projet'!$B$11,Paramètres!$A$1:$I$89,5,0)</f>
        <v>2.9262992029543964E-13</v>
      </c>
      <c r="BF200" s="13">
        <f t="shared" si="167"/>
        <v>3.8796387982050903E-12</v>
      </c>
      <c r="BG200" s="20">
        <f t="shared" si="168"/>
        <v>7.2667013513884219E-12</v>
      </c>
      <c r="BH200" s="59">
        <f t="shared" si="194"/>
        <v>291.90385593592879</v>
      </c>
      <c r="BI200" s="59">
        <f ca="1">AVERAGE(OFFSET($BH$3,0,0,'Données projet'!$E$11+1,1))-AVERAGE(OFFSET($H$3,0,0,'Données projet'!$E$11+1,1))</f>
        <v>351.46787950120347</v>
      </c>
      <c r="BJ200" s="59">
        <f t="shared" si="206"/>
        <v>283.42185695241858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46.629760016083615</v>
      </c>
      <c r="BQ200" s="21">
        <f>EXP(-LN(2)/25)*BQ199+(1-EXP(-LN(2)/25))/(LN(2)/25)*Calculateur!BL200*Calculateur!BN200*VLOOKUP('Données projet'!$B$11,Paramètres!$A$1:$I$89,3,0)*0.475*44/12</f>
        <v>10.401052398741454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57.030812414825071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69.610142527978596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69.610142527978596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69.610142527978596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69.610142527978596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69.610142527978596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69.610142527978596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69.610142527978596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2.4500000000000002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8.9833333333333343</v>
      </c>
      <c r="H201" s="67">
        <f t="shared" si="192"/>
        <v>220.73333333333335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69.616905683527435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4.8316906031686813E-13</v>
      </c>
      <c r="O201" s="13">
        <f>N201*VLOOKUP('Données projet'!$B$9,Paramètres!$A$1:$I$89,3,0)*VLOOKUP('Données projet'!$B$9,Paramètres!$A$1:$I$89,5,0)</f>
        <v>4.8993342716130437E-13</v>
      </c>
      <c r="P201" s="13">
        <f t="shared" si="203"/>
        <v>6.1172634040517391E-12</v>
      </c>
      <c r="Q201" s="20">
        <f t="shared" si="162"/>
        <v>1.1507534481029384E-11</v>
      </c>
      <c r="R201" s="59">
        <f t="shared" si="191"/>
        <v>291.92865417294541</v>
      </c>
      <c r="S201" s="59">
        <f ca="1">AVERAGE(OFFSET($R$3,0,0,'Données projet'!$E$9+1,1))-AVERAGE(OFFSET($H$3,0,0,'Données projet'!$E$9+1,1))</f>
        <v>668.93155285055116</v>
      </c>
      <c r="T201" s="59">
        <f t="shared" si="204"/>
        <v>306.43050420339659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154.92498225714644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154.92498225714644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69.616905683527435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4.8316906031686813E-13</v>
      </c>
      <c r="AJ201" s="13">
        <f>AI201*VLOOKUP('Données projet'!$B$10,Paramètres!$A$1:$I$89,3,0)*VLOOKUP('Données projet'!$B$10,Paramètres!$A$1:$I$89,5,0)</f>
        <v>4.6732111513847483E-13</v>
      </c>
      <c r="AK201" s="13">
        <f t="shared" si="164"/>
        <v>5.8671100737071438E-12</v>
      </c>
      <c r="AL201" s="20">
        <f t="shared" si="165"/>
        <v>1.1032467653906121E-11</v>
      </c>
      <c r="AM201" s="59">
        <f t="shared" si="193"/>
        <v>291.92865417294496</v>
      </c>
      <c r="AN201" s="59">
        <f ca="1">AVERAGE(OFFSET($AM$3,0,0,'Données projet'!$E$10+1,1))-AVERAGE(OFFSET($H$3,0,0,'Données projet'!$E$10+1,1))</f>
        <v>641.25537514609562</v>
      </c>
      <c r="AO201" s="59">
        <f t="shared" si="205"/>
        <v>294.69846357521487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147.77459846066276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147.77459846066276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69.616905683527435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6.2527760746888816E-13</v>
      </c>
      <c r="BE201" s="13">
        <f>BD201*VLOOKUP('Données projet'!$B$11,Paramètres!$A$1:$I$89,3,0)*VLOOKUP('Données projet'!$B$11,Paramètres!$A$1:$I$89,5,0)</f>
        <v>2.9262992029543964E-13</v>
      </c>
      <c r="BF201" s="13">
        <f t="shared" si="167"/>
        <v>3.8796387982050903E-12</v>
      </c>
      <c r="BG201" s="20">
        <f t="shared" si="168"/>
        <v>7.2667013513884219E-12</v>
      </c>
      <c r="BH201" s="59">
        <f t="shared" si="194"/>
        <v>291.92865417294121</v>
      </c>
      <c r="BI201" s="59">
        <f ca="1">AVERAGE(OFFSET($BH$3,0,0,'Données projet'!$E$11+1,1))-AVERAGE(OFFSET($H$3,0,0,'Données projet'!$E$11+1,1))</f>
        <v>351.46787950120347</v>
      </c>
      <c r="BJ201" s="59">
        <f t="shared" si="206"/>
        <v>283.42185695241858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45.715378863513479</v>
      </c>
      <c r="BQ201" s="21">
        <f>EXP(-LN(2)/25)*BQ200+(1-EXP(-LN(2)/25))/(LN(2)/25)*Calculateur!BL201*Calculateur!BN201*VLOOKUP('Données projet'!$B$11,Paramètres!$A$1:$I$89,3,0)*0.475*44/12</f>
        <v>10.116635073930295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55.832013937443776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69.616905683527435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69.616905683527435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69.616905683527435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69.616905683527435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69.616905683527435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69.616905683527435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69.616905683527435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2.4500000000000002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8.9833333333333343</v>
      </c>
      <c r="H202" s="67">
        <f t="shared" si="192"/>
        <v>220.73333333333335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69.623551513447651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4.8316906031686813E-13</v>
      </c>
      <c r="O202" s="13">
        <f>N202*VLOOKUP('Données projet'!$B$9,Paramètres!$A$1:$I$89,3,0)*VLOOKUP('Données projet'!$B$9,Paramètres!$A$1:$I$89,5,0)</f>
        <v>4.8993342716130437E-13</v>
      </c>
      <c r="P202" s="13">
        <f t="shared" si="203"/>
        <v>6.1172634040517391E-12</v>
      </c>
      <c r="Q202" s="20">
        <f t="shared" si="162"/>
        <v>1.1507534481029384E-11</v>
      </c>
      <c r="R202" s="59">
        <f t="shared" si="191"/>
        <v>291.95302221598621</v>
      </c>
      <c r="S202" s="59">
        <f ca="1">AVERAGE(OFFSET($R$3,0,0,'Données projet'!$E$9+1,1))-AVERAGE(OFFSET($H$3,0,0,'Données projet'!$E$9+1,1))</f>
        <v>668.93155285055116</v>
      </c>
      <c r="T202" s="59">
        <f t="shared" si="204"/>
        <v>306.43050420339659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151.88699784999238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151.88699784999238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69.623551513447651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4.8316906031686813E-13</v>
      </c>
      <c r="AJ202" s="13">
        <f>AI202*VLOOKUP('Données projet'!$B$10,Paramètres!$A$1:$I$89,3,0)*VLOOKUP('Données projet'!$B$10,Paramètres!$A$1:$I$89,5,0)</f>
        <v>4.6732111513847483E-13</v>
      </c>
      <c r="AK202" s="13">
        <f t="shared" si="164"/>
        <v>5.8671100737071438E-12</v>
      </c>
      <c r="AL202" s="20">
        <f t="shared" si="165"/>
        <v>1.1032467653906121E-11</v>
      </c>
      <c r="AM202" s="59">
        <f t="shared" si="193"/>
        <v>291.95302221598575</v>
      </c>
      <c r="AN202" s="59">
        <f ca="1">AVERAGE(OFFSET($AM$3,0,0,'Données projet'!$E$10+1,1))-AVERAGE(OFFSET($H$3,0,0,'Données projet'!$E$10+1,1))</f>
        <v>641.25537514609562</v>
      </c>
      <c r="AO202" s="59">
        <f t="shared" si="205"/>
        <v>294.69846357521487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144.87682871845428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144.87682871845428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69.623551513447651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6.2527760746888816E-13</v>
      </c>
      <c r="BE202" s="13">
        <f>BD202*VLOOKUP('Données projet'!$B$11,Paramètres!$A$1:$I$89,3,0)*VLOOKUP('Données projet'!$B$11,Paramètres!$A$1:$I$89,5,0)</f>
        <v>2.9262992029543964E-13</v>
      </c>
      <c r="BF202" s="13">
        <f t="shared" si="167"/>
        <v>3.8796387982050903E-12</v>
      </c>
      <c r="BG202" s="20">
        <f t="shared" si="168"/>
        <v>7.2667013513884219E-12</v>
      </c>
      <c r="BH202" s="59">
        <f t="shared" si="194"/>
        <v>291.953022215982</v>
      </c>
      <c r="BI202" s="59">
        <f ca="1">AVERAGE(OFFSET($BH$3,0,0,'Données projet'!$E$11+1,1))-AVERAGE(OFFSET($H$3,0,0,'Données projet'!$E$11+1,1))</f>
        <v>351.46787950120347</v>
      </c>
      <c r="BJ202" s="59">
        <f t="shared" si="206"/>
        <v>283.42185695241858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44.81892816762781</v>
      </c>
      <c r="BQ202" s="21">
        <f>EXP(-LN(2)/25)*BQ201+(1-EXP(-LN(2)/25))/(LN(2)/25)*Calculateur!BL202*Calculateur!BN202*VLOOKUP('Données projet'!$B$11,Paramètres!$A$1:$I$89,3,0)*0.475*44/12</f>
        <v>9.8399951558229546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54.658923323450765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69.623551513447651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69.623551513447651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69.623551513447651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69.623551513447651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69.623551513447651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69.623551513447651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69.623551513447651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2.4500000000000002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57.75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8.9833333333333343</v>
      </c>
      <c r="H203" s="67">
        <f t="shared" si="192"/>
        <v>220.73333333333335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69.630082053076592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4.8316906031686813E-13</v>
      </c>
      <c r="O203" s="13">
        <f>N203*VLOOKUP('Données projet'!$B$9,Paramètres!$A$1:$I$89,3,0)*VLOOKUP('Données projet'!$B$9,Paramètres!$A$1:$I$89,5,0)</f>
        <v>4.8993342716130437E-13</v>
      </c>
      <c r="P203" s="13">
        <f t="shared" si="203"/>
        <v>6.1172634040517391E-12</v>
      </c>
      <c r="Q203" s="20">
        <f t="shared" si="162"/>
        <v>1.1507534481029384E-11</v>
      </c>
      <c r="R203" s="59">
        <f t="shared" si="191"/>
        <v>291.97696752795895</v>
      </c>
      <c r="S203" s="59">
        <f ca="1">AVERAGE(OFFSET($R$3,0,0,'Données projet'!$E$9+1,1))-AVERAGE(OFFSET($H$3,0,0,'Données projet'!$E$9+1,1))</f>
        <v>668.93155285055116</v>
      </c>
      <c r="T203" s="59">
        <f t="shared" si="204"/>
        <v>306.43050420339659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148.90858646407509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148.90858646407509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69.630082053076592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4.8316906031686813E-13</v>
      </c>
      <c r="AJ203" s="13">
        <f>AI203*VLOOKUP('Données projet'!$B$10,Paramètres!$A$1:$I$89,3,0)*VLOOKUP('Données projet'!$B$10,Paramètres!$A$1:$I$89,5,0)</f>
        <v>4.6732111513847483E-13</v>
      </c>
      <c r="AK203" s="13">
        <f t="shared" si="164"/>
        <v>5.8671100737071438E-12</v>
      </c>
      <c r="AL203" s="20">
        <f t="shared" si="165"/>
        <v>1.1032467653906121E-11</v>
      </c>
      <c r="AM203" s="59">
        <f t="shared" si="193"/>
        <v>291.97696752795849</v>
      </c>
      <c r="AN203" s="59">
        <f ca="1">AVERAGE(OFFSET($AM$3,0,0,'Données projet'!$E$10+1,1))-AVERAGE(OFFSET($H$3,0,0,'Données projet'!$E$10+1,1))</f>
        <v>641.25537514609562</v>
      </c>
      <c r="AO203" s="59">
        <f t="shared" si="205"/>
        <v>294.69846357521487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142.03588247342549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142.03588247342549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69.630082053076592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6.2527760746888816E-13</v>
      </c>
      <c r="BE203" s="13">
        <f>BD203*VLOOKUP('Données projet'!$B$11,Paramètres!$A$1:$I$89,3,0)*VLOOKUP('Données projet'!$B$11,Paramètres!$A$1:$I$89,5,0)</f>
        <v>2.9262992029543964E-13</v>
      </c>
      <c r="BF203" s="13">
        <f t="shared" si="167"/>
        <v>3.8796387982050903E-12</v>
      </c>
      <c r="BG203" s="20">
        <f t="shared" si="168"/>
        <v>7.2667013513884219E-12</v>
      </c>
      <c r="BH203" s="59">
        <f t="shared" si="194"/>
        <v>291.97696752795474</v>
      </c>
      <c r="BI203" s="59">
        <f ca="1">AVERAGE(OFFSET($BH$3,0,0,'Données projet'!$E$11+1,1))-AVERAGE(OFFSET($H$3,0,0,'Données projet'!$E$11+1,1))</f>
        <v>351.46787950120347</v>
      </c>
      <c r="BJ203" s="59">
        <f t="shared" si="206"/>
        <v>283.42185695241858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43.94005632310752</v>
      </c>
      <c r="BQ203" s="21">
        <f>EXP(-LN(2)/25)*BQ202+(1-EXP(-LN(2)/25))/(LN(2)/25)*Calculateur!BL203*Calculateur!BN203*VLOOKUP('Données projet'!$B$11,Paramètres!$A$1:$I$89,3,0)*0.475*44/12</f>
        <v>9.5709199708241197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53.510976293931641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69.630082053076592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69.630082053076592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69.630082053076592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69.630082053076592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69.630082053076592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69.630082053076592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69.630082053076592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1.1289835501862808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1.1289835501862808</v>
      </c>
      <c r="BA205" s="82">
        <f>EXP(LN('Données projet'!B88)/'Données projet'!A88)</f>
        <v>1.1241384564293442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9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90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9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1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1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90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9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90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M15" sqref="M15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0" t="s">
        <v>271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pubescent</v>
      </c>
      <c r="B6" s="146">
        <f>'Données projet'!D9</f>
        <v>0.74560344827586211</v>
      </c>
      <c r="C6" s="147">
        <f ca="1">IF(OR('Données projet'!B9="",'Données projet'!C9="",'Données projet'!C9=0%),0,Calculateur!S3)</f>
        <v>668.93155285055116</v>
      </c>
      <c r="D6" s="147">
        <f>IF(OR('Données projet'!B9="",'Données projet'!C9="",'Données projet'!C9=0%),0,Calculateur!T3)</f>
        <v>306.43050420339659</v>
      </c>
      <c r="E6" s="147">
        <f ca="1">MIN(C6,D6)</f>
        <v>306.43050420339659</v>
      </c>
      <c r="F6" s="147">
        <f ca="1">E6*B6</f>
        <v>228.47564059096356</v>
      </c>
      <c r="G6" s="147">
        <f ca="1">F6*(100%-'Données projet'!$C$24)*(100%-'Données projet'!$C$25)*(100%-'Données projet'!$C$26)*(100%-'Données projet'!$C$27)</f>
        <v>174.78386505208712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174.78386505208712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Alisier torminal</v>
      </c>
      <c r="B7" s="154">
        <f>'Données projet'!D10</f>
        <v>3.8482758620689658E-2</v>
      </c>
      <c r="C7" s="147">
        <f ca="1">IF(OR('Données projet'!B10="",'Données projet'!C10="",'Données projet'!C10=0%),0,Calculateur!AN3)</f>
        <v>641.25537514609562</v>
      </c>
      <c r="D7" s="147">
        <f>IF(OR('Données projet'!B10="",'Données projet'!C10="",'Données projet'!C10=0%),0,Calculateur!AO3)</f>
        <v>294.69846357521487</v>
      </c>
      <c r="E7" s="147">
        <f t="shared" ref="E7:E15" ca="1" si="0">MIN(C7,D7)</f>
        <v>294.69846357521487</v>
      </c>
      <c r="F7" s="147">
        <f t="shared" ref="F7:F15" ca="1" si="1">E7*B7</f>
        <v>11.340809839653097</v>
      </c>
      <c r="G7" s="147">
        <f ca="1">F7*(100%-'Données projet'!$C$24)*(100%-'Données projet'!$C$25)*(100%-'Données projet'!$C$26)*(100%-'Données projet'!$C$27)</f>
        <v>8.6757195273346195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8.6757195273346195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Cèdre de l'Atlas</v>
      </c>
      <c r="B8" s="154">
        <f>'Données projet'!D11</f>
        <v>1.0302155172413794</v>
      </c>
      <c r="C8" s="147">
        <f ca="1">IF(OR('Données projet'!B11="",'Données projet'!C11="",'Données projet'!C11=0%),0,Calculateur!BI3)</f>
        <v>351.46787950120347</v>
      </c>
      <c r="D8" s="147">
        <f>IF(OR('Données projet'!B11="",'Données projet'!C11="",'Données projet'!C11=0%),0,Calculateur!BJ3)</f>
        <v>283.42185695241858</v>
      </c>
      <c r="E8" s="147">
        <f t="shared" ca="1" si="0"/>
        <v>283.42185695241858</v>
      </c>
      <c r="F8" s="147">
        <f t="shared" ca="1" si="1"/>
        <v>291.98559495774816</v>
      </c>
      <c r="G8" s="147">
        <f ca="1">F8*(100%-'Données projet'!$C$24)*(100%-'Données projet'!$C$25)*(100%-'Données projet'!$C$26)*(100%-'Données projet'!$C$27)</f>
        <v>223.36898014267734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223.36898014267734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531.80204538836483</v>
      </c>
      <c r="G16" s="166">
        <f t="shared" ca="1" si="3"/>
        <v>406.82856472209909</v>
      </c>
      <c r="H16" s="167">
        <f t="shared" si="3"/>
        <v>0</v>
      </c>
      <c r="I16" s="167">
        <f t="shared" si="3"/>
        <v>0</v>
      </c>
      <c r="J16" s="168">
        <f t="shared" si="3"/>
        <v>0</v>
      </c>
      <c r="K16" s="168">
        <f t="shared" si="3"/>
        <v>0</v>
      </c>
      <c r="L16" s="169">
        <f t="shared" ca="1" si="3"/>
        <v>406.82856472209909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92" t="s">
        <v>246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pubescent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Alisier torminal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Cèdre de l'Atlas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43" zoomScale="80" zoomScaleNormal="80" workbookViewId="0">
      <selection activeCell="F24" sqref="F24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0" t="s">
        <v>272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0" t="s">
        <v>315</v>
      </c>
      <c r="I4" s="270"/>
      <c r="K4" s="294" t="s">
        <v>253</v>
      </c>
      <c r="L4" s="295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4" t="s">
        <v>310</v>
      </c>
      <c r="S7" s="305"/>
      <c r="T7" s="305"/>
      <c r="U7" s="305"/>
      <c r="V7" s="30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I9" s="195"/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pubescent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-8752.9108118163404</v>
      </c>
      <c r="U10" s="178">
        <f>'Données projet'!D9</f>
        <v>0.74560344827586211</v>
      </c>
      <c r="V10" s="177">
        <f>U10*T10</f>
        <v>-6526.2004837413388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Alisier torminal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-6597.7475628743132</v>
      </c>
      <c r="U11" s="178">
        <f>'Données projet'!D10</f>
        <v>3.8482758620689658E-2</v>
      </c>
      <c r="V11" s="177">
        <f t="shared" ref="V11" si="0">U11*T11</f>
        <v>-253.89952690233565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Cèdre de l'Atlas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-4177.3354603472408</v>
      </c>
      <c r="U12" s="178">
        <f>'Données projet'!D11</f>
        <v>1.0302155172413794</v>
      </c>
      <c r="V12" s="177">
        <f t="shared" ref="V12:V19" si="1">U12*T12</f>
        <v>-4303.5558119723883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pubescent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7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7"/>
      <c r="H16" s="190"/>
      <c r="I16" s="191"/>
      <c r="J16" s="202"/>
      <c r="K16" s="208"/>
      <c r="L16" s="294" t="s">
        <v>254</v>
      </c>
      <c r="M16" s="295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1300*(1.6+0.7+2.5+0.17)</f>
        <v>6461</v>
      </c>
      <c r="F17" s="230"/>
      <c r="G17" s="297"/>
      <c r="I17" s="195"/>
      <c r="J17" s="202"/>
      <c r="K17" s="208"/>
      <c r="L17" s="267" t="s">
        <v>289</v>
      </c>
      <c r="M17" s="269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>
        <f>220+430</f>
        <v>650</v>
      </c>
      <c r="F18" s="230"/>
      <c r="G18" s="297"/>
      <c r="J18" s="202"/>
      <c r="K18" s="208"/>
      <c r="L18" s="267" t="s">
        <v>255</v>
      </c>
      <c r="M18" s="269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f>400+430+15%*E17</f>
        <v>1799.15</v>
      </c>
      <c r="F19" s="230"/>
      <c r="G19" s="297"/>
      <c r="H19" s="212" t="s">
        <v>178</v>
      </c>
      <c r="I19" s="212" t="s">
        <v>287</v>
      </c>
      <c r="J19" s="93"/>
      <c r="K19" s="173"/>
      <c r="L19" s="294" t="s">
        <v>288</v>
      </c>
      <c r="M19" s="295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>
        <f>220+430</f>
        <v>650</v>
      </c>
      <c r="F20" s="230"/>
      <c r="G20" s="297"/>
      <c r="H20" s="190">
        <v>1</v>
      </c>
      <c r="I20" s="191">
        <f>(400/SUM(U10:U19)+20)+(200/SUM(U10:U19)+10)</f>
        <v>360.70574316137584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200/SUM(U10:U19)+10</f>
        <v>120.23524772045862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42</v>
      </c>
      <c r="B23" s="181">
        <f>'Données projet'!D36</f>
        <v>43.21</v>
      </c>
      <c r="C23" s="193">
        <v>18.5</v>
      </c>
      <c r="D23" s="182">
        <f>B23*C23</f>
        <v>799.38499999999999</v>
      </c>
      <c r="E23" s="193"/>
      <c r="F23" s="230"/>
      <c r="H23" s="190">
        <v>4</v>
      </c>
      <c r="I23" s="191"/>
      <c r="K23" s="208"/>
      <c r="L23" s="296" t="s">
        <v>260</v>
      </c>
      <c r="M23" s="296"/>
      <c r="N23" s="296"/>
      <c r="O23" s="23"/>
      <c r="P23" s="23"/>
      <c r="Q23" s="234"/>
      <c r="R23" s="23"/>
      <c r="S23" s="36" t="s">
        <v>264</v>
      </c>
      <c r="T23" s="30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-13335.181791362525</v>
      </c>
      <c r="U23" s="309"/>
      <c r="V23" s="30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50</v>
      </c>
      <c r="B24" s="181">
        <f>'Données projet'!D37</f>
        <v>35.58</v>
      </c>
      <c r="C24" s="193">
        <v>18.5</v>
      </c>
      <c r="D24" s="182">
        <f t="shared" ref="D24:D42" si="2">B24*C24</f>
        <v>658.23</v>
      </c>
      <c r="E24" s="193"/>
      <c r="F24" s="233"/>
      <c r="H24" s="190">
        <v>5</v>
      </c>
      <c r="I24" s="2">
        <f>8%*(SUM(E17:E22)*U10+SUM(E$48:E53)*U11+SUM(E79:E84)*U12+SUM(E110:E115)*U13+SUM(E141:E146)*U14+SUM(E172:E177)*U15+SUM(E203:E208)*U16+SUM(E234:E239)*U17+SUM(E265:E270)*U18+SUM(E296:E301)*U19)/SUM(U10:U19)</f>
        <v>594.7479876270437</v>
      </c>
      <c r="K24" s="208"/>
      <c r="O24" s="23"/>
      <c r="P24" s="23"/>
      <c r="Q24" s="234"/>
      <c r="R24" s="23"/>
      <c r="S24" s="36" t="s">
        <v>261</v>
      </c>
      <c r="T24" s="31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0"/>
      <c r="V24" s="31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58</v>
      </c>
      <c r="B25" s="181">
        <f>'Données projet'!D38</f>
        <v>44.93</v>
      </c>
      <c r="C25" s="193">
        <v>18.5</v>
      </c>
      <c r="D25" s="182">
        <f t="shared" si="2"/>
        <v>831.20500000000004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11">
        <f ca="1">T23-T24</f>
        <v>-13335.181791362525</v>
      </c>
      <c r="U25" s="311"/>
      <c r="V25" s="31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66</v>
      </c>
      <c r="B26" s="181">
        <f>'Données projet'!D39</f>
        <v>49.91</v>
      </c>
      <c r="C26" s="193">
        <v>32</v>
      </c>
      <c r="D26" s="182">
        <f t="shared" si="2"/>
        <v>1597.12</v>
      </c>
      <c r="E26" s="193"/>
      <c r="F26" s="233"/>
      <c r="G26" s="229"/>
      <c r="H26" s="190">
        <v>7</v>
      </c>
      <c r="I26" s="191">
        <v>20</v>
      </c>
      <c r="K26" s="208"/>
      <c r="L26" s="298" t="s">
        <v>258</v>
      </c>
      <c r="M26" s="299"/>
      <c r="N26" s="299"/>
      <c r="O26" s="299"/>
      <c r="P26" s="300"/>
      <c r="Q26" s="234"/>
      <c r="R26" s="23"/>
      <c r="S26" s="186" t="s">
        <v>265</v>
      </c>
      <c r="T26" s="308" t="str">
        <f ca="1">IF(T25&lt;0,"Votre projet est additionnel","Votre projet n'est pas additionnel")</f>
        <v>Votre projet est additionnel</v>
      </c>
      <c r="U26" s="308"/>
      <c r="V26" s="30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74</v>
      </c>
      <c r="B27" s="181">
        <f>'Données projet'!D40</f>
        <v>47.4</v>
      </c>
      <c r="C27" s="193">
        <v>32</v>
      </c>
      <c r="D27" s="182">
        <f t="shared" si="2"/>
        <v>1516.8</v>
      </c>
      <c r="E27" s="193"/>
      <c r="F27" s="233"/>
      <c r="G27" s="229"/>
      <c r="H27" s="190">
        <v>8</v>
      </c>
      <c r="I27" s="191">
        <v>20</v>
      </c>
      <c r="K27" s="208"/>
      <c r="L27" s="301"/>
      <c r="M27" s="302"/>
      <c r="N27" s="302"/>
      <c r="O27" s="302"/>
      <c r="P27" s="303"/>
      <c r="Q27" s="234"/>
      <c r="R27" s="23"/>
      <c r="S27" s="307" t="s">
        <v>267</v>
      </c>
      <c r="T27" s="307"/>
      <c r="U27" s="307"/>
      <c r="V27" s="30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84</v>
      </c>
      <c r="B28" s="181">
        <f>'Données projet'!D41</f>
        <v>61.47</v>
      </c>
      <c r="C28" s="193">
        <v>32</v>
      </c>
      <c r="D28" s="182">
        <f t="shared" si="2"/>
        <v>1967.04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94</v>
      </c>
      <c r="B29" s="181">
        <f>'Données projet'!D42</f>
        <v>61.85</v>
      </c>
      <c r="C29" s="193">
        <v>32</v>
      </c>
      <c r="D29" s="182">
        <f t="shared" si="2"/>
        <v>1979.2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S29" s="1" t="s">
        <v>327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104</v>
      </c>
      <c r="B30" s="181">
        <f>'Données projet'!D43</f>
        <v>60.19</v>
      </c>
      <c r="C30" s="193">
        <v>32</v>
      </c>
      <c r="D30" s="182">
        <f t="shared" si="2"/>
        <v>1926.08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S30" s="1" t="s">
        <v>328</v>
      </c>
      <c r="U30" s="264">
        <f>SUM(E17:E22)*U10+SUM(E$48:E53)*U11+SUM(E79:E84)*U12+SUM(E110:E115)*U13+SUM(E141:E146)*U14+SUM(E172:E177)*U15+SUM(E203:E208)*U16+SUM(E234:E239)*U17+SUM(E265:E270)*U18+SUM(E296:E301)*U19</f>
        <v>13488.153742241378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114</v>
      </c>
      <c r="B31" s="181">
        <f>'Données projet'!D44</f>
        <v>56.07</v>
      </c>
      <c r="C31" s="193">
        <v>32</v>
      </c>
      <c r="D31" s="182">
        <f t="shared" si="2"/>
        <v>1794.24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S31" s="1" t="s">
        <v>326</v>
      </c>
      <c r="U31" s="264">
        <f>SUM(I19:I23)*SUM(U10:U19)</f>
        <v>872.57206896551725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124</v>
      </c>
      <c r="B32" s="181">
        <f>'Données projet'!D45</f>
        <v>52.53</v>
      </c>
      <c r="C32" s="193">
        <v>32</v>
      </c>
      <c r="D32" s="182">
        <f t="shared" si="2"/>
        <v>1680.96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S32" s="1" t="s">
        <v>325</v>
      </c>
      <c r="U32" s="1">
        <v>1500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134</v>
      </c>
      <c r="B33" s="181">
        <f>'Données projet'!D46</f>
        <v>54.95</v>
      </c>
      <c r="C33" s="193">
        <v>32</v>
      </c>
      <c r="D33" s="182">
        <f t="shared" si="2"/>
        <v>1758.4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S33" s="1" t="s">
        <v>175</v>
      </c>
      <c r="U33" s="1">
        <f>SUM(U30:U32)</f>
        <v>15860.725811206896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144</v>
      </c>
      <c r="B34" s="181">
        <f>'Données projet'!D47</f>
        <v>56.01</v>
      </c>
      <c r="C34" s="193">
        <v>32</v>
      </c>
      <c r="D34" s="182">
        <f t="shared" si="2"/>
        <v>1792.32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154</v>
      </c>
      <c r="B35" s="181">
        <f>'Données projet'!D48</f>
        <v>55.13</v>
      </c>
      <c r="C35" s="193">
        <v>32</v>
      </c>
      <c r="D35" s="182">
        <f t="shared" si="2"/>
        <v>1764.16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164</v>
      </c>
      <c r="B36" s="181">
        <f>'Données projet'!D49</f>
        <v>59.58</v>
      </c>
      <c r="C36" s="193">
        <v>32</v>
      </c>
      <c r="D36" s="182">
        <f t="shared" si="2"/>
        <v>1906.56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174</v>
      </c>
      <c r="B37" s="181">
        <f>'Données projet'!D50</f>
        <v>214.77</v>
      </c>
      <c r="C37" s="193">
        <v>32</v>
      </c>
      <c r="D37" s="182">
        <f t="shared" si="2"/>
        <v>6872.64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177</v>
      </c>
      <c r="B38" s="181">
        <f>'Données projet'!D51</f>
        <v>115.19</v>
      </c>
      <c r="C38" s="193">
        <v>32</v>
      </c>
      <c r="D38" s="182">
        <f t="shared" si="2"/>
        <v>3686.08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180</v>
      </c>
      <c r="B39" s="181">
        <f>'Données projet'!D52</f>
        <v>77.72</v>
      </c>
      <c r="C39" s="193">
        <v>32</v>
      </c>
      <c r="D39" s="182">
        <f t="shared" si="2"/>
        <v>2487.04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183</v>
      </c>
      <c r="B40" s="181">
        <f>'Données projet'!D53</f>
        <v>169.76</v>
      </c>
      <c r="C40" s="193">
        <v>32</v>
      </c>
      <c r="D40" s="182">
        <f t="shared" si="2"/>
        <v>5432.32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Alisier torminal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1300*(2.5+0.7+0.32)</f>
        <v>4576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>
        <f>220+430</f>
        <v>650</v>
      </c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>
        <f>400+430+15%*E48</f>
        <v>1516.4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>
        <f>220+430</f>
        <v>650</v>
      </c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42</v>
      </c>
      <c r="B54" s="181">
        <f>'Données projet'!D62</f>
        <v>43.21</v>
      </c>
      <c r="C54" s="191">
        <v>21.5</v>
      </c>
      <c r="D54" s="179">
        <f>B54*C54</f>
        <v>929.01499999999999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50</v>
      </c>
      <c r="B55" s="181">
        <f>'Données projet'!D63</f>
        <v>35.58</v>
      </c>
      <c r="C55" s="191">
        <v>21.5</v>
      </c>
      <c r="D55" s="179">
        <f t="shared" ref="D55:D73" si="4">B55*C55</f>
        <v>764.96999999999991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58</v>
      </c>
      <c r="B56" s="181">
        <f>'Données projet'!D64</f>
        <v>44.93</v>
      </c>
      <c r="C56" s="191">
        <v>21.5</v>
      </c>
      <c r="D56" s="179">
        <f t="shared" si="4"/>
        <v>965.995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66</v>
      </c>
      <c r="B57" s="181">
        <f>'Données projet'!D65</f>
        <v>49.91</v>
      </c>
      <c r="C57" s="191">
        <v>38</v>
      </c>
      <c r="D57" s="179">
        <f t="shared" si="4"/>
        <v>1896.58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74</v>
      </c>
      <c r="B58" s="181">
        <f>'Données projet'!D66</f>
        <v>47.4</v>
      </c>
      <c r="C58" s="191">
        <v>38</v>
      </c>
      <c r="D58" s="179">
        <f t="shared" si="4"/>
        <v>1801.2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84</v>
      </c>
      <c r="B59" s="181">
        <f>'Données projet'!D67</f>
        <v>61.47</v>
      </c>
      <c r="C59" s="191">
        <v>38</v>
      </c>
      <c r="D59" s="179">
        <f t="shared" si="4"/>
        <v>2335.86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94</v>
      </c>
      <c r="B60" s="181">
        <f>'Données projet'!D68</f>
        <v>61.85</v>
      </c>
      <c r="C60" s="191">
        <v>38</v>
      </c>
      <c r="D60" s="179">
        <f t="shared" si="4"/>
        <v>2350.3000000000002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104</v>
      </c>
      <c r="B61" s="181">
        <f>'Données projet'!D69</f>
        <v>60.19</v>
      </c>
      <c r="C61" s="191">
        <v>38</v>
      </c>
      <c r="D61" s="179">
        <f t="shared" si="4"/>
        <v>2287.2199999999998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114</v>
      </c>
      <c r="B62" s="181">
        <f>'Données projet'!D70</f>
        <v>56.07</v>
      </c>
      <c r="C62" s="191">
        <v>38</v>
      </c>
      <c r="D62" s="179">
        <f t="shared" si="4"/>
        <v>2130.66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124</v>
      </c>
      <c r="B63" s="181">
        <f>'Données projet'!D71</f>
        <v>52.53</v>
      </c>
      <c r="C63" s="191">
        <v>38</v>
      </c>
      <c r="D63" s="179">
        <f t="shared" si="4"/>
        <v>1996.14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134</v>
      </c>
      <c r="B64" s="181">
        <f>'Données projet'!D72</f>
        <v>54.95</v>
      </c>
      <c r="C64" s="191">
        <v>38</v>
      </c>
      <c r="D64" s="179">
        <f t="shared" si="4"/>
        <v>2088.1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144</v>
      </c>
      <c r="B65" s="181">
        <f>'Données projet'!D73</f>
        <v>56.01</v>
      </c>
      <c r="C65" s="191">
        <v>38</v>
      </c>
      <c r="D65" s="179">
        <f t="shared" si="4"/>
        <v>2128.38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154</v>
      </c>
      <c r="B66" s="181">
        <f>'Données projet'!D74</f>
        <v>55.13</v>
      </c>
      <c r="C66" s="191">
        <v>38</v>
      </c>
      <c r="D66" s="179">
        <f t="shared" si="4"/>
        <v>2094.94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164</v>
      </c>
      <c r="B67" s="181">
        <f>'Données projet'!D75</f>
        <v>59.58</v>
      </c>
      <c r="C67" s="191">
        <v>38</v>
      </c>
      <c r="D67" s="179">
        <f t="shared" si="4"/>
        <v>2264.04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174</v>
      </c>
      <c r="B68" s="181">
        <f>'Données projet'!D76</f>
        <v>214.77</v>
      </c>
      <c r="C68" s="191">
        <v>38</v>
      </c>
      <c r="D68" s="179">
        <f t="shared" si="4"/>
        <v>8161.26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177</v>
      </c>
      <c r="B69" s="181">
        <f>'Données projet'!D77</f>
        <v>115.19</v>
      </c>
      <c r="C69" s="191">
        <v>38</v>
      </c>
      <c r="D69" s="179">
        <f t="shared" si="4"/>
        <v>4377.22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180</v>
      </c>
      <c r="B70" s="181">
        <f>'Données projet'!D78</f>
        <v>77.72</v>
      </c>
      <c r="C70" s="191">
        <v>38</v>
      </c>
      <c r="D70" s="179">
        <f t="shared" si="4"/>
        <v>2953.36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183</v>
      </c>
      <c r="B71" s="181">
        <f>'Données projet'!D79</f>
        <v>169.76</v>
      </c>
      <c r="C71" s="191">
        <v>38</v>
      </c>
      <c r="D71" s="179">
        <f t="shared" si="4"/>
        <v>6450.8799999999992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Cèdre de l'Atlas</v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1300*(1.5+0.7+0.32)</f>
        <v>3276</v>
      </c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>
        <f>220+430</f>
        <v>650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>
        <f>400+430+15%*E79</f>
        <v>1321.4</v>
      </c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>
        <f>220+430</f>
        <v>650</v>
      </c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51</v>
      </c>
      <c r="B85" s="181">
        <f>'Données projet'!D88</f>
        <v>171.3</v>
      </c>
      <c r="C85" s="191">
        <v>43.5</v>
      </c>
      <c r="D85" s="179">
        <f>B85*C85</f>
        <v>7451.55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61</v>
      </c>
      <c r="B86" s="181">
        <f>'Données projet'!D89</f>
        <v>100.2</v>
      </c>
      <c r="C86" s="191">
        <v>43.5</v>
      </c>
      <c r="D86" s="179">
        <f t="shared" ref="D86:D104" si="6">B86*C86</f>
        <v>4358.7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73</v>
      </c>
      <c r="B87" s="181">
        <f>'Données projet'!D90</f>
        <v>102.1</v>
      </c>
      <c r="C87" s="191">
        <v>43.5</v>
      </c>
      <c r="D87" s="179">
        <f t="shared" si="6"/>
        <v>4441.3499999999995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85</v>
      </c>
      <c r="B88" s="181">
        <f>'Données projet'!D91</f>
        <v>94.69</v>
      </c>
      <c r="C88" s="191">
        <v>43.5</v>
      </c>
      <c r="D88" s="179">
        <f t="shared" si="6"/>
        <v>4119.0150000000003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97</v>
      </c>
      <c r="B89" s="181">
        <f>'Données projet'!D92</f>
        <v>89.6</v>
      </c>
      <c r="C89" s="191">
        <v>43.5</v>
      </c>
      <c r="D89" s="179">
        <f t="shared" si="6"/>
        <v>3897.6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109</v>
      </c>
      <c r="B90" s="181">
        <f>'Données projet'!D93</f>
        <v>91.09</v>
      </c>
      <c r="C90" s="191">
        <v>43.5</v>
      </c>
      <c r="D90" s="179">
        <f t="shared" si="6"/>
        <v>3962.415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121</v>
      </c>
      <c r="B91" s="181">
        <f>'Données projet'!D94</f>
        <v>233.54</v>
      </c>
      <c r="C91" s="191">
        <v>44</v>
      </c>
      <c r="D91" s="179">
        <f t="shared" si="6"/>
        <v>10275.76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131</v>
      </c>
      <c r="B92" s="181">
        <f>'Données projet'!D95</f>
        <v>294.08999999999997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>
        <f>IF(O113+1&lt;=MIN('Données projet'!$E$9:$E$18),O113+1,"STOP")</f>
        <v>81</v>
      </c>
      <c r="P114" s="185">
        <f t="shared" si="7"/>
        <v>0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>
        <f>IF(O114+1&lt;=MIN('Données projet'!$E$9:$E$18),O114+1,"STOP")</f>
        <v>82</v>
      </c>
      <c r="P115" s="185">
        <f t="shared" si="7"/>
        <v>0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>
        <f>IF(O115+1&lt;=MIN('Données projet'!$E$9:$E$18),O115+1,"STOP")</f>
        <v>83</v>
      </c>
      <c r="P116" s="185">
        <f t="shared" si="7"/>
        <v>0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>
        <f>IF(O116+1&lt;=MIN('Données projet'!$E$9:$E$18),O116+1,"STOP")</f>
        <v>84</v>
      </c>
      <c r="P117" s="185">
        <f t="shared" si="7"/>
        <v>0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>
        <f>IF(O117+1&lt;=MIN('Données projet'!$E$9:$E$18),O117+1,"STOP")</f>
        <v>85</v>
      </c>
      <c r="P118" s="185">
        <f t="shared" si="7"/>
        <v>0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>
        <f>IF(O118+1&lt;=MIN('Données projet'!$E$9:$E$18),O118+1,"STOP")</f>
        <v>86</v>
      </c>
      <c r="P119" s="185">
        <f t="shared" si="7"/>
        <v>0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>
        <f>IF(O119+1&lt;=MIN('Données projet'!$E$9:$E$18),O119+1,"STOP")</f>
        <v>87</v>
      </c>
      <c r="P120" s="185">
        <f t="shared" si="7"/>
        <v>0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>
        <f>IF(O120+1&lt;=MIN('Données projet'!$E$9:$E$18),O120+1,"STOP")</f>
        <v>88</v>
      </c>
      <c r="P121" s="185">
        <f t="shared" si="7"/>
        <v>0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>
        <f>IF(O121+1&lt;=MIN('Données projet'!$E$9:$E$18),O121+1,"STOP")</f>
        <v>89</v>
      </c>
      <c r="P122" s="185">
        <f t="shared" si="7"/>
        <v>0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>
        <f>IF(O122+1&lt;=MIN('Données projet'!$E$9:$E$18),O122+1,"STOP")</f>
        <v>90</v>
      </c>
      <c r="P123" s="185">
        <f t="shared" si="7"/>
        <v>0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>
        <f>IF(O123+1&lt;=MIN('Données projet'!$E$9:$E$18),O123+1,"STOP")</f>
        <v>91</v>
      </c>
      <c r="P124" s="185">
        <f t="shared" si="7"/>
        <v>0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>
        <f>IF(O124+1&lt;=MIN('Données projet'!$E$9:$E$18),O124+1,"STOP")</f>
        <v>92</v>
      </c>
      <c r="P125" s="185">
        <f t="shared" si="7"/>
        <v>0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>
        <f>IF(O125+1&lt;=MIN('Données projet'!$E$9:$E$18),O125+1,"STOP")</f>
        <v>93</v>
      </c>
      <c r="P126" s="185">
        <f t="shared" si="7"/>
        <v>0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>
        <f>IF(O126+1&lt;=MIN('Données projet'!$E$9:$E$18),O126+1,"STOP")</f>
        <v>94</v>
      </c>
      <c r="P127" s="185">
        <f t="shared" si="7"/>
        <v>0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>
        <f>IF(O127+1&lt;=MIN('Données projet'!$E$9:$E$18),O127+1,"STOP")</f>
        <v>95</v>
      </c>
      <c r="P128" s="185">
        <f t="shared" si="7"/>
        <v>0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>
        <f>IF(O128+1&lt;=MIN('Données projet'!$E$9:$E$18),O128+1,"STOP")</f>
        <v>96</v>
      </c>
      <c r="P129" s="185">
        <f t="shared" ref="P129:P132" si="9">$P$25/(1+$M$4)^O129</f>
        <v>0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>
        <f>IF(O129+1&lt;=MIN('Données projet'!$E$9:$E$18),O129+1,"STOP")</f>
        <v>97</v>
      </c>
      <c r="P130" s="185">
        <f t="shared" si="9"/>
        <v>0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>
        <f>IF(O130+1&lt;=MIN('Données projet'!$E$9:$E$18),O130+1,"STOP")</f>
        <v>98</v>
      </c>
      <c r="P131" s="185">
        <f t="shared" si="9"/>
        <v>0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>
        <f>IF(O131+1&lt;=MIN('Données projet'!$E$9:$E$18),O131+1,"STOP")</f>
        <v>99</v>
      </c>
      <c r="P132" s="185">
        <f t="shared" si="9"/>
        <v>0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da778f651e2b9172a0668a57e5259e37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21723ea34ef7bb0ee75fd50087f5b91c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64DF4A4-A92B-4E9D-9C32-DF299F6FD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Nathan AMIENS</cp:lastModifiedBy>
  <dcterms:created xsi:type="dcterms:W3CDTF">2021-02-01T08:22:39Z</dcterms:created>
  <dcterms:modified xsi:type="dcterms:W3CDTF">2025-06-19T16:09:08Z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