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lément Bourel\Downloads\"/>
    </mc:Choice>
  </mc:AlternateContent>
  <xr:revisionPtr revIDLastSave="0" documentId="8_{44E1426B-ED1F-4FCB-83D0-10EAEA00A4A7}" xr6:coauthVersionLast="47" xr6:coauthVersionMax="47" xr10:uidLastSave="{00000000-0000-0000-0000-000000000000}"/>
  <bookViews>
    <workbookView xWindow="-120" yWindow="-120" windowWidth="20730" windowHeight="11040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R4" i="2" l="1"/>
  <c r="EA4" i="2"/>
  <c r="BQ4" i="2"/>
  <c r="FR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EX5" i="2" s="1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V7" i="2" s="1"/>
  <c r="ET7" i="2"/>
  <c r="EW7" i="2" s="1"/>
  <c r="FO7" i="2"/>
  <c r="FN7" i="2"/>
  <c r="DY7" i="2"/>
  <c r="DD7" i="2"/>
  <c r="DC7" i="2"/>
  <c r="BM7" i="2"/>
  <c r="BN7" i="2"/>
  <c r="DX7" i="2"/>
  <c r="EA7" i="2" s="1"/>
  <c r="CH7" i="2"/>
  <c r="AS7" i="2"/>
  <c r="W7" i="2"/>
  <c r="CI7" i="2"/>
  <c r="AR7" i="2"/>
  <c r="X7" i="2"/>
  <c r="HB7" i="2"/>
  <c r="HC7" i="2"/>
  <c r="HI7" i="2" s="1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B7" i="2" l="1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G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HH12" i="2" s="1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G14" i="2" s="1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EX14" i="2" s="1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EV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FS18" i="2" l="1"/>
  <c r="EV18" i="2"/>
  <c r="EW18" i="2"/>
  <c r="EX18" i="2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HG20" i="2" s="1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EC20" i="2"/>
  <c r="HH20" i="2"/>
  <c r="FS20" i="2"/>
  <c r="EV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EV21" i="2" s="1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B21" i="2" l="1"/>
  <c r="HH21" i="2"/>
  <c r="EW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A22" i="2"/>
  <c r="EW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HG24" i="2" s="1"/>
  <c r="GJ24" i="2"/>
  <c r="FO24" i="2"/>
  <c r="GI24" i="2"/>
  <c r="DY24" i="2"/>
  <c r="ES24" i="2"/>
  <c r="DX24" i="2"/>
  <c r="FN24" i="2"/>
  <c r="ET24" i="2"/>
  <c r="EW24" i="2" s="1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FR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HH26" i="2" s="1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C27" i="2" l="1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EV28" i="2" s="1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EC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HG33" i="2" l="1"/>
  <c r="EW33" i="2"/>
  <c r="HH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EW34" i="2" s="1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CM34" i="2" l="1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EA35" i="2" s="1"/>
  <c r="DC35" i="2"/>
  <c r="DD35" i="2"/>
  <c r="BN35" i="2"/>
  <c r="CI35" i="2"/>
  <c r="BM35" i="2"/>
  <c r="W35" i="2"/>
  <c r="FN35" i="2"/>
  <c r="DY35" i="2"/>
  <c r="EB35" i="2" s="1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FQ35" i="2" l="1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B37" i="2" l="1"/>
  <c r="EA37" i="2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EX38" i="2" s="1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W38" i="2"/>
  <c r="HH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EV42" i="2" s="1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I43" i="2" s="1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G43" i="2" l="1"/>
  <c r="DG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H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X45" i="2" l="1"/>
  <c r="HG45" i="2"/>
  <c r="EB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G46" i="2" l="1"/>
  <c r="HI46" i="2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A51" i="2" l="1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A59" i="2" l="1"/>
  <c r="EC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H60" i="2"/>
  <c r="HG60" i="2"/>
  <c r="EV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EW61" i="2"/>
  <c r="EA61" i="2"/>
  <c r="EX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S62" i="2"/>
  <c r="DX62" i="2"/>
  <c r="EA62" i="2" s="1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B62" i="2" l="1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EC63" i="2" s="1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G63" i="2" l="1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EV64" i="2"/>
  <c r="HH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X66" i="2" l="1"/>
  <c r="HH66" i="2"/>
  <c r="FS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HH67" i="2" s="1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W70" i="2" l="1"/>
  <c r="EB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EA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B72" i="2" l="1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S74" i="2" s="1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HH75" i="2" l="1"/>
  <c r="EB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A77" i="2" l="1"/>
  <c r="EW77" i="2"/>
  <c r="HI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EW78" i="2" s="1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B78" i="2" l="1"/>
  <c r="EV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HG84" i="2" s="1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EC84" i="2" l="1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G85" i="2" l="1"/>
  <c r="EC85" i="2"/>
  <c r="EV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A87" i="2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EA91" i="2" s="1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X91" i="2" l="1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EW92" i="2" s="1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EC93" i="2" s="1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HG95" i="2" l="1"/>
  <c r="EB95" i="2"/>
  <c r="EX95" i="2"/>
  <c r="FQ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A103" i="2" l="1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EV105" i="2"/>
  <c r="FS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G106" i="2" s="1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EA107" i="2" s="1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EX107" i="2" s="1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HH110" i="2" s="1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B112" i="2"/>
  <c r="EC112" i="2"/>
  <c r="FQ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EV114" i="2" s="1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FS115" i="2" s="1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HI115" i="2" l="1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S118" i="2" s="1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R119" i="2" s="1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R120" i="2" l="1"/>
  <c r="FQ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EB121" i="2"/>
  <c r="FR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EW122" i="2" l="1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EX124" i="2" s="1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W124" i="2" l="1"/>
  <c r="HH124" i="2"/>
  <c r="HG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EX128" i="2" s="1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EV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X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G132" i="2" s="1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EC132" i="2" s="1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HI132" i="2" l="1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EV133" i="2" s="1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EV134" i="2" s="1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G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X135" i="2" l="1"/>
  <c r="EW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FS136" i="2" s="1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HI136" i="2" l="1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EX137" i="2" s="1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HH139" i="2"/>
  <c r="EA139" i="2"/>
  <c r="EB139" i="2"/>
  <c r="EW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G140" i="2" s="1"/>
  <c r="HE140" i="2"/>
  <c r="HH140" i="2" s="1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EC140" i="2" s="1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EB141" i="2" s="1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A141" i="2" l="1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G142" i="2" s="1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W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FS143" i="2" s="1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C143" i="2" l="1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HH144" i="2" s="1"/>
  <c r="FO144" i="2"/>
  <c r="FR144" i="2" s="1"/>
  <c r="GJ144" i="2"/>
  <c r="GI144" i="2"/>
  <c r="ES144" i="2"/>
  <c r="DX144" i="2"/>
  <c r="EA144" i="2" s="1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HG144" i="2" l="1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HG145" i="2" s="1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FR145" i="2"/>
  <c r="EB145" i="2"/>
  <c r="HH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G146" i="2" s="1"/>
  <c r="HE146" i="2"/>
  <c r="GJ146" i="2"/>
  <c r="GI146" i="2"/>
  <c r="ET146" i="2"/>
  <c r="FN146" i="2"/>
  <c r="DD146" i="2"/>
  <c r="BN146" i="2"/>
  <c r="FO146" i="2"/>
  <c r="FR146" i="2" s="1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I146" i="2" s="1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HH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EC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HH150" i="2" l="1"/>
  <c r="HG150" i="2"/>
  <c r="EV150" i="2"/>
  <c r="FS150" i="2"/>
  <c r="HI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EC151" i="2" s="1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V151" i="2" l="1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EB152" i="2" s="1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EB153" i="2"/>
  <c r="EX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B154" i="2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HI156" i="2" s="1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FS156" i="2"/>
  <c r="HH156" i="2"/>
  <c r="HG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EB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H158" i="2" l="1"/>
  <c r="EV158" i="2"/>
  <c r="HG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EY159" i="2"/>
  <c r="HI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FS161" i="2" l="1"/>
  <c r="AB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HH162" i="2" l="1"/>
  <c r="HG162" i="2"/>
  <c r="EB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V163" i="2" l="1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G164" i="2" s="1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H164" i="2" l="1"/>
  <c r="EA164" i="2"/>
  <c r="EV164" i="2"/>
  <c r="EX164" i="2"/>
  <c r="FS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HH165" i="2" l="1"/>
  <c r="EA165" i="2"/>
  <c r="EX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B167" i="2" l="1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EB169" i="2" s="1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X169" i="2" l="1"/>
  <c r="EA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G172" i="2" s="1"/>
  <c r="HE172" i="2"/>
  <c r="GK172" i="2"/>
  <c r="FB172" i="2"/>
  <c r="HF172" i="2"/>
  <c r="FC172" i="2"/>
  <c r="FW172" i="2"/>
  <c r="FL172" i="2"/>
  <c r="GR172" i="2"/>
  <c r="FX172" i="2"/>
  <c r="FM172" i="2"/>
  <c r="ET172" i="2"/>
  <c r="EW172" i="2" s="1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C172" i="2" l="1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HG174" i="2" s="1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C174" i="2" s="1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HH174" i="2" l="1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EA175" i="2" s="1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X176" i="2" l="1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I177" i="2" l="1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A178" i="2" l="1"/>
  <c r="EB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DF179" i="2" s="1"/>
  <c r="CG179" i="2"/>
  <c r="W179" i="2"/>
  <c r="AX176" i="2"/>
  <c r="ED178" i="2"/>
  <c r="HI179" i="2" l="1"/>
  <c r="HH179" i="2"/>
  <c r="EV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HG181" i="2" l="1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C182" i="2" l="1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A186" i="2" l="1"/>
  <c r="HH186" i="2"/>
  <c r="FR186" i="2"/>
  <c r="HG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EY188" i="2"/>
  <c r="AX186" i="2"/>
  <c r="EC189" i="2" l="1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EW191" i="2" l="1"/>
  <c r="HH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EC192" i="2" s="1"/>
  <c r="CQ192" i="2"/>
  <c r="CI192" i="2"/>
  <c r="BN192" i="2"/>
  <c r="EQ192" i="2"/>
  <c r="DX192" i="2"/>
  <c r="EA192" i="2" s="1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I192" i="2" l="1"/>
  <c r="EW192" i="2"/>
  <c r="HG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EB193" i="2" s="1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A193" i="2" l="1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EB194" i="2"/>
  <c r="EA194" i="2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A195" i="2" s="1"/>
  <c r="AX192" i="2"/>
  <c r="HG195" i="2" l="1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HH196" i="2" s="1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HG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HH197" i="2"/>
  <c r="HG197" i="2"/>
  <c r="EA197" i="2"/>
  <c r="EW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H199" i="2" l="1"/>
  <c r="EV199" i="2"/>
  <c r="EW199" i="2"/>
  <c r="HG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EA201" i="2" l="1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H202" i="2" l="1"/>
  <c r="FR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62" i="2" a="1"/>
  <c r="AH62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BC7" i="2" l="1" a="1"/>
  <c r="BC7" i="2" s="1"/>
  <c r="BC181" i="2" a="1"/>
  <c r="BC181" i="2" s="1"/>
  <c r="BC143" i="2" a="1"/>
  <c r="BC143" i="2" s="1"/>
  <c r="BC55" i="2" a="1"/>
  <c r="BC55" i="2" s="1"/>
  <c r="BC185" i="2" a="1"/>
  <c r="BC185" i="2" s="1"/>
  <c r="BC130" i="2" a="1"/>
  <c r="BC130" i="2" s="1"/>
  <c r="BC114" i="2" a="1"/>
  <c r="BC114" i="2" s="1"/>
  <c r="BC31" i="2" a="1"/>
  <c r="BC31" i="2" s="1"/>
  <c r="BC47" i="2" a="1"/>
  <c r="BC47" i="2" s="1"/>
  <c r="BC18" i="2" a="1"/>
  <c r="BC18" i="2" s="1"/>
  <c r="BC68" i="2" a="1"/>
  <c r="BC68" i="2" s="1"/>
  <c r="BC84" i="2" a="1"/>
  <c r="BC84" i="2" s="1"/>
  <c r="BC38" i="2" a="1"/>
  <c r="BC38" i="2" s="1"/>
  <c r="BC32" i="2" a="1"/>
  <c r="BC32" i="2" s="1"/>
  <c r="BC83" i="2" a="1"/>
  <c r="BC83" i="2" s="1"/>
  <c r="BC164" i="2" a="1"/>
  <c r="BC164" i="2" s="1"/>
  <c r="BC82" i="2" a="1"/>
  <c r="BC82" i="2" s="1"/>
  <c r="BC151" i="2" a="1"/>
  <c r="BC151" i="2" s="1"/>
  <c r="BC192" i="2" a="1"/>
  <c r="BC192" i="2" s="1"/>
  <c r="BC117" i="2" a="1"/>
  <c r="BC117" i="2" s="1"/>
  <c r="BC58" i="2" a="1"/>
  <c r="BC58" i="2" s="1"/>
  <c r="BC34" i="2" a="1"/>
  <c r="BC34" i="2" s="1"/>
  <c r="BC65" i="2" a="1"/>
  <c r="BC65" i="2" s="1"/>
  <c r="BC126" i="2" a="1"/>
  <c r="BC126" i="2" s="1"/>
  <c r="AH163" i="2" a="1"/>
  <c r="AH163" i="2" s="1"/>
  <c r="AH199" i="2" a="1"/>
  <c r="AH199" i="2" s="1"/>
  <c r="BP203" i="2"/>
  <c r="HG203" i="2"/>
  <c r="FR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I47" i="2" l="1"/>
  <c r="BI96" i="2"/>
  <c r="BI34" i="2"/>
  <c r="BI98" i="2"/>
  <c r="BI63" i="2"/>
  <c r="BI150" i="2"/>
  <c r="BI109" i="2"/>
  <c r="BI81" i="2"/>
  <c r="BI61" i="2"/>
  <c r="BI161" i="2"/>
  <c r="BI180" i="2"/>
  <c r="BI177" i="2"/>
  <c r="BI87" i="2"/>
  <c r="BI15" i="2"/>
  <c r="BI49" i="2"/>
  <c r="BI110" i="2"/>
  <c r="BI165" i="2"/>
  <c r="BI200" i="2"/>
  <c r="BI151" i="2"/>
  <c r="BI118" i="2"/>
  <c r="BI66" i="2"/>
  <c r="BI29" i="2"/>
  <c r="BI143" i="2"/>
  <c r="BI7" i="2"/>
  <c r="BI126" i="2"/>
  <c r="BI166" i="2"/>
  <c r="BI39" i="2"/>
  <c r="BI158" i="2"/>
  <c r="BI187" i="2"/>
  <c r="BI75" i="2"/>
  <c r="BI108" i="2"/>
  <c r="BI167" i="2"/>
  <c r="BI68" i="2"/>
  <c r="BI162" i="2"/>
  <c r="BI3" i="2"/>
  <c r="C8" i="4" s="1"/>
  <c r="E8" i="4" s="1"/>
  <c r="F8" i="4" s="1"/>
  <c r="G8" i="4" s="1"/>
  <c r="L8" i="4" s="1"/>
  <c r="BI17" i="2"/>
  <c r="BI8" i="2"/>
  <c r="BI186" i="2"/>
  <c r="BI28" i="2"/>
  <c r="BI198" i="2"/>
  <c r="BI70" i="2"/>
  <c r="BI89" i="2"/>
  <c r="BI59" i="2"/>
  <c r="BI16" i="2"/>
  <c r="BI124" i="2"/>
  <c r="BI131" i="2"/>
  <c r="BI40" i="2"/>
  <c r="BI163" i="2"/>
  <c r="BI48" i="2"/>
  <c r="BI125" i="2"/>
  <c r="BI197" i="2"/>
  <c r="BI19" i="2"/>
  <c r="BI62" i="2"/>
  <c r="BI190" i="2"/>
  <c r="BI27" i="2"/>
  <c r="BI20" i="2"/>
  <c r="BI56" i="2"/>
  <c r="BI38" i="2"/>
  <c r="BI9" i="2"/>
  <c r="BI111" i="2"/>
  <c r="BI192" i="2"/>
  <c r="BI94" i="2"/>
  <c r="BI10" i="2"/>
  <c r="BI64" i="2"/>
  <c r="BI113" i="2"/>
  <c r="BI79" i="2"/>
  <c r="BI13" i="2"/>
  <c r="BI72" i="2"/>
  <c r="BI74" i="2"/>
  <c r="BI135" i="2"/>
  <c r="BI105" i="2"/>
  <c r="BI115" i="2"/>
  <c r="BI52" i="2"/>
  <c r="BI60" i="2"/>
  <c r="BI141" i="2"/>
  <c r="BI142" i="2"/>
  <c r="BI145" i="2"/>
  <c r="BI104" i="2"/>
  <c r="BI144" i="2"/>
  <c r="BI18" i="2"/>
  <c r="BI107" i="2"/>
  <c r="BI129" i="2"/>
  <c r="BI182" i="2"/>
  <c r="BI155" i="2"/>
  <c r="BI92" i="2"/>
  <c r="BI127" i="2"/>
  <c r="BI183" i="2"/>
  <c r="BI91" i="2"/>
  <c r="BI58" i="2"/>
  <c r="BI71" i="2"/>
  <c r="BI172" i="2"/>
  <c r="BI35" i="2"/>
  <c r="BI184" i="2"/>
  <c r="BI116" i="2"/>
  <c r="BI14" i="2"/>
  <c r="BI123" i="2"/>
  <c r="BI181" i="2"/>
  <c r="BI171" i="2"/>
  <c r="BI97" i="2"/>
  <c r="BI174" i="2"/>
  <c r="BI83" i="2"/>
  <c r="BI199" i="2"/>
  <c r="BI119" i="2"/>
  <c r="BI156" i="2"/>
  <c r="BI55" i="2"/>
  <c r="BI160" i="2"/>
  <c r="BI178" i="2"/>
  <c r="BI37" i="2"/>
  <c r="BI30" i="2"/>
  <c r="BI134" i="2"/>
  <c r="BI67" i="2"/>
  <c r="BI122" i="2"/>
  <c r="BI80" i="2"/>
  <c r="BI202" i="2"/>
  <c r="BI44" i="2"/>
  <c r="BI106" i="2"/>
  <c r="BI194" i="2"/>
  <c r="BI93" i="2"/>
  <c r="BI191" i="2"/>
  <c r="BI117" i="2"/>
  <c r="BI168" i="2"/>
  <c r="BI99" i="2"/>
  <c r="BI133" i="2"/>
  <c r="BI176" i="2"/>
  <c r="BI24" i="2"/>
  <c r="BI90" i="2"/>
  <c r="BI43" i="2"/>
  <c r="BI86" i="2"/>
  <c r="BI31" i="2"/>
  <c r="BI196" i="2"/>
  <c r="BI54" i="2"/>
  <c r="BI50" i="2"/>
  <c r="BI101" i="2"/>
  <c r="BI147" i="2"/>
  <c r="BI136" i="2"/>
  <c r="BI22" i="2"/>
  <c r="BI140" i="2"/>
  <c r="BI120" i="2"/>
  <c r="BI25" i="2"/>
  <c r="BI169" i="2"/>
  <c r="BI139" i="2"/>
  <c r="BI138" i="2"/>
  <c r="BI159" i="2"/>
  <c r="BI103" i="2"/>
  <c r="BI21" i="2"/>
  <c r="BI51" i="2"/>
  <c r="BI84" i="2"/>
  <c r="BI65" i="2"/>
  <c r="BI146" i="2"/>
  <c r="BI42" i="2"/>
  <c r="BI102" i="2"/>
  <c r="BI173" i="2"/>
  <c r="BI73" i="2"/>
  <c r="BI179" i="2"/>
  <c r="BI153" i="2"/>
  <c r="BI193" i="2"/>
  <c r="BI175" i="2"/>
  <c r="BI137" i="2"/>
  <c r="BI195" i="2"/>
  <c r="BI132" i="2"/>
  <c r="BI189" i="2"/>
  <c r="BI88" i="2"/>
  <c r="BI6" i="2"/>
  <c r="BI33" i="2"/>
  <c r="BI32" i="2"/>
  <c r="BI12" i="2"/>
  <c r="BI82" i="2"/>
  <c r="BI11" i="2"/>
  <c r="BI85" i="2"/>
  <c r="BI128" i="2"/>
  <c r="BI4" i="2"/>
  <c r="BI149" i="2"/>
  <c r="BI121" i="2"/>
  <c r="BI78" i="2"/>
  <c r="BI148" i="2"/>
  <c r="BI77" i="2"/>
  <c r="BI154" i="2"/>
  <c r="BI157" i="2"/>
  <c r="BI185" i="2"/>
  <c r="BI114" i="2"/>
  <c r="BI57" i="2"/>
  <c r="BI46" i="2"/>
  <c r="BI100" i="2"/>
  <c r="BI188" i="2"/>
  <c r="BI53" i="2"/>
  <c r="BI95" i="2"/>
  <c r="BI164" i="2"/>
  <c r="BI23" i="2"/>
  <c r="BI36" i="2"/>
  <c r="BI170" i="2"/>
  <c r="BI152" i="2"/>
  <c r="BI201" i="2"/>
  <c r="BI45" i="2"/>
  <c r="BI5" i="2"/>
  <c r="BI26" i="2"/>
  <c r="BI203" i="2"/>
  <c r="BI41" i="2"/>
  <c r="BI112" i="2"/>
  <c r="BI76" i="2"/>
  <c r="BI69" i="2"/>
  <c r="BI130" i="2"/>
  <c r="BS152" i="2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<sst xmlns="http://schemas.openxmlformats.org/spreadsheetml/2006/main" count="1175" uniqueCount="325">
  <si>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</si>
  <si>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</si>
  <si>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</si>
  <si>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</si>
  <si>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</si>
  <si>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</si>
  <si>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</si>
  <si>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</si>
  <si>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</si>
  <si>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</si>
  <si>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</si>
  <si>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</si>
  <si>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</si>
  <si>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</si>
  <si>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</si>
  <si>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</si>
  <si>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</si>
  <si>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</si>
  <si>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</si>
  <si>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</si>
  <si>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</si>
  <si>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</si>
  <si>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</si>
  <si>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</si>
  <si>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</si>
  <si>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</si>
  <si>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</si>
  <si>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</si>
  <si>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</si>
  <si>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</si>
  <si>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</si>
  <si>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</si>
  <si>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</si>
  <si>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</si>
  <si>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</si>
  <si>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</si>
  <si>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</si>
  <si>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</si>
  <si>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</si>
  <si>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</si>
  <si>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</si>
  <si>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</si>
  <si>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</si>
  <si>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</si>
  <si>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</si>
  <si>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</si>
  <si>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</si>
  <si>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</si>
  <si>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</si>
  <si>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</si>
  <si>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</si>
  <si>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</si>
  <si>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</si>
  <si>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</si>
  <si>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</si>
  <si>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</si>
  <si>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</si>
  <si>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</si>
  <si>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</si>
  <si>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</si>
  <si>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</si>
  <si>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</si>
  <si>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</si>
  <si>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</si>
  <si>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</si>
  <si>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</si>
  <si>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</si>
  <si>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</si>
  <si>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</si>
  <si>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</si>
  <si>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</si>
  <si>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</si>
  <si>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</si>
  <si>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</si>
  <si>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</si>
  <si>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</si>
  <si>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</si>
  <si>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</si>
  <si>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</si>
  <si>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</si>
  <si>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</si>
  <si>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</si>
  <si>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</si>
  <si>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</si>
  <si>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</si>
  <si>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</si>
  <si>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</si>
  <si>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</si>
  <si>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</si>
  <si>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</si>
  <si>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</si>
  <si>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</si>
  <si>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</si>
  <si>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</si>
  <si>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</si>
  <si>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</si>
  <si>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</si>
  <si>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</si>
  <si>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</si>
  <si>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</si>
  <si>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</si>
  <si>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</si>
  <si>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</si>
  <si>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</si>
  <si>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</si>
  <si>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</si>
  <si>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</si>
  <si>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</si>
  <si>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</si>
  <si>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</si>
  <si>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</si>
  <si>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</si>
  <si>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</si>
  <si>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</si>
  <si>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</si>
  <si>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</si>
  <si>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</si>
  <si>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</si>
  <si>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</si>
  <si>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</si>
  <si>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</si>
  <si>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</si>
  <si>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</si>
  <si>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</si>
  <si>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</si>
  <si>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</si>
  <si>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</si>
  <si>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</si>
  <si>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</si>
  <si>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</si>
  <si>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</si>
  <si>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</si>
  <si>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</si>
  <si>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</si>
  <si>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</si>
  <si>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</si>
  <si>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</si>
  <si>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</si>
  <si>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</si>
  <si>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</si>
  <si>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</si>
  <si>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</si>
  <si>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</si>
  <si>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</si>
  <si>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</si>
  <si>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</si>
  <si>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</si>
  <si>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</si>
  <si>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</si>
  <si>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</si>
  <si>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</si>
  <si>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</si>
  <si>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</si>
  <si>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</si>
  <si>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</si>
  <si>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</si>
  <si>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</si>
  <si>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</si>
  <si>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</si>
  <si>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</si>
  <si>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</si>
  <si>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</si>
  <si>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</si>
  <si>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</si>
  <si>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</si>
  <si>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</si>
  <si>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</si>
  <si>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</si>
  <si>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</si>
  <si>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</si>
  <si>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</si>
  <si>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</si>
  <si>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</si>
  <si>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</si>
  <si>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</si>
  <si>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</si>
  <si>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</si>
  <si>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</si>
  <si>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</si>
  <si>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</si>
  <si>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</si>
  <si>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</si>
  <si>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</si>
  <si>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</si>
  <si>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</si>
  <si>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</si>
  <si>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</si>
  <si>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</si>
  <si>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</si>
  <si>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</si>
  <si>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</si>
  <si>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</si>
  <si>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</si>
  <si>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</si>
  <si>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</si>
  <si>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</si>
  <si>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</si>
  <si>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</si>
  <si>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</si>
  <si>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</si>
  <si>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</si>
  <si>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</si>
  <si>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</si>
  <si>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</si>
  <si>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</si>
  <si>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</si>
  <si>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</si>
  <si>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</si>
  <si>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</si>
  <si>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</si>
  <si>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</si>
  <si>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</si>
  <si>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</si>
  <si>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</si>
  <si>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</si>
  <si>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</si>
  <si>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</si>
  <si>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</si>
  <si>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</si>
  <si>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</si>
  <si>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</si>
  <si>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</si>
  <si>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</si>
  <si>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</si>
  <si>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</si>
  <si>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</si>
  <si>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</si>
  <si>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</si>
  <si>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</si>
  <si>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</si>
  <si>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</si>
  <si>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</si>
  <si>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</si>
  <si>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</si>
  <si>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</si>
  <si>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</si>
  <si>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</si>
  <si>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</si>
  <si>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</si>
  <si>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</si>
  <si>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</si>
  <si>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</si>
  <si>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</si>
  <si>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</si>
  <si>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</si>
  <si>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</si>
  <si>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</si>
  <si>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</si>
  <si>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</si>
  <si>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</si>
  <si>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</si>
  <si>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</si>
  <si>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</si>
  <si>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</si>
  <si>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</si>
  <si>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</si>
  <si>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</si>
  <si>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</si>
  <si>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</si>
  <si>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</si>
  <si>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</si>
  <si>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</si>
  <si>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</si>
  <si>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</si>
  <si>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</si>
  <si>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</si>
  <si>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</si>
  <si>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</si>
  <si>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</si>
  <si>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</si>
  <si>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</si>
  <si>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</si>
  <si>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</si>
  <si>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</si>
  <si>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</si>
  <si>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</si>
  <si>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</si>
  <si>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</si>
  <si>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</si>
  <si>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</si>
  <si>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</si>
  <si>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</si>
  <si>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</si>
  <si>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</si>
  <si>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</si>
  <si>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</si>
  <si>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</si>
  <si>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</si>
  <si>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</si>
  <si>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</si>
  <si>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</si>
  <si>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</si>
  <si>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</si>
  <si>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</si>
  <si>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</si>
  <si>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</si>
  <si>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</si>
  <si>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</si>
  <si>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</si>
  <si>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</si>
  <si>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</si>
  <si>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</si>
  <si>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</si>
  <si>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</si>
  <si>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</si>
  <si>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</si>
  <si>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</si>
  <si>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</si>
  <si>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</si>
  <si>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</si>
  <si>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</si>
  <si>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</si>
  <si>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</si>
  <si>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</si>
  <si>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</si>
  <si>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</si>
  <si>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</si>
  <si>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</si>
  <si>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</si>
  <si>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</si>
  <si>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</si>
  <si>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</si>
  <si>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</si>
  <si>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</si>
  <si>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CR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</si>
</sst>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1.3561769419318546</c:v>
                </c:pt>
                <c:pt idx="2">
                  <c:v>1.7330840842119228</c:v>
                </c:pt>
                <c:pt idx="3">
                  <c:v>2.2151692793963105</c:v>
                </c:pt>
                <c:pt idx="4">
                  <c:v>2.8318962121092195</c:v>
                </c:pt>
                <c:pt idx="5">
                  <c:v>3.6210120375758632</c:v>
                </c:pt>
                <c:pt idx="6">
                  <c:v>4.6308840097940926</c:v>
                </c:pt>
                <c:pt idx="7">
                  <c:v>5.9234972695526364</c:v>
                </c:pt>
                <c:pt idx="8">
                  <c:v>7.5783014004081757</c:v>
                </c:pt>
                <c:pt idx="9">
                  <c:v>9.6971467331201548</c:v>
                </c:pt>
                <c:pt idx="10">
                  <c:v>12.41061997082412</c:v>
                </c:pt>
                <c:pt idx="11">
                  <c:v>15.886176867459865</c:v>
                </c:pt>
                <c:pt idx="12">
                  <c:v>20.3385830148551</c:v>
                </c:pt>
                <c:pt idx="13">
                  <c:v>26.043319475823299</c:v>
                </c:pt>
                <c:pt idx="14">
                  <c:v>33.353797299971738</c:v>
                </c:pt>
                <c:pt idx="15">
                  <c:v>42.723465787541265</c:v>
                </c:pt>
                <c:pt idx="16">
                  <c:v>54.734209051794572</c:v>
                </c:pt>
                <c:pt idx="17">
                  <c:v>70.132823695662495</c:v>
                </c:pt>
                <c:pt idx="18">
                  <c:v>89.877882645906425</c:v>
                </c:pt>
                <c:pt idx="19">
                  <c:v>115.19994904527674</c:v>
                </c:pt>
                <c:pt idx="20">
                  <c:v>147.67895163614867</c:v>
                </c:pt>
                <c:pt idx="21">
                  <c:v>148.02988790809084</c:v>
                </c:pt>
                <c:pt idx="22">
                  <c:v>171.15012895269396</c:v>
                </c:pt>
                <c:pt idx="23">
                  <c:v>194.19678470867362</c:v>
                </c:pt>
                <c:pt idx="24">
                  <c:v>217.17982241103539</c:v>
                </c:pt>
                <c:pt idx="25">
                  <c:v>240.10692263363936</c:v>
                </c:pt>
                <c:pt idx="26">
                  <c:v>204.12858984745026</c:v>
                </c:pt>
                <c:pt idx="27">
                  <c:v>228.99732327354886</c:v>
                </c:pt>
                <c:pt idx="28">
                  <c:v>253.80426351839253</c:v>
                </c:pt>
                <c:pt idx="29">
                  <c:v>278.55629815945161</c:v>
                </c:pt>
                <c:pt idx="30">
                  <c:v>303.25898981443851</c:v>
                </c:pt>
                <c:pt idx="31">
                  <c:v>267.8310064273773</c:v>
                </c:pt>
                <c:pt idx="32">
                  <c:v>292.8999193112889</c:v>
                </c:pt>
                <c:pt idx="33">
                  <c:v>317.9209370595305</c:v>
                </c:pt>
                <c:pt idx="34">
                  <c:v>342.8983565333736</c:v>
                </c:pt>
                <c:pt idx="35">
                  <c:v>367.83579757961144</c:v>
                </c:pt>
                <c:pt idx="36">
                  <c:v>331.53448530045102</c:v>
                </c:pt>
                <c:pt idx="37">
                  <c:v>355.45786076838431</c:v>
                </c:pt>
                <c:pt idx="38">
                  <c:v>379.34598410424059</c:v>
                </c:pt>
                <c:pt idx="39">
                  <c:v>403.20138555466451</c:v>
                </c:pt>
                <c:pt idx="40">
                  <c:v>427.02627169348148</c:v>
                </c:pt>
                <c:pt idx="41">
                  <c:v>389.47552031491313</c:v>
                </c:pt>
                <c:pt idx="42">
                  <c:v>411.94632675360344</c:v>
                </c:pt>
                <c:pt idx="43">
                  <c:v>434.39068890365473</c:v>
                </c:pt>
                <c:pt idx="44">
                  <c:v>456.81016416917691</c:v>
                </c:pt>
                <c:pt idx="45">
                  <c:v>479.20614472262179</c:v>
                </c:pt>
                <c:pt idx="46">
                  <c:v>440.38300107166737</c:v>
                </c:pt>
                <c:pt idx="47">
                  <c:v>461.42800871186984</c:v>
                </c:pt>
                <c:pt idx="48">
                  <c:v>482.45254170032075</c:v>
                </c:pt>
                <c:pt idx="49">
                  <c:v>503.45761712226249</c:v>
                </c:pt>
                <c:pt idx="50">
                  <c:v>524.44416033681125</c:v>
                </c:pt>
                <c:pt idx="51">
                  <c:v>484.33182233185659</c:v>
                </c:pt>
                <c:pt idx="52">
                  <c:v>503.96970093403905</c:v>
                </c:pt>
                <c:pt idx="53">
                  <c:v>523.59139917298637</c:v>
                </c:pt>
                <c:pt idx="54">
                  <c:v>543.19760829489394</c:v>
                </c:pt>
                <c:pt idx="55">
                  <c:v>562.7889656149265</c:v>
                </c:pt>
                <c:pt idx="56">
                  <c:v>527.34333007320492</c:v>
                </c:pt>
                <c:pt idx="57">
                  <c:v>545.58342485784067</c:v>
                </c:pt>
                <c:pt idx="58">
                  <c:v>563.81072700027312</c:v>
                </c:pt>
                <c:pt idx="59">
                  <c:v>582.02570799931368</c:v>
                </c:pt>
                <c:pt idx="60">
                  <c:v>600.22880745733255</c:v>
                </c:pt>
                <c:pt idx="61">
                  <c:v>569.59997888388273</c:v>
                </c:pt>
                <c:pt idx="62">
                  <c:v>586.62011762259851</c:v>
                </c:pt>
                <c:pt idx="63">
                  <c:v>603.62997163521914</c:v>
                </c:pt>
                <c:pt idx="64">
                  <c:v>620.62987134965522</c:v>
                </c:pt>
                <c:pt idx="65">
                  <c:v>637.62012762925121</c:v>
                </c:pt>
                <c:pt idx="66">
                  <c:v>608.90099027098961</c:v>
                </c:pt>
                <c:pt idx="67">
                  <c:v>624.3685446486968</c:v>
                </c:pt>
                <c:pt idx="68">
                  <c:v>639.82816810516192</c:v>
                </c:pt>
                <c:pt idx="69">
                  <c:v>655.28007913873296</c:v>
                </c:pt>
                <c:pt idx="70">
                  <c:v>670.72448510987044</c:v>
                </c:pt>
                <c:pt idx="71">
                  <c:v>643.56449378897264</c:v>
                </c:pt>
                <c:pt idx="72">
                  <c:v>657.9961171442834</c:v>
                </c:pt>
                <c:pt idx="73">
                  <c:v>672.42122344302209</c:v>
                </c:pt>
                <c:pt idx="74">
                  <c:v>686.83997210216774</c:v>
                </c:pt>
                <c:pt idx="75">
                  <c:v>701.25251530411163</c:v>
                </c:pt>
                <c:pt idx="76">
                  <c:v>674.62685177369838</c:v>
                </c:pt>
                <c:pt idx="77">
                  <c:v>687.8575299096342</c:v>
                </c:pt>
                <c:pt idx="78">
                  <c:v>701.0829914789864</c:v>
                </c:pt>
                <c:pt idx="79">
                  <c:v>714.30334869779642</c:v>
                </c:pt>
                <c:pt idx="80">
                  <c:v>727.51870929218364</c:v>
                </c:pt>
                <c:pt idx="81">
                  <c:v>5.8414995537945398E-12</c:v>
                </c:pt>
                <c:pt idx="82">
                  <c:v>5.8414995537945398E-12</c:v>
                </c:pt>
                <c:pt idx="83">
                  <c:v>5.8414995537945398E-12</c:v>
                </c:pt>
                <c:pt idx="84">
                  <c:v>5.8414995537945398E-12</c:v>
                </c:pt>
                <c:pt idx="85">
                  <c:v>5.8414995537945398E-12</c:v>
                </c:pt>
                <c:pt idx="86">
                  <c:v>5.8414995537945398E-12</c:v>
                </c:pt>
                <c:pt idx="87">
                  <c:v>5.8414995537945398E-12</c:v>
                </c:pt>
                <c:pt idx="88">
                  <c:v>5.8414995537945398E-12</c:v>
                </c:pt>
                <c:pt idx="89">
                  <c:v>5.8414995537945398E-12</c:v>
                </c:pt>
                <c:pt idx="90">
                  <c:v>5.8414995537945398E-12</c:v>
                </c:pt>
                <c:pt idx="91">
                  <c:v>5.8414995537945398E-12</c:v>
                </c:pt>
                <c:pt idx="92">
                  <c:v>5.8414995537945398E-12</c:v>
                </c:pt>
                <c:pt idx="93">
                  <c:v>5.8414995537945398E-12</c:v>
                </c:pt>
                <c:pt idx="94">
                  <c:v>5.8414995537945398E-12</c:v>
                </c:pt>
                <c:pt idx="95">
                  <c:v>5.8414995537945398E-12</c:v>
                </c:pt>
                <c:pt idx="96">
                  <c:v>5.8414995537945398E-12</c:v>
                </c:pt>
                <c:pt idx="97">
                  <c:v>5.8414995537945398E-12</c:v>
                </c:pt>
                <c:pt idx="98">
                  <c:v>5.8414995537945398E-12</c:v>
                </c:pt>
                <c:pt idx="99">
                  <c:v>5.8414995537945398E-12</c:v>
                </c:pt>
                <c:pt idx="100">
                  <c:v>5.8414995537945398E-12</c:v>
                </c:pt>
                <c:pt idx="101">
                  <c:v>5.8414995537945398E-12</c:v>
                </c:pt>
                <c:pt idx="102">
                  <c:v>5.8414995537945398E-12</c:v>
                </c:pt>
                <c:pt idx="103">
                  <c:v>5.8414995537945398E-12</c:v>
                </c:pt>
                <c:pt idx="104">
                  <c:v>5.8414995537945398E-12</c:v>
                </c:pt>
                <c:pt idx="105">
                  <c:v>5.8414995537945398E-12</c:v>
                </c:pt>
                <c:pt idx="106">
                  <c:v>5.8414995537945398E-12</c:v>
                </c:pt>
                <c:pt idx="107">
                  <c:v>5.8414995537945398E-12</c:v>
                </c:pt>
                <c:pt idx="108">
                  <c:v>5.8414995537945398E-12</c:v>
                </c:pt>
                <c:pt idx="109">
                  <c:v>5.8414995537945398E-12</c:v>
                </c:pt>
                <c:pt idx="110">
                  <c:v>5.8414995537945398E-12</c:v>
                </c:pt>
                <c:pt idx="111">
                  <c:v>5.8414995537945398E-12</c:v>
                </c:pt>
                <c:pt idx="112">
                  <c:v>5.8414995537945398E-12</c:v>
                </c:pt>
                <c:pt idx="113">
                  <c:v>5.8414995537945398E-12</c:v>
                </c:pt>
                <c:pt idx="114">
                  <c:v>5.8414995537945398E-12</c:v>
                </c:pt>
                <c:pt idx="115">
                  <c:v>5.8414995537945398E-12</c:v>
                </c:pt>
                <c:pt idx="116">
                  <c:v>5.8414995537945398E-12</c:v>
                </c:pt>
                <c:pt idx="117">
                  <c:v>5.8414995537945398E-12</c:v>
                </c:pt>
                <c:pt idx="118">
                  <c:v>5.8414995537945398E-12</c:v>
                </c:pt>
                <c:pt idx="119">
                  <c:v>5.8414995537945398E-12</c:v>
                </c:pt>
                <c:pt idx="120">
                  <c:v>5.8414995537945398E-12</c:v>
                </c:pt>
                <c:pt idx="121">
                  <c:v>5.8414995537945398E-12</c:v>
                </c:pt>
                <c:pt idx="122">
                  <c:v>5.8414995537945398E-12</c:v>
                </c:pt>
                <c:pt idx="123">
                  <c:v>5.8414995537945398E-12</c:v>
                </c:pt>
                <c:pt idx="124">
                  <c:v>5.8414995537945398E-12</c:v>
                </c:pt>
                <c:pt idx="125">
                  <c:v>5.8414995537945398E-12</c:v>
                </c:pt>
                <c:pt idx="126">
                  <c:v>5.8414995537945398E-12</c:v>
                </c:pt>
                <c:pt idx="127">
                  <c:v>5.8414995537945398E-12</c:v>
                </c:pt>
                <c:pt idx="128">
                  <c:v>5.8414995537945398E-12</c:v>
                </c:pt>
                <c:pt idx="129">
                  <c:v>5.8414995537945398E-12</c:v>
                </c:pt>
                <c:pt idx="130">
                  <c:v>5.8414995537945398E-12</c:v>
                </c:pt>
                <c:pt idx="131">
                  <c:v>5.8414995537945398E-12</c:v>
                </c:pt>
                <c:pt idx="132">
                  <c:v>5.8414995537945398E-12</c:v>
                </c:pt>
                <c:pt idx="133">
                  <c:v>5.8414995537945398E-12</c:v>
                </c:pt>
                <c:pt idx="134">
                  <c:v>5.8414995537945398E-12</c:v>
                </c:pt>
                <c:pt idx="135">
                  <c:v>5.8414995537945398E-12</c:v>
                </c:pt>
                <c:pt idx="136">
                  <c:v>5.8414995537945398E-12</c:v>
                </c:pt>
                <c:pt idx="137">
                  <c:v>5.8414995537945398E-12</c:v>
                </c:pt>
                <c:pt idx="138">
                  <c:v>5.8414995537945398E-12</c:v>
                </c:pt>
                <c:pt idx="139">
                  <c:v>5.8414995537945398E-12</c:v>
                </c:pt>
                <c:pt idx="140">
                  <c:v>5.8414995537945398E-12</c:v>
                </c:pt>
                <c:pt idx="141">
                  <c:v>5.8414995537945398E-12</c:v>
                </c:pt>
                <c:pt idx="142">
                  <c:v>5.8414995537945398E-12</c:v>
                </c:pt>
                <c:pt idx="143">
                  <c:v>5.8414995537945398E-12</c:v>
                </c:pt>
                <c:pt idx="144">
                  <c:v>5.8414995537945398E-12</c:v>
                </c:pt>
                <c:pt idx="145">
                  <c:v>5.8414995537945398E-12</c:v>
                </c:pt>
                <c:pt idx="146">
                  <c:v>5.8414995537945398E-12</c:v>
                </c:pt>
                <c:pt idx="147">
                  <c:v>5.8414995537945398E-12</c:v>
                </c:pt>
                <c:pt idx="148">
                  <c:v>5.8414995537945398E-12</c:v>
                </c:pt>
                <c:pt idx="149">
                  <c:v>5.8414995537945398E-12</c:v>
                </c:pt>
                <c:pt idx="150">
                  <c:v>5.8414995537945398E-12</c:v>
                </c:pt>
                <c:pt idx="151">
                  <c:v>5.8414995537945398E-12</c:v>
                </c:pt>
                <c:pt idx="152">
                  <c:v>5.8414995537945398E-12</c:v>
                </c:pt>
                <c:pt idx="153">
                  <c:v>5.8414995537945398E-12</c:v>
                </c:pt>
                <c:pt idx="154">
                  <c:v>5.8414995537945398E-12</c:v>
                </c:pt>
                <c:pt idx="155">
                  <c:v>5.8414995537945398E-12</c:v>
                </c:pt>
                <c:pt idx="156">
                  <c:v>5.8414995537945398E-12</c:v>
                </c:pt>
                <c:pt idx="157">
                  <c:v>5.8414995537945398E-12</c:v>
                </c:pt>
                <c:pt idx="158">
                  <c:v>5.8414995537945398E-12</c:v>
                </c:pt>
                <c:pt idx="159">
                  <c:v>5.8414995537945398E-12</c:v>
                </c:pt>
                <c:pt idx="160">
                  <c:v>5.8414995537945398E-12</c:v>
                </c:pt>
                <c:pt idx="161">
                  <c:v>5.8414995537945398E-12</c:v>
                </c:pt>
                <c:pt idx="162">
                  <c:v>5.8414995537945398E-12</c:v>
                </c:pt>
                <c:pt idx="163">
                  <c:v>5.8414995537945398E-12</c:v>
                </c:pt>
                <c:pt idx="164">
                  <c:v>5.8414995537945398E-12</c:v>
                </c:pt>
                <c:pt idx="165">
                  <c:v>5.8414995537945398E-12</c:v>
                </c:pt>
                <c:pt idx="166">
                  <c:v>5.8414995537945398E-12</c:v>
                </c:pt>
                <c:pt idx="167">
                  <c:v>5.8414995537945398E-12</c:v>
                </c:pt>
                <c:pt idx="168">
                  <c:v>5.8414995537945398E-12</c:v>
                </c:pt>
                <c:pt idx="169">
                  <c:v>5.8414995537945398E-12</c:v>
                </c:pt>
                <c:pt idx="170">
                  <c:v>5.8414995537945398E-12</c:v>
                </c:pt>
                <c:pt idx="171">
                  <c:v>5.8414995537945398E-12</c:v>
                </c:pt>
                <c:pt idx="172">
                  <c:v>5.8414995537945398E-12</c:v>
                </c:pt>
                <c:pt idx="173">
                  <c:v>5.8414995537945398E-12</c:v>
                </c:pt>
                <c:pt idx="174">
                  <c:v>5.8414995537945398E-12</c:v>
                </c:pt>
                <c:pt idx="175">
                  <c:v>5.8414995537945398E-12</c:v>
                </c:pt>
                <c:pt idx="176">
                  <c:v>5.8414995537945398E-12</c:v>
                </c:pt>
                <c:pt idx="177">
                  <c:v>5.8414995537945398E-12</c:v>
                </c:pt>
                <c:pt idx="178">
                  <c:v>5.8414995537945398E-12</c:v>
                </c:pt>
                <c:pt idx="179">
                  <c:v>5.8414995537945398E-12</c:v>
                </c:pt>
                <c:pt idx="180">
                  <c:v>5.8414995537945398E-12</c:v>
                </c:pt>
                <c:pt idx="181">
                  <c:v>5.8414995537945398E-12</c:v>
                </c:pt>
                <c:pt idx="182">
                  <c:v>5.8414995537945398E-12</c:v>
                </c:pt>
                <c:pt idx="183">
                  <c:v>5.8414995537945398E-12</c:v>
                </c:pt>
                <c:pt idx="184">
                  <c:v>5.8414995537945398E-12</c:v>
                </c:pt>
                <c:pt idx="185">
                  <c:v>5.8414995537945398E-12</c:v>
                </c:pt>
                <c:pt idx="186">
                  <c:v>5.8414995537945398E-12</c:v>
                </c:pt>
                <c:pt idx="187">
                  <c:v>5.8414995537945398E-12</c:v>
                </c:pt>
                <c:pt idx="188">
                  <c:v>5.8414995537945398E-12</c:v>
                </c:pt>
                <c:pt idx="189">
                  <c:v>5.8414995537945398E-12</c:v>
                </c:pt>
                <c:pt idx="190">
                  <c:v>5.8414995537945398E-12</c:v>
                </c:pt>
                <c:pt idx="191">
                  <c:v>5.8414995537945398E-12</c:v>
                </c:pt>
                <c:pt idx="192">
                  <c:v>5.8414995537945398E-12</c:v>
                </c:pt>
                <c:pt idx="193">
                  <c:v>5.8414995537945398E-12</c:v>
                </c:pt>
                <c:pt idx="194">
                  <c:v>5.8414995537945398E-12</c:v>
                </c:pt>
                <c:pt idx="195">
                  <c:v>5.8414995537945398E-12</c:v>
                </c:pt>
                <c:pt idx="196">
                  <c:v>5.8414995537945398E-12</c:v>
                </c:pt>
                <c:pt idx="197">
                  <c:v>5.8414995537945398E-12</c:v>
                </c:pt>
                <c:pt idx="198">
                  <c:v>5.8414995537945398E-12</c:v>
                </c:pt>
                <c:pt idx="199">
                  <c:v>5.8414995537945398E-12</c:v>
                </c:pt>
                <c:pt idx="200">
                  <c:v>5.8414995537945398E-12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1.5556056037032899</c:v>
                </c:pt>
                <c:pt idx="2">
                  <c:v>1.9750860803670249</c:v>
                </c:pt>
                <c:pt idx="3">
                  <c:v>2.508139399326724</c:v>
                </c:pt>
                <c:pt idx="4">
                  <c:v>3.1856319785050151</c:v>
                </c:pt>
                <c:pt idx="5">
                  <c:v>4.0468488308069483</c:v>
                </c:pt>
                <c:pt idx="6">
                  <c:v>5.1417972544281598</c:v>
                </c:pt>
                <c:pt idx="7">
                  <c:v>6.5341428306439759</c:v>
                </c:pt>
                <c:pt idx="8">
                  <c:v>8.304951766336119</c:v>
                </c:pt>
                <c:pt idx="9">
                  <c:v>10.557461642563055</c:v>
                </c:pt>
                <c:pt idx="10">
                  <c:v>13.423163936890445</c:v>
                </c:pt>
                <c:pt idx="11">
                  <c:v>17.069559957213201</c:v>
                </c:pt>
                <c:pt idx="12">
                  <c:v>21.710051761837864</c:v>
                </c:pt>
                <c:pt idx="13">
                  <c:v>27.616557254549786</c:v>
                </c:pt>
                <c:pt idx="14">
                  <c:v>35.135601614136327</c:v>
                </c:pt>
                <c:pt idx="15">
                  <c:v>44.708845360002179</c:v>
                </c:pt>
                <c:pt idx="16">
                  <c:v>56.899275212796461</c:v>
                </c:pt>
                <c:pt idx="17">
                  <c:v>72.424623514156238</c:v>
                </c:pt>
                <c:pt idx="18">
                  <c:v>92.200015816567202</c:v>
                </c:pt>
                <c:pt idx="19">
                  <c:v>117.39240054084426</c:v>
                </c:pt>
                <c:pt idx="20">
                  <c:v>149.49002281670283</c:v>
                </c:pt>
                <c:pt idx="21">
                  <c:v>134.19192451868898</c:v>
                </c:pt>
                <c:pt idx="22">
                  <c:v>167.79880331835713</c:v>
                </c:pt>
                <c:pt idx="23">
                  <c:v>201.24634176616689</c:v>
                </c:pt>
                <c:pt idx="24">
                  <c:v>234.56482390663436</c:v>
                </c:pt>
                <c:pt idx="25">
                  <c:v>215.90077709640977</c:v>
                </c:pt>
                <c:pt idx="26">
                  <c:v>255.71013753254616</c:v>
                </c:pt>
                <c:pt idx="27">
                  <c:v>295.37903204669743</c:v>
                </c:pt>
                <c:pt idx="28">
                  <c:v>334.92898046713697</c:v>
                </c:pt>
                <c:pt idx="29">
                  <c:v>310.91182778548091</c:v>
                </c:pt>
                <c:pt idx="30">
                  <c:v>352.9167872578102</c:v>
                </c:pt>
                <c:pt idx="31">
                  <c:v>394.81212266433721</c:v>
                </c:pt>
                <c:pt idx="32">
                  <c:v>436.61108755732994</c:v>
                </c:pt>
                <c:pt idx="33">
                  <c:v>405.27044825981937</c:v>
                </c:pt>
                <c:pt idx="34">
                  <c:v>445.55652112849572</c:v>
                </c:pt>
                <c:pt idx="35">
                  <c:v>485.76460083050716</c:v>
                </c:pt>
                <c:pt idx="36">
                  <c:v>525.90203919558928</c:v>
                </c:pt>
                <c:pt idx="37">
                  <c:v>503.85957631264245</c:v>
                </c:pt>
                <c:pt idx="38">
                  <c:v>540.25626419616674</c:v>
                </c:pt>
                <c:pt idx="39">
                  <c:v>576.601464409904</c:v>
                </c:pt>
                <c:pt idx="40">
                  <c:v>612.89887275058948</c:v>
                </c:pt>
                <c:pt idx="41">
                  <c:v>589.98997214048279</c:v>
                </c:pt>
                <c:pt idx="42">
                  <c:v>621.38641464779766</c:v>
                </c:pt>
                <c:pt idx="43">
                  <c:v>652.75001250200091</c:v>
                </c:pt>
                <c:pt idx="44">
                  <c:v>684.0825631483018</c:v>
                </c:pt>
                <c:pt idx="45">
                  <c:v>715.38568620815522</c:v>
                </c:pt>
                <c:pt idx="46">
                  <c:v>680.34000031802691</c:v>
                </c:pt>
                <c:pt idx="47">
                  <c:v>706.33237341600261</c:v>
                </c:pt>
                <c:pt idx="48">
                  <c:v>732.30519540738578</c:v>
                </c:pt>
                <c:pt idx="49">
                  <c:v>758.25925628282687</c:v>
                </c:pt>
                <c:pt idx="50">
                  <c:v>784.19528762222501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2.7698474852384436</c:v>
                </c:pt>
                <c:pt idx="2">
                  <c:v>3.4350043535315553</c:v>
                </c:pt>
                <c:pt idx="3">
                  <c:v>4.260506415964298</c:v>
                </c:pt>
                <c:pt idx="4">
                  <c:v>5.2851463938399039</c:v>
                </c:pt>
                <c:pt idx="5">
                  <c:v>6.5571337663938296</c:v>
                </c:pt>
                <c:pt idx="6">
                  <c:v>8.1363877594812113</c:v>
                </c:pt>
                <c:pt idx="7">
                  <c:v>10.097390278063047</c:v>
                </c:pt>
                <c:pt idx="8">
                  <c:v>12.532735878141919</c:v>
                </c:pt>
                <c:pt idx="9">
                  <c:v>15.557549520136575</c:v>
                </c:pt>
                <c:pt idx="10">
                  <c:v>19.314984767435732</c:v>
                </c:pt>
                <c:pt idx="11">
                  <c:v>23.98306733036506</c:v>
                </c:pt>
                <c:pt idx="12">
                  <c:v>29.783213949804772</c:v>
                </c:pt>
                <c:pt idx="13">
                  <c:v>36.990837736889254</c:v>
                </c:pt>
                <c:pt idx="14">
                  <c:v>45.948552189494279</c:v>
                </c:pt>
                <c:pt idx="15">
                  <c:v>57.082612123425804</c:v>
                </c:pt>
                <c:pt idx="16">
                  <c:v>70.92338683593853</c:v>
                </c:pt>
                <c:pt idx="17">
                  <c:v>88.130856631377313</c:v>
                </c:pt>
                <c:pt idx="18">
                  <c:v>109.52636795007709</c:v>
                </c:pt>
                <c:pt idx="19">
                  <c:v>136.13218668541984</c:v>
                </c:pt>
                <c:pt idx="20">
                  <c:v>169.22076873606747</c:v>
                </c:pt>
                <c:pt idx="21">
                  <c:v>129.28787235572034</c:v>
                </c:pt>
                <c:pt idx="22">
                  <c:v>144.53094857798482</c:v>
                </c:pt>
                <c:pt idx="23">
                  <c:v>159.73554413485536</c:v>
                </c:pt>
                <c:pt idx="24">
                  <c:v>174.90584046860877</c:v>
                </c:pt>
                <c:pt idx="25">
                  <c:v>190.04523308883151</c:v>
                </c:pt>
                <c:pt idx="26">
                  <c:v>169.22076873606747</c:v>
                </c:pt>
                <c:pt idx="27">
                  <c:v>184.37139305479852</c:v>
                </c:pt>
                <c:pt idx="28">
                  <c:v>199.49292850815041</c:v>
                </c:pt>
                <c:pt idx="29">
                  <c:v>214.58789130305843</c:v>
                </c:pt>
                <c:pt idx="30">
                  <c:v>229.65841439261331</c:v>
                </c:pt>
                <c:pt idx="31">
                  <c:v>205.53397529366751</c:v>
                </c:pt>
                <c:pt idx="32">
                  <c:v>219.11152587483457</c:v>
                </c:pt>
                <c:pt idx="33">
                  <c:v>232.66975188863589</c:v>
                </c:pt>
                <c:pt idx="34">
                  <c:v>246.20993843849078</c:v>
                </c:pt>
                <c:pt idx="35">
                  <c:v>259.73321764902875</c:v>
                </c:pt>
                <c:pt idx="36">
                  <c:v>235.30394147234665</c:v>
                </c:pt>
                <c:pt idx="37">
                  <c:v>248.46496383915087</c:v>
                </c:pt>
                <c:pt idx="38">
                  <c:v>261.61017170872901</c:v>
                </c:pt>
                <c:pt idx="39">
                  <c:v>274.74047191396772</c:v>
                </c:pt>
                <c:pt idx="40">
                  <c:v>287.85667749117118</c:v>
                </c:pt>
                <c:pt idx="41">
                  <c:v>262.36086804994295</c:v>
                </c:pt>
                <c:pt idx="42">
                  <c:v>274.36551974723062</c:v>
                </c:pt>
                <c:pt idx="43">
                  <c:v>286.35837196420749</c:v>
                </c:pt>
                <c:pt idx="44">
                  <c:v>298.33998870460442</c:v>
                </c:pt>
                <c:pt idx="45">
                  <c:v>310.31088495066086</c:v>
                </c:pt>
                <c:pt idx="46">
                  <c:v>285.98376820295522</c:v>
                </c:pt>
                <c:pt idx="47">
                  <c:v>297.21717518827558</c:v>
                </c:pt>
                <c:pt idx="48">
                  <c:v>308.44111949657554</c:v>
                </c:pt>
                <c:pt idx="49">
                  <c:v>319.65599415471291</c:v>
                </c:pt>
                <c:pt idx="50">
                  <c:v>330.86216234726913</c:v>
                </c:pt>
                <c:pt idx="51">
                  <c:v>306.94512587259828</c:v>
                </c:pt>
                <c:pt idx="52">
                  <c:v>316.66622670451306</c:v>
                </c:pt>
                <c:pt idx="53">
                  <c:v>326.38071774395229</c:v>
                </c:pt>
                <c:pt idx="54">
                  <c:v>336.08882358493901</c:v>
                </c:pt>
                <c:pt idx="55">
                  <c:v>345.79075477962851</c:v>
                </c:pt>
                <c:pt idx="56">
                  <c:v>323.39233379750681</c:v>
                </c:pt>
                <c:pt idx="57">
                  <c:v>332.72903457884451</c:v>
                </c:pt>
                <c:pt idx="58">
                  <c:v>342.05996063814399</c:v>
                </c:pt>
                <c:pt idx="59">
                  <c:v>351.38529181133845</c:v>
                </c:pt>
                <c:pt idx="60">
                  <c:v>360.70519760433905</c:v>
                </c:pt>
                <c:pt idx="61">
                  <c:v>339.07468141574077</c:v>
                </c:pt>
                <c:pt idx="62">
                  <c:v>347.28282429814129</c:v>
                </c:pt>
                <c:pt idx="63">
                  <c:v>355.4867090941064</c:v>
                </c:pt>
                <c:pt idx="64">
                  <c:v>363.68644800338274</c:v>
                </c:pt>
                <c:pt idx="65">
                  <c:v>371.88214774985954</c:v>
                </c:pt>
                <c:pt idx="66">
                  <c:v>351.75819111537254</c:v>
                </c:pt>
                <c:pt idx="67">
                  <c:v>359.58708999068585</c:v>
                </c:pt>
                <c:pt idx="68">
                  <c:v>367.41226056988808</c:v>
                </c:pt>
                <c:pt idx="69">
                  <c:v>375.23379351840316</c:v>
                </c:pt>
                <c:pt idx="70">
                  <c:v>383.05177541071203</c:v>
                </c:pt>
                <c:pt idx="71">
                  <c:v>363.31382101236346</c:v>
                </c:pt>
                <c:pt idx="72">
                  <c:v>369.64735159591163</c:v>
                </c:pt>
                <c:pt idx="73">
                  <c:v>375.97851488636002</c:v>
                </c:pt>
                <c:pt idx="74">
                  <c:v>382.30735640887292</c:v>
                </c:pt>
                <c:pt idx="75">
                  <c:v>388.63392005694874</c:v>
                </c:pt>
                <c:pt idx="76">
                  <c:v>372.25458524998072</c:v>
                </c:pt>
                <c:pt idx="77">
                  <c:v>378.2124864803136</c:v>
                </c:pt>
                <c:pt idx="78">
                  <c:v>384.16834495549637</c:v>
                </c:pt>
                <c:pt idx="79">
                  <c:v>390.12219684408677</c:v>
                </c:pt>
                <c:pt idx="80">
                  <c:v>396.07407711953459</c:v>
                </c:pt>
                <c:pt idx="81">
                  <c:v>380.81842375711989</c:v>
                </c:pt>
                <c:pt idx="82">
                  <c:v>386.02913755517028</c:v>
                </c:pt>
                <c:pt idx="83">
                  <c:v>391.23832354179837</c:v>
                </c:pt>
                <c:pt idx="84">
                  <c:v>396.4460049513109</c:v>
                </c:pt>
                <c:pt idx="85">
                  <c:v>401.65220435716361</c:v>
                </c:pt>
                <c:pt idx="86">
                  <c:v>388.26183154386268</c:v>
                </c:pt>
                <c:pt idx="87">
                  <c:v>393.47036990588708</c:v>
                </c:pt>
                <c:pt idx="88">
                  <c:v>398.67741344442726</c:v>
                </c:pt>
                <c:pt idx="89">
                  <c:v>403.88298445816571</c:v>
                </c:pt>
                <c:pt idx="90">
                  <c:v>409.08710462349336</c:v>
                </c:pt>
                <c:pt idx="91">
                  <c:v>395.7021417186665</c:v>
                </c:pt>
                <c:pt idx="92">
                  <c:v>400.9085514815776</c:v>
                </c:pt>
                <c:pt idx="93">
                  <c:v>406.11349808426439</c:v>
                </c:pt>
                <c:pt idx="94">
                  <c:v>411.31700294422802</c:v>
                </c:pt>
                <c:pt idx="95">
                  <c:v>416.51908689232147</c:v>
                </c:pt>
                <c:pt idx="96">
                  <c:v>401.65220435716384</c:v>
                </c:pt>
                <c:pt idx="97">
                  <c:v>407.22865549260922</c:v>
                </c:pt>
                <c:pt idx="98">
                  <c:v>412.80345673799087</c:v>
                </c:pt>
                <c:pt idx="99">
                  <c:v>418.37663353903253</c:v>
                </c:pt>
                <c:pt idx="100">
                  <c:v>423.9482106076091</c:v>
                </c:pt>
                <c:pt idx="101">
                  <c:v>2.1466615206600508E-12</c:v>
                </c:pt>
                <c:pt idx="102">
                  <c:v>2.1466615206600508E-12</c:v>
                </c:pt>
                <c:pt idx="103">
                  <c:v>2.1466615206600508E-12</c:v>
                </c:pt>
                <c:pt idx="104">
                  <c:v>2.1466615206600508E-12</c:v>
                </c:pt>
                <c:pt idx="105">
                  <c:v>2.1466615206600508E-12</c:v>
                </c:pt>
                <c:pt idx="106">
                  <c:v>2.1466615206600508E-12</c:v>
                </c:pt>
                <c:pt idx="107">
                  <c:v>2.1466615206600508E-12</c:v>
                </c:pt>
                <c:pt idx="108">
                  <c:v>2.1466615206600508E-12</c:v>
                </c:pt>
                <c:pt idx="109">
                  <c:v>2.1466615206600508E-12</c:v>
                </c:pt>
                <c:pt idx="110">
                  <c:v>2.1466615206600508E-12</c:v>
                </c:pt>
                <c:pt idx="111">
                  <c:v>2.1466615206600508E-12</c:v>
                </c:pt>
                <c:pt idx="112">
                  <c:v>2.1466615206600508E-12</c:v>
                </c:pt>
                <c:pt idx="113">
                  <c:v>2.1466615206600508E-12</c:v>
                </c:pt>
                <c:pt idx="114">
                  <c:v>2.1466615206600508E-12</c:v>
                </c:pt>
                <c:pt idx="115">
                  <c:v>2.1466615206600508E-12</c:v>
                </c:pt>
                <c:pt idx="116">
                  <c:v>2.1466615206600508E-12</c:v>
                </c:pt>
                <c:pt idx="117">
                  <c:v>2.1466615206600508E-12</c:v>
                </c:pt>
                <c:pt idx="118">
                  <c:v>2.1466615206600508E-12</c:v>
                </c:pt>
                <c:pt idx="119">
                  <c:v>2.1466615206600508E-12</c:v>
                </c:pt>
                <c:pt idx="120">
                  <c:v>2.1466615206600508E-12</c:v>
                </c:pt>
                <c:pt idx="121">
                  <c:v>2.1466615206600508E-12</c:v>
                </c:pt>
                <c:pt idx="122">
                  <c:v>2.1466615206600508E-12</c:v>
                </c:pt>
                <c:pt idx="123">
                  <c:v>2.1466615206600508E-12</c:v>
                </c:pt>
                <c:pt idx="124">
                  <c:v>2.1466615206600508E-12</c:v>
                </c:pt>
                <c:pt idx="125">
                  <c:v>2.1466615206600508E-12</c:v>
                </c:pt>
                <c:pt idx="126">
                  <c:v>2.1466615206600508E-12</c:v>
                </c:pt>
                <c:pt idx="127">
                  <c:v>2.1466615206600508E-12</c:v>
                </c:pt>
                <c:pt idx="128">
                  <c:v>2.1466615206600508E-12</c:v>
                </c:pt>
                <c:pt idx="129">
                  <c:v>2.1466615206600508E-12</c:v>
                </c:pt>
                <c:pt idx="130">
                  <c:v>2.1466615206600508E-12</c:v>
                </c:pt>
                <c:pt idx="131">
                  <c:v>2.1466615206600508E-12</c:v>
                </c:pt>
                <c:pt idx="132">
                  <c:v>2.1466615206600508E-12</c:v>
                </c:pt>
                <c:pt idx="133">
                  <c:v>2.1466615206600508E-12</c:v>
                </c:pt>
                <c:pt idx="134">
                  <c:v>2.1466615206600508E-12</c:v>
                </c:pt>
                <c:pt idx="135">
                  <c:v>2.1466615206600508E-12</c:v>
                </c:pt>
                <c:pt idx="136">
                  <c:v>2.1466615206600508E-12</c:v>
                </c:pt>
                <c:pt idx="137">
                  <c:v>2.1466615206600508E-12</c:v>
                </c:pt>
                <c:pt idx="138">
                  <c:v>2.1466615206600508E-12</c:v>
                </c:pt>
                <c:pt idx="139">
                  <c:v>2.1466615206600508E-12</c:v>
                </c:pt>
                <c:pt idx="140">
                  <c:v>2.1466615206600508E-12</c:v>
                </c:pt>
                <c:pt idx="141">
                  <c:v>2.1466615206600508E-12</c:v>
                </c:pt>
                <c:pt idx="142">
                  <c:v>2.1466615206600508E-12</c:v>
                </c:pt>
                <c:pt idx="143">
                  <c:v>2.1466615206600508E-12</c:v>
                </c:pt>
                <c:pt idx="144">
                  <c:v>2.1466615206600508E-12</c:v>
                </c:pt>
                <c:pt idx="145">
                  <c:v>2.1466615206600508E-12</c:v>
                </c:pt>
                <c:pt idx="146">
                  <c:v>2.1466615206600508E-12</c:v>
                </c:pt>
                <c:pt idx="147">
                  <c:v>2.1466615206600508E-12</c:v>
                </c:pt>
                <c:pt idx="148">
                  <c:v>2.1466615206600508E-12</c:v>
                </c:pt>
                <c:pt idx="149">
                  <c:v>2.1466615206600508E-12</c:v>
                </c:pt>
                <c:pt idx="150">
                  <c:v>2.1466615206600508E-12</c:v>
                </c:pt>
                <c:pt idx="151">
                  <c:v>2.1466615206600508E-12</c:v>
                </c:pt>
                <c:pt idx="152">
                  <c:v>2.1466615206600508E-12</c:v>
                </c:pt>
                <c:pt idx="153">
                  <c:v>2.1466615206600508E-12</c:v>
                </c:pt>
                <c:pt idx="154">
                  <c:v>2.1466615206600508E-12</c:v>
                </c:pt>
                <c:pt idx="155">
                  <c:v>2.1466615206600508E-12</c:v>
                </c:pt>
                <c:pt idx="156">
                  <c:v>2.1466615206600508E-12</c:v>
                </c:pt>
                <c:pt idx="157">
                  <c:v>2.1466615206600508E-12</c:v>
                </c:pt>
                <c:pt idx="158">
                  <c:v>2.1466615206600508E-12</c:v>
                </c:pt>
                <c:pt idx="159">
                  <c:v>2.1466615206600508E-12</c:v>
                </c:pt>
                <c:pt idx="160">
                  <c:v>2.1466615206600508E-12</c:v>
                </c:pt>
                <c:pt idx="161">
                  <c:v>2.1466615206600508E-12</c:v>
                </c:pt>
                <c:pt idx="162">
                  <c:v>2.1466615206600508E-12</c:v>
                </c:pt>
                <c:pt idx="163">
                  <c:v>2.1466615206600508E-12</c:v>
                </c:pt>
                <c:pt idx="164">
                  <c:v>2.1466615206600508E-12</c:v>
                </c:pt>
                <c:pt idx="165">
                  <c:v>2.1466615206600508E-12</c:v>
                </c:pt>
                <c:pt idx="166">
                  <c:v>2.1466615206600508E-12</c:v>
                </c:pt>
                <c:pt idx="167">
                  <c:v>2.1466615206600508E-12</c:v>
                </c:pt>
                <c:pt idx="168">
                  <c:v>2.1466615206600508E-12</c:v>
                </c:pt>
                <c:pt idx="169">
                  <c:v>2.1466615206600508E-12</c:v>
                </c:pt>
                <c:pt idx="170">
                  <c:v>2.1466615206600508E-12</c:v>
                </c:pt>
                <c:pt idx="171">
                  <c:v>2.1466615206600508E-12</c:v>
                </c:pt>
                <c:pt idx="172">
                  <c:v>2.1466615206600508E-12</c:v>
                </c:pt>
                <c:pt idx="173">
                  <c:v>2.1466615206600508E-12</c:v>
                </c:pt>
                <c:pt idx="174">
                  <c:v>2.1466615206600508E-12</c:v>
                </c:pt>
                <c:pt idx="175">
                  <c:v>2.1466615206600508E-12</c:v>
                </c:pt>
                <c:pt idx="176">
                  <c:v>2.1466615206600508E-12</c:v>
                </c:pt>
                <c:pt idx="177">
                  <c:v>2.1466615206600508E-12</c:v>
                </c:pt>
                <c:pt idx="178">
                  <c:v>2.1466615206600508E-12</c:v>
                </c:pt>
                <c:pt idx="179">
                  <c:v>2.1466615206600508E-12</c:v>
                </c:pt>
                <c:pt idx="180">
                  <c:v>2.1466615206600508E-12</c:v>
                </c:pt>
                <c:pt idx="181">
                  <c:v>2.1466615206600508E-12</c:v>
                </c:pt>
                <c:pt idx="182">
                  <c:v>2.1466615206600508E-12</c:v>
                </c:pt>
                <c:pt idx="183">
                  <c:v>2.1466615206600508E-12</c:v>
                </c:pt>
                <c:pt idx="184">
                  <c:v>2.1466615206600508E-12</c:v>
                </c:pt>
                <c:pt idx="185">
                  <c:v>2.1466615206600508E-12</c:v>
                </c:pt>
                <c:pt idx="186">
                  <c:v>2.1466615206600508E-12</c:v>
                </c:pt>
                <c:pt idx="187">
                  <c:v>2.1466615206600508E-12</c:v>
                </c:pt>
                <c:pt idx="188">
                  <c:v>2.1466615206600508E-12</c:v>
                </c:pt>
                <c:pt idx="189">
                  <c:v>2.1466615206600508E-12</c:v>
                </c:pt>
                <c:pt idx="190">
                  <c:v>2.1466615206600508E-12</c:v>
                </c:pt>
                <c:pt idx="191">
                  <c:v>2.1466615206600508E-12</c:v>
                </c:pt>
                <c:pt idx="192">
                  <c:v>2.1466615206600508E-12</c:v>
                </c:pt>
                <c:pt idx="193">
                  <c:v>2.1466615206600508E-12</c:v>
                </c:pt>
                <c:pt idx="194">
                  <c:v>2.1466615206600508E-12</c:v>
                </c:pt>
                <c:pt idx="195">
                  <c:v>2.1466615206600508E-12</c:v>
                </c:pt>
                <c:pt idx="196">
                  <c:v>2.1466615206600508E-12</c:v>
                </c:pt>
                <c:pt idx="197">
                  <c:v>2.1466615206600508E-12</c:v>
                </c:pt>
                <c:pt idx="198">
                  <c:v>2.1466615206600508E-12</c:v>
                </c:pt>
                <c:pt idx="199">
                  <c:v>2.1466615206600508E-12</c:v>
                </c:pt>
                <c:pt idx="200">
                  <c:v>2.1466615206600508E-12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topLeftCell="A18" zoomScale="80" zoomScaleNormal="80" workbookViewId="0">
      <selection activeCell="B12" sqref="B12:M1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25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25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2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2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25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2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2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25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25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25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25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25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25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25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25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25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25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25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3" zoomScale="80" zoomScaleNormal="80" workbookViewId="0">
      <selection activeCell="H8" sqref="H8"/>
    </sheetView>
  </sheetViews>
  <sheetFormatPr baseColWidth="10" defaultColWidth="11.42578125" defaultRowHeight="15" x14ac:dyDescent="0.25"/>
  <cols>
    <col min="1" max="1" width="13.7109375" style="23" customWidth="1"/>
    <col min="2" max="2" width="36.140625" style="23" customWidth="1"/>
    <col min="3" max="3" width="14.85546875" style="23" bestFit="1" customWidth="1"/>
    <col min="4" max="4" width="16.42578125" style="23" customWidth="1"/>
    <col min="5" max="5" width="23.28515625" style="23" customWidth="1"/>
    <col min="6" max="6" width="28.85546875" style="23" bestFit="1" customWidth="1"/>
    <col min="7" max="8" width="14.7109375" style="23" customWidth="1"/>
    <col min="9" max="9" width="17" style="23" customWidth="1"/>
    <col min="10" max="10" width="13.85546875" style="23" customWidth="1"/>
    <col min="11" max="16384" width="11.42578125" style="23"/>
  </cols>
  <sheetData>
    <row r="1" spans="1:38" x14ac:dyDescent="0.25">
      <c r="A1" s="4"/>
      <c r="B1" s="4"/>
      <c r="C1" s="258" t="s">
        <v>190</v>
      </c>
      <c r="D1" s="258"/>
      <c r="E1" s="258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.75" thickBot="1" x14ac:dyDescent="0.3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thickBot="1" x14ac:dyDescent="0.3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.25" x14ac:dyDescent="0.25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.25" x14ac:dyDescent="0.25">
      <c r="A5" s="268" t="s">
        <v>231</v>
      </c>
      <c r="B5" s="268"/>
      <c r="C5" s="24">
        <v>4.2370000000000001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2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.25" x14ac:dyDescent="0.25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2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25">
      <c r="A9" s="30" t="s">
        <v>165</v>
      </c>
      <c r="B9" s="31" t="s">
        <v>92</v>
      </c>
      <c r="C9" s="32">
        <v>0.7</v>
      </c>
      <c r="D9" s="33">
        <f t="shared" ref="D9:D18" si="0">C9*$C$5</f>
        <v>2.9659</v>
      </c>
      <c r="E9" s="34">
        <v>80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25">
      <c r="A10" s="30" t="s">
        <v>166</v>
      </c>
      <c r="B10" s="31" t="s">
        <v>20</v>
      </c>
      <c r="C10" s="32">
        <v>0.25</v>
      </c>
      <c r="D10" s="33">
        <f t="shared" si="0"/>
        <v>1.05925</v>
      </c>
      <c r="E10" s="34">
        <v>50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25">
      <c r="A11" s="30" t="s">
        <v>167</v>
      </c>
      <c r="B11" s="31" t="s">
        <v>13</v>
      </c>
      <c r="C11" s="32">
        <v>0.05</v>
      </c>
      <c r="D11" s="33">
        <f t="shared" si="0"/>
        <v>0.21185000000000001</v>
      </c>
      <c r="E11" s="34">
        <v>100</v>
      </c>
      <c r="F11" s="35" t="str">
        <f t="array" ref="F11">IF(E11="","",IF(INDEX(A:A,MAX(IF(ISNUMBER($A$88:$A$107),ROW($A$88:$A$107),"")))&lt;&gt;E11,"Corrigez : révolution incorrecte","OK"))</f>
        <v>OK</v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25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2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2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2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2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2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2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25">
      <c r="A19" s="78"/>
      <c r="B19" s="36" t="s">
        <v>175</v>
      </c>
      <c r="C19" s="37">
        <f>SUM(C9:C18)</f>
        <v>1</v>
      </c>
      <c r="D19" s="38">
        <f>SUM(D9:D18)</f>
        <v>4.2370000000000001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25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2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35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2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25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25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25">
      <c r="A26" s="41" t="s">
        <v>222</v>
      </c>
      <c r="B26" s="42" t="s">
        <v>221</v>
      </c>
      <c r="C26" s="43">
        <v>0.05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25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2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2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25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2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25">
      <c r="A32" s="46" t="s">
        <v>165</v>
      </c>
      <c r="B32" s="47" t="str">
        <f>IF(B9="","",B9)</f>
        <v>Thuya géant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2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25">
      <c r="A34" s="4"/>
      <c r="B34" s="85" t="s">
        <v>185</v>
      </c>
      <c r="C34" s="259" t="s">
        <v>186</v>
      </c>
      <c r="D34" s="259"/>
      <c r="E34" s="260" t="s">
        <v>187</v>
      </c>
      <c r="F34" s="261"/>
      <c r="G34" s="261"/>
      <c r="H34" s="262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5" x14ac:dyDescent="0.2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25">
      <c r="A36" s="50">
        <v>20</v>
      </c>
      <c r="B36" s="60">
        <v>164</v>
      </c>
      <c r="C36" s="60">
        <v>1</v>
      </c>
      <c r="D36" s="60">
        <v>26</v>
      </c>
      <c r="E36" s="51"/>
      <c r="F36" s="51"/>
      <c r="G36" s="51"/>
      <c r="H36" s="51">
        <v>1</v>
      </c>
      <c r="I36" s="49">
        <f>IFERROR(B36/A36,"")</f>
        <v>8.1999999999999993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25">
      <c r="A37" s="50">
        <v>25</v>
      </c>
      <c r="B37" s="60">
        <v>270</v>
      </c>
      <c r="C37" s="60">
        <v>2</v>
      </c>
      <c r="D37" s="60">
        <v>70</v>
      </c>
      <c r="E37" s="51"/>
      <c r="F37" s="51">
        <v>0.3</v>
      </c>
      <c r="G37" s="51"/>
      <c r="H37" s="51">
        <v>0.7</v>
      </c>
      <c r="I37" s="53">
        <f t="shared" ref="I37:I55" si="1">IF(A37&lt;&gt;0,(B37-(B36-D36))/(A37-A36),"")</f>
        <v>26.4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25">
      <c r="A38" s="50">
        <v>30</v>
      </c>
      <c r="B38" s="60">
        <v>343</v>
      </c>
      <c r="C38" s="60">
        <v>3</v>
      </c>
      <c r="D38" s="60">
        <v>70</v>
      </c>
      <c r="E38" s="51">
        <v>0.2</v>
      </c>
      <c r="F38" s="51">
        <v>0.4</v>
      </c>
      <c r="G38" s="51"/>
      <c r="H38" s="51">
        <v>0.4</v>
      </c>
      <c r="I38" s="53">
        <f t="shared" si="1"/>
        <v>28.6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25">
      <c r="A39" s="50">
        <v>35</v>
      </c>
      <c r="B39" s="60">
        <v>418</v>
      </c>
      <c r="C39" s="60">
        <v>4</v>
      </c>
      <c r="D39" s="60">
        <v>70</v>
      </c>
      <c r="E39" s="51">
        <v>0.4</v>
      </c>
      <c r="F39" s="51">
        <v>0.3</v>
      </c>
      <c r="G39" s="51"/>
      <c r="H39" s="51">
        <v>0.3</v>
      </c>
      <c r="I39" s="49">
        <f t="shared" si="1"/>
        <v>29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25">
      <c r="A40" s="50">
        <v>40</v>
      </c>
      <c r="B40" s="60">
        <v>487</v>
      </c>
      <c r="C40" s="60">
        <v>5</v>
      </c>
      <c r="D40" s="60">
        <v>70</v>
      </c>
      <c r="E40" s="51"/>
      <c r="F40" s="51"/>
      <c r="G40" s="51"/>
      <c r="H40" s="51"/>
      <c r="I40" s="49">
        <f t="shared" si="1"/>
        <v>27.8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25">
      <c r="A41" s="50">
        <v>45</v>
      </c>
      <c r="B41" s="60">
        <v>548</v>
      </c>
      <c r="C41" s="60">
        <v>6</v>
      </c>
      <c r="D41" s="60">
        <v>70</v>
      </c>
      <c r="E41" s="51"/>
      <c r="F41" s="51"/>
      <c r="G41" s="51"/>
      <c r="H41" s="51"/>
      <c r="I41" s="53">
        <f t="shared" si="1"/>
        <v>26.2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25">
      <c r="A42" s="50">
        <v>50</v>
      </c>
      <c r="B42" s="60">
        <v>601</v>
      </c>
      <c r="C42" s="60">
        <v>7</v>
      </c>
      <c r="D42" s="60">
        <v>70</v>
      </c>
      <c r="E42" s="51"/>
      <c r="F42" s="51"/>
      <c r="G42" s="51"/>
      <c r="H42" s="51"/>
      <c r="I42" s="53">
        <f t="shared" si="1"/>
        <v>24.6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25">
      <c r="A43" s="50">
        <v>55</v>
      </c>
      <c r="B43" s="60">
        <v>646</v>
      </c>
      <c r="C43" s="60">
        <v>8</v>
      </c>
      <c r="D43" s="60">
        <v>63</v>
      </c>
      <c r="E43" s="51"/>
      <c r="F43" s="51"/>
      <c r="G43" s="51"/>
      <c r="H43" s="51"/>
      <c r="I43" s="49">
        <f t="shared" si="1"/>
        <v>23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25">
      <c r="A44" s="50">
        <v>60</v>
      </c>
      <c r="B44" s="60">
        <v>690</v>
      </c>
      <c r="C44" s="60">
        <v>9</v>
      </c>
      <c r="D44" s="60">
        <v>56</v>
      </c>
      <c r="E44" s="51"/>
      <c r="F44" s="51"/>
      <c r="G44" s="51"/>
      <c r="H44" s="51"/>
      <c r="I44" s="49">
        <f t="shared" si="1"/>
        <v>21.4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25">
      <c r="A45" s="50">
        <v>65</v>
      </c>
      <c r="B45" s="60">
        <v>734</v>
      </c>
      <c r="C45" s="60">
        <v>10</v>
      </c>
      <c r="D45" s="60">
        <v>52</v>
      </c>
      <c r="E45" s="51"/>
      <c r="F45" s="51"/>
      <c r="G45" s="51"/>
      <c r="H45" s="51"/>
      <c r="I45" s="49">
        <f t="shared" si="1"/>
        <v>20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25">
      <c r="A46" s="50">
        <v>70</v>
      </c>
      <c r="B46" s="60">
        <v>773</v>
      </c>
      <c r="C46" s="60">
        <v>11</v>
      </c>
      <c r="D46" s="60">
        <v>49</v>
      </c>
      <c r="E46" s="51"/>
      <c r="F46" s="51"/>
      <c r="G46" s="51"/>
      <c r="H46" s="51"/>
      <c r="I46" s="49">
        <f t="shared" si="1"/>
        <v>18.2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25">
      <c r="A47" s="50">
        <v>75</v>
      </c>
      <c r="B47" s="60">
        <v>809</v>
      </c>
      <c r="C47" s="60">
        <v>12</v>
      </c>
      <c r="D47" s="60">
        <v>47</v>
      </c>
      <c r="E47" s="51"/>
      <c r="F47" s="51"/>
      <c r="G47" s="51"/>
      <c r="H47" s="51"/>
      <c r="I47" s="49">
        <f t="shared" si="1"/>
        <v>17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25">
      <c r="A48" s="50">
        <v>80</v>
      </c>
      <c r="B48" s="60">
        <v>840</v>
      </c>
      <c r="C48" s="60" t="s">
        <v>324</v>
      </c>
      <c r="D48" s="60">
        <v>840</v>
      </c>
      <c r="E48" s="51"/>
      <c r="F48" s="51"/>
      <c r="G48" s="51"/>
      <c r="H48" s="51"/>
      <c r="I48" s="49">
        <f t="shared" si="1"/>
        <v>15.6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25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25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25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2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2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2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2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2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2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25">
      <c r="A58" s="46" t="s">
        <v>166</v>
      </c>
      <c r="B58" s="52" t="str">
        <f>IF(B10="","",B10)</f>
        <v>Epicéa de Sitka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2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25">
      <c r="A60" s="4"/>
      <c r="B60" s="85" t="s">
        <v>185</v>
      </c>
      <c r="C60" s="259" t="s">
        <v>186</v>
      </c>
      <c r="D60" s="259"/>
      <c r="E60" s="260" t="s">
        <v>187</v>
      </c>
      <c r="F60" s="261"/>
      <c r="G60" s="261"/>
      <c r="H60" s="262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5" x14ac:dyDescent="0.2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25">
      <c r="A62" s="50">
        <v>20</v>
      </c>
      <c r="B62" s="60">
        <v>143</v>
      </c>
      <c r="C62" s="60">
        <v>1</v>
      </c>
      <c r="D62" s="60">
        <v>48</v>
      </c>
      <c r="E62" s="51"/>
      <c r="F62" s="51"/>
      <c r="G62" s="51"/>
      <c r="H62" s="51">
        <v>1</v>
      </c>
      <c r="I62" s="53">
        <f>IFERROR(B62/A62,"")</f>
        <v>7.15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25">
      <c r="A63" s="50">
        <v>24</v>
      </c>
      <c r="B63" s="60">
        <v>227</v>
      </c>
      <c r="C63" s="60">
        <v>2</v>
      </c>
      <c r="D63" s="60">
        <v>58</v>
      </c>
      <c r="E63" s="51"/>
      <c r="F63" s="51">
        <v>0.2</v>
      </c>
      <c r="G63" s="51"/>
      <c r="H63" s="51">
        <v>0.8</v>
      </c>
      <c r="I63" s="49">
        <f>IF(A63&lt;&gt;0,(B63-(B62-D62))/(A63-A62),"")</f>
        <v>33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5">
      <c r="A64" s="50">
        <v>28</v>
      </c>
      <c r="B64" s="60">
        <v>327</v>
      </c>
      <c r="C64" s="60">
        <v>3</v>
      </c>
      <c r="D64" s="60">
        <v>66</v>
      </c>
      <c r="E64" s="51">
        <v>0.1</v>
      </c>
      <c r="F64" s="51">
        <v>0.3</v>
      </c>
      <c r="G64" s="51"/>
      <c r="H64" s="51">
        <v>0.7</v>
      </c>
      <c r="I64" s="49">
        <f>IF(A64&lt;&gt;0,(B64-(B63-D63))/(A64-A63),"")</f>
        <v>39.5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25">
      <c r="A65" s="50">
        <v>32</v>
      </c>
      <c r="B65" s="60">
        <v>429</v>
      </c>
      <c r="C65" s="60">
        <v>4</v>
      </c>
      <c r="D65" s="60">
        <v>72</v>
      </c>
      <c r="E65" s="51">
        <v>0.2</v>
      </c>
      <c r="F65" s="51">
        <v>0.4</v>
      </c>
      <c r="G65" s="51"/>
      <c r="H65" s="51">
        <v>0.4</v>
      </c>
      <c r="I65" s="49">
        <f>IF(A65&lt;&gt;0,(B65-(B64-D64))/(A65-A64),"")</f>
        <v>42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25">
      <c r="A66" s="50">
        <v>36</v>
      </c>
      <c r="B66" s="60">
        <v>519</v>
      </c>
      <c r="C66" s="60">
        <v>5</v>
      </c>
      <c r="D66" s="60">
        <v>59</v>
      </c>
      <c r="E66" s="51"/>
      <c r="F66" s="51"/>
      <c r="G66" s="51"/>
      <c r="H66" s="51"/>
      <c r="I66" s="49">
        <f t="shared" ref="I66:I81" si="2">IF(A66&lt;&gt;0,(B66-(B65-D65))/(A66-A65),"")</f>
        <v>40.5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25">
      <c r="A67" s="50">
        <v>40</v>
      </c>
      <c r="B67" s="60">
        <v>607</v>
      </c>
      <c r="C67" s="60">
        <v>6</v>
      </c>
      <c r="D67" s="60">
        <v>55</v>
      </c>
      <c r="E67" s="51"/>
      <c r="F67" s="51"/>
      <c r="G67" s="51"/>
      <c r="H67" s="51"/>
      <c r="I67" s="49">
        <f t="shared" si="2"/>
        <v>36.75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25">
      <c r="A68" s="50">
        <v>45</v>
      </c>
      <c r="B68" s="60">
        <v>711</v>
      </c>
      <c r="C68" s="60">
        <v>7</v>
      </c>
      <c r="D68" s="60">
        <v>62</v>
      </c>
      <c r="E68" s="51"/>
      <c r="F68" s="51"/>
      <c r="G68" s="51"/>
      <c r="H68" s="51"/>
      <c r="I68" s="49">
        <f t="shared" si="2"/>
        <v>31.8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25">
      <c r="A69" s="50">
        <v>50</v>
      </c>
      <c r="B69" s="50">
        <v>781</v>
      </c>
      <c r="C69" s="50" t="s">
        <v>324</v>
      </c>
      <c r="D69" s="50">
        <v>781</v>
      </c>
      <c r="E69" s="51"/>
      <c r="F69" s="51"/>
      <c r="G69" s="51"/>
      <c r="H69" s="51"/>
      <c r="I69" s="49">
        <f t="shared" si="2"/>
        <v>26.4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25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25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25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25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25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25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25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2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2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2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2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25">
      <c r="A84" s="46" t="s">
        <v>167</v>
      </c>
      <c r="B84" s="52" t="str">
        <f>IF(B11="","",B11)</f>
        <v>Chêne rouge d'Amérique</v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2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25">
      <c r="A86" s="4"/>
      <c r="B86" s="85" t="s">
        <v>185</v>
      </c>
      <c r="C86" s="259" t="s">
        <v>186</v>
      </c>
      <c r="D86" s="259"/>
      <c r="E86" s="260" t="s">
        <v>187</v>
      </c>
      <c r="F86" s="261"/>
      <c r="G86" s="261"/>
      <c r="H86" s="262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5" x14ac:dyDescent="0.2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25">
      <c r="A88" s="50">
        <v>20</v>
      </c>
      <c r="B88" s="60">
        <v>87</v>
      </c>
      <c r="C88" s="60">
        <v>1</v>
      </c>
      <c r="D88" s="60">
        <v>29</v>
      </c>
      <c r="E88" s="51"/>
      <c r="F88" s="51"/>
      <c r="G88" s="51"/>
      <c r="H88" s="87">
        <v>1</v>
      </c>
      <c r="I88" s="53">
        <f>IFERROR(B88/A88,"")</f>
        <v>4.3499999999999996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25">
      <c r="A89" s="50">
        <v>25</v>
      </c>
      <c r="B89" s="60">
        <v>98</v>
      </c>
      <c r="C89" s="60">
        <v>2</v>
      </c>
      <c r="D89" s="60">
        <v>19</v>
      </c>
      <c r="E89" s="51"/>
      <c r="F89" s="51"/>
      <c r="G89" s="51"/>
      <c r="H89" s="87">
        <v>1</v>
      </c>
      <c r="I89" s="53">
        <f t="shared" ref="I89:I107" si="3">IF(A89&lt;&gt;0,(B89-(B88-D88))/(A89-A88),"")</f>
        <v>8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25">
      <c r="A90" s="50">
        <v>30</v>
      </c>
      <c r="B90" s="60">
        <v>119</v>
      </c>
      <c r="C90" s="60">
        <v>3</v>
      </c>
      <c r="D90" s="60">
        <v>20</v>
      </c>
      <c r="E90" s="87"/>
      <c r="F90" s="87"/>
      <c r="G90" s="87"/>
      <c r="H90" s="87">
        <v>1</v>
      </c>
      <c r="I90" s="53">
        <f t="shared" si="3"/>
        <v>8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25">
      <c r="A91" s="50">
        <v>35</v>
      </c>
      <c r="B91" s="60">
        <v>135</v>
      </c>
      <c r="C91" s="60">
        <v>4</v>
      </c>
      <c r="D91" s="60">
        <v>20</v>
      </c>
      <c r="E91" s="87"/>
      <c r="F91" s="87">
        <v>0.2</v>
      </c>
      <c r="G91" s="87"/>
      <c r="H91" s="87">
        <v>0.8</v>
      </c>
      <c r="I91" s="53">
        <f t="shared" si="3"/>
        <v>7.2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25">
      <c r="A92" s="50">
        <v>40</v>
      </c>
      <c r="B92" s="60">
        <v>150</v>
      </c>
      <c r="C92" s="60">
        <v>5</v>
      </c>
      <c r="D92" s="60">
        <v>20</v>
      </c>
      <c r="E92" s="87">
        <v>0.1</v>
      </c>
      <c r="F92" s="87">
        <v>0.2</v>
      </c>
      <c r="G92" s="87"/>
      <c r="H92" s="87">
        <v>0.7</v>
      </c>
      <c r="I92" s="53">
        <f t="shared" si="3"/>
        <v>7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25">
      <c r="A93" s="50">
        <v>45</v>
      </c>
      <c r="B93" s="60">
        <v>162</v>
      </c>
      <c r="C93" s="60">
        <v>6</v>
      </c>
      <c r="D93" s="60">
        <v>19</v>
      </c>
      <c r="E93" s="87"/>
      <c r="F93" s="87"/>
      <c r="G93" s="87"/>
      <c r="H93" s="87"/>
      <c r="I93" s="53">
        <f t="shared" si="3"/>
        <v>6.4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5">
      <c r="A94" s="50">
        <v>50</v>
      </c>
      <c r="B94" s="60">
        <v>173</v>
      </c>
      <c r="C94" s="60">
        <v>7</v>
      </c>
      <c r="D94" s="60">
        <v>18</v>
      </c>
      <c r="E94" s="87"/>
      <c r="F94" s="87"/>
      <c r="G94" s="87"/>
      <c r="H94" s="87"/>
      <c r="I94" s="53">
        <f t="shared" si="3"/>
        <v>6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5">
      <c r="A95" s="60">
        <v>55</v>
      </c>
      <c r="B95" s="60">
        <v>181</v>
      </c>
      <c r="C95" s="60">
        <v>8</v>
      </c>
      <c r="D95" s="60">
        <v>17</v>
      </c>
      <c r="E95" s="87"/>
      <c r="F95" s="87"/>
      <c r="G95" s="87"/>
      <c r="H95" s="87"/>
      <c r="I95" s="53">
        <f t="shared" si="3"/>
        <v>5.2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5">
      <c r="A96" s="60">
        <v>60</v>
      </c>
      <c r="B96" s="60">
        <v>189</v>
      </c>
      <c r="C96" s="60">
        <v>9</v>
      </c>
      <c r="D96" s="60">
        <v>16</v>
      </c>
      <c r="E96" s="87"/>
      <c r="F96" s="87"/>
      <c r="G96" s="87"/>
      <c r="H96" s="87"/>
      <c r="I96" s="53">
        <f t="shared" si="3"/>
        <v>5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25">
      <c r="A97" s="60">
        <v>65</v>
      </c>
      <c r="B97" s="60">
        <v>195</v>
      </c>
      <c r="C97" s="60">
        <v>10</v>
      </c>
      <c r="D97" s="60">
        <v>15</v>
      </c>
      <c r="E97" s="87"/>
      <c r="F97" s="87"/>
      <c r="G97" s="87"/>
      <c r="H97" s="87"/>
      <c r="I97" s="53">
        <f t="shared" si="3"/>
        <v>4.4000000000000004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25">
      <c r="A98" s="60">
        <v>70</v>
      </c>
      <c r="B98" s="60">
        <v>201</v>
      </c>
      <c r="C98" s="60">
        <v>11</v>
      </c>
      <c r="D98" s="60">
        <v>14</v>
      </c>
      <c r="E98" s="87"/>
      <c r="F98" s="87"/>
      <c r="G98" s="87"/>
      <c r="H98" s="87"/>
      <c r="I98" s="53">
        <f t="shared" si="3"/>
        <v>4.2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25">
      <c r="A99" s="60">
        <v>75</v>
      </c>
      <c r="B99" s="60">
        <v>204</v>
      </c>
      <c r="C99" s="60">
        <v>12</v>
      </c>
      <c r="D99" s="60">
        <v>12</v>
      </c>
      <c r="E99" s="87"/>
      <c r="F99" s="87"/>
      <c r="G99" s="87"/>
      <c r="H99" s="87"/>
      <c r="I99" s="53">
        <f t="shared" si="3"/>
        <v>3.4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25">
      <c r="A100" s="60">
        <v>80</v>
      </c>
      <c r="B100" s="60">
        <v>208</v>
      </c>
      <c r="C100" s="60">
        <v>13</v>
      </c>
      <c r="D100" s="60">
        <v>11</v>
      </c>
      <c r="E100" s="65"/>
      <c r="F100" s="65"/>
      <c r="G100" s="65"/>
      <c r="H100" s="65"/>
      <c r="I100" s="53">
        <f t="shared" si="3"/>
        <v>3.2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25">
      <c r="A101" s="60">
        <v>85</v>
      </c>
      <c r="B101" s="60">
        <v>211</v>
      </c>
      <c r="C101" s="60">
        <v>14</v>
      </c>
      <c r="D101" s="60">
        <v>10</v>
      </c>
      <c r="E101" s="65"/>
      <c r="F101" s="65"/>
      <c r="G101" s="65"/>
      <c r="H101" s="65"/>
      <c r="I101" s="53">
        <f t="shared" si="3"/>
        <v>2.8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25">
      <c r="A102" s="60">
        <v>90</v>
      </c>
      <c r="B102" s="50">
        <v>215</v>
      </c>
      <c r="C102" s="60">
        <v>15</v>
      </c>
      <c r="D102" s="50">
        <v>10</v>
      </c>
      <c r="E102" s="54"/>
      <c r="F102" s="54"/>
      <c r="G102" s="54"/>
      <c r="H102" s="54"/>
      <c r="I102" s="53">
        <f t="shared" si="3"/>
        <v>2.8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25">
      <c r="A103" s="60">
        <v>95</v>
      </c>
      <c r="B103" s="50">
        <v>219</v>
      </c>
      <c r="C103" s="60">
        <v>16</v>
      </c>
      <c r="D103" s="50">
        <v>11</v>
      </c>
      <c r="E103" s="54"/>
      <c r="F103" s="54"/>
      <c r="G103" s="54"/>
      <c r="H103" s="54"/>
      <c r="I103" s="53">
        <f t="shared" si="3"/>
        <v>2.8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25">
      <c r="A104" s="60">
        <v>100</v>
      </c>
      <c r="B104" s="50">
        <v>223</v>
      </c>
      <c r="C104" s="60" t="s">
        <v>324</v>
      </c>
      <c r="D104" s="50">
        <v>223</v>
      </c>
      <c r="E104" s="54"/>
      <c r="F104" s="54"/>
      <c r="G104" s="54"/>
      <c r="H104" s="54"/>
      <c r="I104" s="53">
        <f t="shared" si="3"/>
        <v>3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2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2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2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2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2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25">
      <c r="A110" s="46" t="s">
        <v>168</v>
      </c>
      <c r="B110" s="52" t="str">
        <f>IF(B12="","",B12)</f>
        <v/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2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25">
      <c r="A112" s="4"/>
      <c r="B112" s="85" t="s">
        <v>185</v>
      </c>
      <c r="C112" s="259" t="s">
        <v>186</v>
      </c>
      <c r="D112" s="259"/>
      <c r="E112" s="260" t="s">
        <v>187</v>
      </c>
      <c r="F112" s="261"/>
      <c r="G112" s="261"/>
      <c r="H112" s="262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5" x14ac:dyDescent="0.2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25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25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25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25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25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25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25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25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25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2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2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2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2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2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2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2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2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2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2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2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2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2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25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2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25">
      <c r="A138" s="4"/>
      <c r="B138" s="85" t="s">
        <v>185</v>
      </c>
      <c r="C138" s="259" t="s">
        <v>186</v>
      </c>
      <c r="D138" s="259"/>
      <c r="E138" s="260" t="s">
        <v>187</v>
      </c>
      <c r="F138" s="261"/>
      <c r="G138" s="261"/>
      <c r="H138" s="262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5" x14ac:dyDescent="0.2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2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2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2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2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2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2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2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2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2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2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2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2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2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2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2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2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2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2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2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2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2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2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25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2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25">
      <c r="A164" s="4"/>
      <c r="B164" s="85" t="s">
        <v>185</v>
      </c>
      <c r="C164" s="259" t="s">
        <v>186</v>
      </c>
      <c r="D164" s="259"/>
      <c r="E164" s="260" t="s">
        <v>187</v>
      </c>
      <c r="F164" s="261"/>
      <c r="G164" s="261"/>
      <c r="H164" s="262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5" x14ac:dyDescent="0.2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2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2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2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2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2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2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2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2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2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2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2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2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2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2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2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2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2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2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2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2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2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2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25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2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25">
      <c r="A190" s="4"/>
      <c r="B190" s="85" t="s">
        <v>185</v>
      </c>
      <c r="C190" s="259" t="s">
        <v>186</v>
      </c>
      <c r="D190" s="259"/>
      <c r="E190" s="260" t="s">
        <v>187</v>
      </c>
      <c r="F190" s="261"/>
      <c r="G190" s="261"/>
      <c r="H190" s="262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5" x14ac:dyDescent="0.2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2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2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2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2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2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2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2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2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2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2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2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2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2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2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2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2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2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2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2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2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2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2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25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2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25">
      <c r="A216" s="4"/>
      <c r="B216" s="85" t="s">
        <v>185</v>
      </c>
      <c r="C216" s="259" t="s">
        <v>186</v>
      </c>
      <c r="D216" s="259"/>
      <c r="E216" s="260" t="s">
        <v>187</v>
      </c>
      <c r="F216" s="261"/>
      <c r="G216" s="261"/>
      <c r="H216" s="262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5" x14ac:dyDescent="0.2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2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2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2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2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2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2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2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2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2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2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2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2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2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2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2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2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2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2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2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2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2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2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25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2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25">
      <c r="A242" s="4"/>
      <c r="B242" s="85" t="s">
        <v>185</v>
      </c>
      <c r="C242" s="259" t="s">
        <v>186</v>
      </c>
      <c r="D242" s="259"/>
      <c r="E242" s="260" t="s">
        <v>187</v>
      </c>
      <c r="F242" s="261"/>
      <c r="G242" s="261"/>
      <c r="H242" s="262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5" x14ac:dyDescent="0.2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2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2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2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2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2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2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2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2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2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2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2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2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2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2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2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2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2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2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2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2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2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2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25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2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25">
      <c r="A268" s="4"/>
      <c r="B268" s="85" t="s">
        <v>185</v>
      </c>
      <c r="C268" s="259" t="s">
        <v>186</v>
      </c>
      <c r="D268" s="259"/>
      <c r="E268" s="260" t="s">
        <v>187</v>
      </c>
      <c r="F268" s="261"/>
      <c r="G268" s="261"/>
      <c r="H268" s="262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5" x14ac:dyDescent="0.2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2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2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2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2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2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2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2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2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2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2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2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2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2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2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2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2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2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2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2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2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2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2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2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2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2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2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2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2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2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2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2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2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2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2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2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2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2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2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2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2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2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2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2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2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2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2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2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2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2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2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2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2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2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2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2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2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2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2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2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2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2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2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2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2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2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2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2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2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2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2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2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2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2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2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2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2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2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2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2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2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2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2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2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2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2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2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2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2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2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2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2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2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2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2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2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2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2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2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2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2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2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2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2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2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2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2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2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2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2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2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2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2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2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2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2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2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2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2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2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2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2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2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2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2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2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2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2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2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2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2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2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2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2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2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2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2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2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2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2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2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2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2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2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2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2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2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2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2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2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2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2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2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2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2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2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2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2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2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A6" zoomScaleNormal="100" workbookViewId="0">
      <selection activeCell="G15" sqref="G15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thickBot="1" x14ac:dyDescent="0.45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2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25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25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2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25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25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25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25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2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2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25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25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25">
      <c r="A15" s="23"/>
      <c r="B15" s="26" t="s">
        <v>295</v>
      </c>
      <c r="C15" s="4"/>
      <c r="D15" s="23"/>
      <c r="E15" s="4"/>
      <c r="F15" s="4"/>
      <c r="G15" s="2" t="s">
        <v>20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25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25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25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25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2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2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2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2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2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2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2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2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2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2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2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2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2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2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2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2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2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2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2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2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2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2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2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2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2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2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2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2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2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2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2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2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2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2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2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2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2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2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2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2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2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25">
      <c r="C104" s="4"/>
      <c r="F104" s="4"/>
    </row>
    <row r="105" spans="3:35" x14ac:dyDescent="0.25">
      <c r="C105" s="4"/>
      <c r="F105" s="4"/>
    </row>
    <row r="106" spans="3:35" x14ac:dyDescent="0.25">
      <c r="C106" s="4"/>
      <c r="F106" s="4"/>
    </row>
    <row r="107" spans="3:35" x14ac:dyDescent="0.25">
      <c r="C107" s="4"/>
      <c r="F107" s="4"/>
    </row>
    <row r="108" spans="3:35" x14ac:dyDescent="0.25">
      <c r="C108" s="4"/>
      <c r="F108" s="4"/>
    </row>
    <row r="109" spans="3:35" x14ac:dyDescent="0.25">
      <c r="C109" s="4"/>
      <c r="F109" s="4"/>
    </row>
    <row r="110" spans="3:35" x14ac:dyDescent="0.25">
      <c r="C110" s="4"/>
      <c r="F110" s="4"/>
    </row>
    <row r="111" spans="3:35" x14ac:dyDescent="0.25">
      <c r="C111" s="4"/>
      <c r="F111" s="4"/>
    </row>
    <row r="112" spans="3:35" x14ac:dyDescent="0.25">
      <c r="C112" s="4"/>
      <c r="F112" s="4"/>
    </row>
    <row r="113" spans="3:6" x14ac:dyDescent="0.25">
      <c r="C113" s="4"/>
      <c r="F113" s="4"/>
    </row>
    <row r="114" spans="3:6" x14ac:dyDescent="0.25">
      <c r="C114" s="4"/>
      <c r="F114" s="4"/>
    </row>
    <row r="115" spans="3:6" x14ac:dyDescent="0.25">
      <c r="C115" s="4"/>
      <c r="F115" s="4"/>
    </row>
    <row r="116" spans="3:6" x14ac:dyDescent="0.25">
      <c r="C116" s="4"/>
      <c r="F116" s="4"/>
    </row>
    <row r="117" spans="3:6" x14ac:dyDescent="0.25">
      <c r="C117" s="4"/>
      <c r="F117" s="4"/>
    </row>
    <row r="118" spans="3:6" x14ac:dyDescent="0.25">
      <c r="C118" s="4"/>
      <c r="F118" s="4"/>
    </row>
    <row r="119" spans="3:6" x14ac:dyDescent="0.25">
      <c r="C119" s="4"/>
      <c r="F119" s="4"/>
    </row>
    <row r="120" spans="3:6" x14ac:dyDescent="0.25">
      <c r="C120" s="4"/>
      <c r="F120" s="4"/>
    </row>
    <row r="121" spans="3:6" x14ac:dyDescent="0.25">
      <c r="C121" s="4"/>
      <c r="F121" s="4"/>
    </row>
    <row r="122" spans="3:6" x14ac:dyDescent="0.25">
      <c r="C122" s="4"/>
      <c r="F122" s="4"/>
    </row>
    <row r="123" spans="3:6" x14ac:dyDescent="0.25">
      <c r="C123" s="4"/>
      <c r="F123" s="4"/>
    </row>
    <row r="124" spans="3:6" x14ac:dyDescent="0.25">
      <c r="C124" s="4"/>
      <c r="F124" s="4"/>
    </row>
    <row r="125" spans="3:6" x14ac:dyDescent="0.25">
      <c r="C125" s="4"/>
      <c r="F125" s="4"/>
    </row>
    <row r="126" spans="3:6" x14ac:dyDescent="0.25">
      <c r="C126" s="4"/>
      <c r="F126" s="4"/>
    </row>
    <row r="127" spans="3:6" x14ac:dyDescent="0.25">
      <c r="C127" s="4"/>
      <c r="F127" s="4"/>
    </row>
    <row r="128" spans="3:6" x14ac:dyDescent="0.25">
      <c r="C128" s="4"/>
      <c r="F128" s="4"/>
    </row>
    <row r="129" spans="3:6" x14ac:dyDescent="0.25">
      <c r="C129" s="4"/>
      <c r="F129" s="4"/>
    </row>
    <row r="130" spans="3:6" x14ac:dyDescent="0.25">
      <c r="C130" s="4"/>
      <c r="F130" s="4"/>
    </row>
    <row r="131" spans="3:6" x14ac:dyDescent="0.25">
      <c r="C131" s="4"/>
      <c r="F131" s="4"/>
    </row>
    <row r="132" spans="3:6" x14ac:dyDescent="0.25">
      <c r="F132" s="4"/>
    </row>
    <row r="133" spans="3:6" x14ac:dyDescent="0.25">
      <c r="F133" s="4"/>
    </row>
    <row r="134" spans="3:6" x14ac:dyDescent="0.25">
      <c r="F134" s="4"/>
    </row>
    <row r="135" spans="3:6" x14ac:dyDescent="0.25">
      <c r="F135" s="4"/>
    </row>
    <row r="136" spans="3:6" x14ac:dyDescent="0.25">
      <c r="F136" s="4"/>
    </row>
    <row r="137" spans="3:6" x14ac:dyDescent="0.25">
      <c r="F137" s="4"/>
    </row>
    <row r="138" spans="3:6" x14ac:dyDescent="0.25">
      <c r="F138" s="4"/>
    </row>
    <row r="139" spans="3:6" x14ac:dyDescent="0.25">
      <c r="F139" s="4"/>
    </row>
    <row r="140" spans="3:6" x14ac:dyDescent="0.25">
      <c r="F140" s="4"/>
    </row>
    <row r="141" spans="3:6" x14ac:dyDescent="0.25">
      <c r="F141" s="4"/>
    </row>
    <row r="142" spans="3:6" x14ac:dyDescent="0.25">
      <c r="F142" s="4"/>
    </row>
    <row r="143" spans="3:6" x14ac:dyDescent="0.25">
      <c r="F143" s="4"/>
    </row>
    <row r="144" spans="3:6" x14ac:dyDescent="0.25">
      <c r="F144" s="4"/>
    </row>
    <row r="145" spans="6:6" x14ac:dyDescent="0.25">
      <c r="F145" s="4"/>
    </row>
    <row r="146" spans="6:6" x14ac:dyDescent="0.25">
      <c r="F146" s="4"/>
    </row>
    <row r="147" spans="6:6" x14ac:dyDescent="0.25">
      <c r="F147" s="4"/>
    </row>
    <row r="148" spans="6:6" x14ac:dyDescent="0.25">
      <c r="F148" s="4"/>
    </row>
    <row r="149" spans="6:6" x14ac:dyDescent="0.25">
      <c r="F149" s="4"/>
    </row>
    <row r="150" spans="6:6" x14ac:dyDescent="0.25">
      <c r="F150" s="4"/>
    </row>
    <row r="151" spans="6:6" x14ac:dyDescent="0.25">
      <c r="F151" s="4"/>
    </row>
    <row r="152" spans="6:6" x14ac:dyDescent="0.25">
      <c r="F152" s="4"/>
    </row>
    <row r="153" spans="6:6" x14ac:dyDescent="0.25">
      <c r="F153" s="4"/>
    </row>
    <row r="154" spans="6:6" x14ac:dyDescent="0.25">
      <c r="F154" s="4"/>
    </row>
    <row r="155" spans="6:6" x14ac:dyDescent="0.25">
      <c r="F155" s="4"/>
    </row>
    <row r="156" spans="6:6" x14ac:dyDescent="0.25">
      <c r="F156" s="4"/>
    </row>
    <row r="157" spans="6:6" x14ac:dyDescent="0.25">
      <c r="F157" s="4"/>
    </row>
    <row r="158" spans="6:6" x14ac:dyDescent="0.25">
      <c r="F158" s="4"/>
    </row>
    <row r="159" spans="6:6" x14ac:dyDescent="0.25">
      <c r="F159" s="4"/>
    </row>
    <row r="160" spans="6:6" x14ac:dyDescent="0.25">
      <c r="F160" s="4"/>
    </row>
    <row r="161" spans="6:6" x14ac:dyDescent="0.25">
      <c r="F161" s="4"/>
    </row>
    <row r="162" spans="6:6" x14ac:dyDescent="0.25">
      <c r="F162" s="4"/>
    </row>
    <row r="163" spans="6:6" x14ac:dyDescent="0.2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4" bestFit="1" customWidth="1"/>
    <col min="2" max="4" width="11.42578125" style="4"/>
    <col min="5" max="5" width="9.5703125" style="4" customWidth="1"/>
    <col min="6" max="7" width="11.42578125" style="4"/>
    <col min="8" max="8" width="10.7109375" style="4" customWidth="1"/>
    <col min="9" max="9" width="9.42578125" style="4" customWidth="1"/>
    <col min="10" max="11" width="10.5703125" style="4" bestFit="1" customWidth="1"/>
    <col min="12" max="12" width="14" style="4" bestFit="1" customWidth="1"/>
    <col min="13" max="13" width="14" style="4" customWidth="1"/>
    <col min="14" max="23" width="11.42578125" style="4"/>
    <col min="24" max="24" width="11.7109375" style="4" bestFit="1" customWidth="1"/>
    <col min="25" max="25" width="14.5703125" style="4" bestFit="1" customWidth="1"/>
    <col min="26" max="26" width="12.42578125" style="4" bestFit="1" customWidth="1"/>
    <col min="27" max="27" width="9.7109375" style="4" bestFit="1" customWidth="1"/>
    <col min="28" max="28" width="11" style="4" bestFit="1" customWidth="1"/>
    <col min="29" max="29" width="9.42578125" style="4" bestFit="1" customWidth="1"/>
    <col min="30" max="31" width="9.42578125" style="4" customWidth="1"/>
    <col min="32" max="32" width="11.42578125" style="4"/>
    <col min="33" max="34" width="14" style="4" bestFit="1" customWidth="1"/>
    <col min="35" max="35" width="10.5703125" style="4" bestFit="1" customWidth="1"/>
    <col min="36" max="36" width="9.42578125" style="4" bestFit="1" customWidth="1"/>
    <col min="37" max="38" width="10.5703125" style="4" bestFit="1" customWidth="1"/>
    <col min="39" max="41" width="10.5703125" style="4" customWidth="1"/>
    <col min="42" max="42" width="9" style="4" bestFit="1" customWidth="1"/>
    <col min="43" max="43" width="10.5703125" style="4" bestFit="1" customWidth="1"/>
    <col min="44" max="44" width="9.28515625" style="4" bestFit="1" customWidth="1"/>
    <col min="45" max="45" width="11.7109375" style="4" bestFit="1" customWidth="1"/>
    <col min="46" max="46" width="8.42578125" style="4" bestFit="1" customWidth="1"/>
    <col min="47" max="47" width="9.42578125" style="4" bestFit="1" customWidth="1"/>
    <col min="48" max="48" width="9.7109375" style="4" bestFit="1" customWidth="1"/>
    <col min="49" max="49" width="11" style="4" bestFit="1" customWidth="1"/>
    <col min="50" max="50" width="9.42578125" style="4" bestFit="1" customWidth="1"/>
    <col min="51" max="52" width="9.42578125" style="4" customWidth="1"/>
    <col min="53" max="53" width="10.5703125" style="4" bestFit="1" customWidth="1"/>
    <col min="54" max="54" width="14.28515625" style="4" customWidth="1"/>
    <col min="55" max="55" width="14" style="4" customWidth="1"/>
    <col min="56" max="56" width="10.5703125" style="4" bestFit="1" customWidth="1"/>
    <col min="57" max="57" width="9.42578125" style="4" bestFit="1" customWidth="1"/>
    <col min="58" max="59" width="10.5703125" style="4" bestFit="1" customWidth="1"/>
    <col min="60" max="62" width="10.5703125" style="4" customWidth="1"/>
    <col min="63" max="63" width="9" style="4" bestFit="1" customWidth="1"/>
    <col min="64" max="64" width="10.5703125" style="4" bestFit="1" customWidth="1"/>
    <col min="65" max="65" width="9.28515625" style="4" bestFit="1" customWidth="1"/>
    <col min="66" max="66" width="11.7109375" style="4" bestFit="1" customWidth="1"/>
    <col min="67" max="67" width="8.42578125" style="4" bestFit="1" customWidth="1"/>
    <col min="68" max="68" width="9.42578125" style="4" bestFit="1" customWidth="1"/>
    <col min="69" max="69" width="9.7109375" style="4" bestFit="1" customWidth="1"/>
    <col min="70" max="70" width="11" style="4" bestFit="1" customWidth="1"/>
    <col min="71" max="71" width="9.42578125" style="4" bestFit="1" customWidth="1"/>
    <col min="72" max="73" width="9.42578125" style="4" customWidth="1"/>
    <col min="74" max="74" width="10.5703125" style="4" bestFit="1" customWidth="1"/>
    <col min="75" max="75" width="14" style="4" bestFit="1" customWidth="1"/>
    <col min="76" max="76" width="13.85546875" style="4" customWidth="1"/>
    <col min="77" max="77" width="10.5703125" style="4" bestFit="1" customWidth="1"/>
    <col min="78" max="78" width="9.42578125" style="4" bestFit="1" customWidth="1"/>
    <col min="79" max="80" width="10.5703125" style="4" bestFit="1" customWidth="1"/>
    <col min="81" max="83" width="10.5703125" style="4" customWidth="1"/>
    <col min="84" max="84" width="11.42578125" style="4"/>
    <col min="85" max="85" width="10.5703125" style="4" bestFit="1" customWidth="1"/>
    <col min="86" max="86" width="9.28515625" style="4" bestFit="1" customWidth="1"/>
    <col min="87" max="87" width="11.7109375" style="4" bestFit="1" customWidth="1"/>
    <col min="88" max="88" width="8.42578125" style="4" bestFit="1" customWidth="1"/>
    <col min="89" max="89" width="9.42578125" style="4" bestFit="1" customWidth="1"/>
    <col min="90" max="90" width="9.7109375" style="4" bestFit="1" customWidth="1"/>
    <col min="91" max="91" width="11" style="4" bestFit="1" customWidth="1"/>
    <col min="92" max="92" width="9.42578125" style="4" bestFit="1" customWidth="1"/>
    <col min="93" max="94" width="9.42578125" style="4" customWidth="1"/>
    <col min="95" max="95" width="11.42578125" style="4"/>
    <col min="96" max="97" width="14" style="4" customWidth="1"/>
    <col min="98" max="98" width="10.5703125" style="4" bestFit="1" customWidth="1"/>
    <col min="99" max="99" width="9.42578125" style="4" bestFit="1" customWidth="1"/>
    <col min="100" max="101" width="10.5703125" style="4" bestFit="1" customWidth="1"/>
    <col min="102" max="104" width="10.5703125" style="4" customWidth="1"/>
    <col min="105" max="105" width="9" style="4" bestFit="1" customWidth="1"/>
    <col min="106" max="106" width="10.5703125" style="4" bestFit="1" customWidth="1"/>
    <col min="107" max="107" width="9.28515625" style="4" bestFit="1" customWidth="1"/>
    <col min="108" max="108" width="11.7109375" style="4" bestFit="1" customWidth="1"/>
    <col min="109" max="109" width="8.42578125" style="4" bestFit="1" customWidth="1"/>
    <col min="110" max="110" width="9.42578125" style="4" bestFit="1" customWidth="1"/>
    <col min="111" max="111" width="9.7109375" style="4" bestFit="1" customWidth="1"/>
    <col min="112" max="112" width="11" style="4" bestFit="1" customWidth="1"/>
    <col min="113" max="113" width="9.42578125" style="4" bestFit="1" customWidth="1"/>
    <col min="114" max="115" width="9.42578125" style="4" customWidth="1"/>
    <col min="116" max="116" width="10.5703125" style="4" bestFit="1" customWidth="1"/>
    <col min="117" max="117" width="14.28515625" style="4" customWidth="1"/>
    <col min="118" max="118" width="14" style="4" bestFit="1" customWidth="1"/>
    <col min="119" max="119" width="10.5703125" style="4" bestFit="1" customWidth="1"/>
    <col min="120" max="120" width="9.42578125" style="4" bestFit="1" customWidth="1"/>
    <col min="121" max="122" width="10.5703125" style="4" bestFit="1" customWidth="1"/>
    <col min="123" max="125" width="10.5703125" style="4" customWidth="1"/>
    <col min="126" max="126" width="9" style="4" bestFit="1" customWidth="1"/>
    <col min="127" max="127" width="10.5703125" style="4" bestFit="1" customWidth="1"/>
    <col min="128" max="128" width="9.28515625" style="4" bestFit="1" customWidth="1"/>
    <col min="129" max="129" width="11.7109375" style="4" bestFit="1" customWidth="1"/>
    <col min="130" max="130" width="8.42578125" style="4" bestFit="1" customWidth="1"/>
    <col min="131" max="131" width="9.42578125" style="4" bestFit="1" customWidth="1"/>
    <col min="132" max="132" width="9.7109375" style="4" bestFit="1" customWidth="1"/>
    <col min="133" max="133" width="11" style="4" bestFit="1" customWidth="1"/>
    <col min="134" max="134" width="9.42578125" style="4" bestFit="1" customWidth="1"/>
    <col min="135" max="136" width="9.42578125" style="4" customWidth="1"/>
    <col min="137" max="137" width="10.5703125" style="4" bestFit="1" customWidth="1"/>
    <col min="138" max="139" width="14" style="4" customWidth="1"/>
    <col min="140" max="140" width="10.5703125" style="4" bestFit="1" customWidth="1"/>
    <col min="141" max="141" width="9.42578125" style="4" bestFit="1" customWidth="1"/>
    <col min="142" max="143" width="10.5703125" style="4" bestFit="1" customWidth="1"/>
    <col min="144" max="146" width="10.5703125" style="4" customWidth="1"/>
    <col min="147" max="147" width="9" style="4" bestFit="1" customWidth="1"/>
    <col min="148" max="148" width="10.5703125" style="4" bestFit="1" customWidth="1"/>
    <col min="149" max="149" width="9.28515625" style="4" bestFit="1" customWidth="1"/>
    <col min="150" max="150" width="11.7109375" style="4" bestFit="1" customWidth="1"/>
    <col min="151" max="151" width="8.42578125" style="4" bestFit="1" customWidth="1"/>
    <col min="152" max="152" width="9.42578125" style="4" bestFit="1" customWidth="1"/>
    <col min="153" max="153" width="9.7109375" style="4" bestFit="1" customWidth="1"/>
    <col min="154" max="154" width="11" style="4" bestFit="1" customWidth="1"/>
    <col min="155" max="155" width="9.42578125" style="4" bestFit="1" customWidth="1"/>
    <col min="156" max="157" width="9.42578125" style="4" customWidth="1"/>
    <col min="158" max="158" width="11.42578125" style="4"/>
    <col min="159" max="160" width="14" style="4" bestFit="1" customWidth="1"/>
    <col min="161" max="161" width="10.5703125" style="4" bestFit="1" customWidth="1"/>
    <col min="162" max="162" width="9.42578125" style="4" bestFit="1" customWidth="1"/>
    <col min="163" max="164" width="10.5703125" style="4" bestFit="1" customWidth="1"/>
    <col min="165" max="167" width="10.5703125" style="4" customWidth="1"/>
    <col min="168" max="168" width="9" style="4" bestFit="1" customWidth="1"/>
    <col min="169" max="169" width="10.5703125" style="4" bestFit="1" customWidth="1"/>
    <col min="170" max="170" width="9.28515625" style="4" bestFit="1" customWidth="1"/>
    <col min="171" max="171" width="11.7109375" style="4" bestFit="1" customWidth="1"/>
    <col min="172" max="172" width="8.140625" style="4" bestFit="1" customWidth="1"/>
    <col min="173" max="173" width="9.42578125" style="4" bestFit="1" customWidth="1"/>
    <col min="174" max="174" width="9.7109375" style="4" bestFit="1" customWidth="1"/>
    <col min="175" max="175" width="11" style="4" bestFit="1" customWidth="1"/>
    <col min="176" max="176" width="9.42578125" style="4" bestFit="1" customWidth="1"/>
    <col min="177" max="178" width="9.42578125" style="4" customWidth="1"/>
    <col min="179" max="179" width="10.5703125" style="4" bestFit="1" customWidth="1"/>
    <col min="180" max="181" width="14" style="4" bestFit="1" customWidth="1"/>
    <col min="182" max="182" width="10.5703125" style="4" bestFit="1" customWidth="1"/>
    <col min="183" max="183" width="9.42578125" style="4" bestFit="1" customWidth="1"/>
    <col min="184" max="185" width="10.5703125" style="4" bestFit="1" customWidth="1"/>
    <col min="186" max="188" width="10.5703125" style="4" customWidth="1"/>
    <col min="189" max="189" width="9" style="4" bestFit="1" customWidth="1"/>
    <col min="190" max="190" width="10.5703125" style="4" bestFit="1" customWidth="1"/>
    <col min="191" max="191" width="9.28515625" style="4" bestFit="1" customWidth="1"/>
    <col min="192" max="192" width="11.42578125" style="4"/>
    <col min="193" max="193" width="8.42578125" style="4" bestFit="1" customWidth="1"/>
    <col min="194" max="194" width="9.42578125" style="4" bestFit="1" customWidth="1"/>
    <col min="195" max="195" width="9.7109375" style="4" bestFit="1" customWidth="1"/>
    <col min="196" max="196" width="11" style="4" bestFit="1" customWidth="1"/>
    <col min="197" max="197" width="9.42578125" style="4" bestFit="1" customWidth="1"/>
    <col min="198" max="199" width="9.42578125" style="4" customWidth="1"/>
    <col min="200" max="200" width="10.5703125" style="4" bestFit="1" customWidth="1"/>
    <col min="201" max="201" width="14" style="4" customWidth="1"/>
    <col min="202" max="202" width="14.28515625" style="4" customWidth="1"/>
    <col min="203" max="203" width="10.5703125" style="4" bestFit="1" customWidth="1"/>
    <col min="204" max="204" width="9.42578125" style="4" bestFit="1" customWidth="1"/>
    <col min="205" max="206" width="10.5703125" style="4" bestFit="1" customWidth="1"/>
    <col min="207" max="209" width="10.5703125" style="4" customWidth="1"/>
    <col min="210" max="210" width="9" style="4" bestFit="1" customWidth="1"/>
    <col min="211" max="211" width="10.5703125" style="4" bestFit="1" customWidth="1"/>
    <col min="212" max="212" width="9.28515625" style="4" bestFit="1" customWidth="1"/>
    <col min="213" max="213" width="11.7109375" style="4" bestFit="1" customWidth="1"/>
    <col min="214" max="214" width="8.42578125" style="4" bestFit="1" customWidth="1"/>
    <col min="215" max="215" width="9.42578125" style="4" bestFit="1" customWidth="1"/>
    <col min="216" max="216" width="9.7109375" style="4" bestFit="1" customWidth="1"/>
    <col min="217" max="217" width="11" style="4" bestFit="1" customWidth="1"/>
    <col min="218" max="218" width="9.42578125" style="4" bestFit="1" customWidth="1"/>
    <col min="219" max="16384" width="11.42578125" style="4"/>
  </cols>
  <sheetData>
    <row r="1" spans="1:218" ht="27" thickBot="1" x14ac:dyDescent="0.45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Thuya géant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>Epicéa de Sitka</v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>Chêne rouge d'Amérique</v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/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/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/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/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75.75" thickBot="1" x14ac:dyDescent="0.3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2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321.12254860105566</v>
      </c>
      <c r="T3" s="59">
        <f>IF('Données projet'!E9&gt;30,$R$33-$H$33,LOOKUP('Données projet'!$E$9,$A$3:$A$203,R3:R203)-LOOKUP('Données projet'!$E$9,$A$3:$A$203,$H$3:$H$203))</f>
        <v>270.52026164274571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267.78121291362345</v>
      </c>
      <c r="AO3" s="59">
        <f>IF('Données projet'!E10&gt;30,$AM$33-$H$33,LOOKUP('Données projet'!$E$10,$A$3:$A$203,AM3:AM203)-LOOKUP('Données projet'!$E$10,$A$3:$A$203,$H$3:$H$203))</f>
        <v>320.1780590861174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293.33333333333331</v>
      </c>
      <c r="BI3" s="59">
        <f ca="1">AVERAGE(OFFSET($BH$3,0,0,'Données projet'!$E$11+1,1))-AVERAGE(OFFSET($H$3,0,0,'Données projet'!$E$11+1,1))</f>
        <v>212.82470567725971</v>
      </c>
      <c r="BJ3" s="59">
        <f>IF('Données projet'!E11&gt;30,$BH$33-$H$33,LOOKUP('Données projet'!$E$11,$A$3:$A$203,BH3:BH203)-LOOKUP('Données projet'!$E$11,$A$3:$A$203,$H$3:$H$203))</f>
        <v>196.91968622092054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25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0.46799999999999997</v>
      </c>
      <c r="D4" s="11">
        <f>IFERROR(EXP(-1.0587+0.8836*LN(C4)+0.284),0)</f>
        <v>0.23560326283967137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5.431323432446586</v>
      </c>
      <c r="H4" s="67">
        <f t="shared" ref="H4:H67" si="1">(B4+E4+F4)*44/12+(C4+D4)*0.475*44/12</f>
        <v>294.55877568277907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8.1999999999999993</v>
      </c>
      <c r="N4" s="13">
        <f>IF('Données projet'!$A$36&gt;35,N3+M4-V3,IF(A4&lt;'Données projet'!$A$36,$K$205^A4,IF(A4='Données projet'!$A$36,'Données projet'!$B$36,N3+M4-V3)))</f>
        <v>1.2904530024133452</v>
      </c>
      <c r="O4" s="13">
        <f>N4*VLOOKUP('Données projet'!$B$9,Paramètres!$A$1:$I$89,3,0)*VLOOKUP('Données projet'!$B$9,Paramètres!$A$1:$I$89,5,0)</f>
        <v>0.52005255997257815</v>
      </c>
      <c r="P4" s="13">
        <f>EXP(-1.0587+0.8836*LN(O4)+0.284)</f>
        <v>0.25861362678255362</v>
      </c>
      <c r="Q4" s="20">
        <f t="shared" ref="Q4:Q34" si="2">(O4+P4)*0.475*44/12</f>
        <v>1.3561769419318546</v>
      </c>
      <c r="R4" s="59">
        <f t="shared" si="0"/>
        <v>294.68951027526515</v>
      </c>
      <c r="S4" s="59">
        <f ca="1">AVERAGE(OFFSET($R$3,0,0,'Données projet'!$E$9+1,1))-AVERAGE(OFFSET($H$3,0,0,'Données projet'!$E$9+1,1))</f>
        <v>321.12254860105566</v>
      </c>
      <c r="T4" s="59">
        <f>$T$3</f>
        <v>270.52026164274571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7.15</v>
      </c>
      <c r="AI4" s="13">
        <f>IF('Données projet'!$A$62&gt;35,AI3+AH4-AQ3,IF(A4&lt;'Données projet'!$A$62,$AF$205^A4,IF(A4='Données projet'!$A$62,'Données projet'!$B$62,AI3+AH4-AQ3)))</f>
        <v>1.2816422091414759</v>
      </c>
      <c r="AJ4" s="13">
        <f>AI4*VLOOKUP('Données projet'!$B$10,Paramètres!$A$1:$I$89,3,0)*VLOOKUP('Données projet'!$B$10,Paramètres!$A$1:$I$89,5,0)</f>
        <v>0.59980855387821075</v>
      </c>
      <c r="AK4" s="13">
        <f>EXP(-1.0587+0.8836*LN(AJ4)+0.284)</f>
        <v>0.29336212767391762</v>
      </c>
      <c r="AL4" s="20">
        <f t="shared" ref="AL4:AL67" si="4">(AJ4+AK4)*0.475*44/12</f>
        <v>1.5556056037032899</v>
      </c>
      <c r="AM4" s="59">
        <f t="shared" ref="AM4:AM67" si="5">AL4+(AD4+AE4)*44/12</f>
        <v>294.88893893703658</v>
      </c>
      <c r="AN4" s="59">
        <f ca="1">AVERAGE(OFFSET($AM$3,0,0,'Données projet'!$E$10+1,1))-AVERAGE(OFFSET($H$3,0,0,'Données projet'!$E$10+1,1))</f>
        <v>267.78121291362345</v>
      </c>
      <c r="AO4" s="59">
        <f>$AO$3</f>
        <v>320.1780590861174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4.3499999999999996</v>
      </c>
      <c r="BD4" s="12">
        <f>IF('Données projet'!$A$88&gt;35,BD3+BC4-BL3,IF(A4&lt;'Données projet'!$A$88,$BA$205^A4,IF(A4='Données projet'!$A$88,'Données projet'!$B$88,BD3+BC4-BL3)))</f>
        <v>1.2501898326862695</v>
      </c>
      <c r="BE4" s="13">
        <f>BD4*VLOOKUP('Données projet'!$B$11,Paramètres!$A$1:$I$89,3,0)*VLOOKUP('Données projet'!$B$11,Paramètres!$A$1:$I$89,5,0)</f>
        <v>1.0921658378347252</v>
      </c>
      <c r="BF4" s="13">
        <f>EXP(-1.0587+0.8836*LN(BE4)+0.284)</f>
        <v>0.49817721589069702</v>
      </c>
      <c r="BG4" s="20">
        <f t="shared" ref="BG4:BG67" si="7">(BE4+BF4)*0.475*44/12</f>
        <v>2.7698474852384436</v>
      </c>
      <c r="BH4" s="59">
        <f t="shared" ref="BH4:BH67" si="8">BG4+(AY4+AZ4)*44/12</f>
        <v>296.10318081857179</v>
      </c>
      <c r="BI4" s="59">
        <f ca="1">AVERAGE(OFFSET($BH$3,0,0,'Données projet'!$E$11+1,1))-AVERAGE(OFFSET($H$3,0,0,'Données projet'!$E$11+1,1))</f>
        <v>212.82470567725971</v>
      </c>
      <c r="BJ4" s="59">
        <f>$BJ$3</f>
        <v>196.91968622092054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25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0.93599999999999994</v>
      </c>
      <c r="D5" s="11">
        <f t="shared" ref="D5:D68" si="32">IFERROR(EXP(-1.0587+0.8836*LN(C5)+0.284),0)</f>
        <v>0.43468174797979486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10.58070121247561</v>
      </c>
      <c r="H5" s="67">
        <f t="shared" si="1"/>
        <v>295.7206040443981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8.1999999999999993</v>
      </c>
      <c r="N5" s="13">
        <f>IF('Données projet'!$A$36&gt;35,N4+M5-V4,IF(A5&lt;'Données projet'!$A$36,$K$205^A5,IF(A5='Données projet'!$A$36,'Données projet'!$B$36,N4+M5-V4)))</f>
        <v>1.6652689514376169</v>
      </c>
      <c r="O5" s="13">
        <f>N5*VLOOKUP('Données projet'!$B$9,Paramètres!$A$1:$I$89,3,0)*VLOOKUP('Données projet'!$B$9,Paramètres!$A$1:$I$89,5,0)</f>
        <v>0.6711033874293596</v>
      </c>
      <c r="P5" s="13">
        <f t="shared" ref="P5:P68" si="33">EXP(-1.0587+0.8836*LN(O5)+0.284)</f>
        <v>0.32396881403203143</v>
      </c>
      <c r="Q5" s="20">
        <f t="shared" si="2"/>
        <v>1.7330840842119228</v>
      </c>
      <c r="R5" s="59">
        <f t="shared" si="0"/>
        <v>295.06641741754521</v>
      </c>
      <c r="S5" s="59">
        <f ca="1">AVERAGE(OFFSET($R$3,0,0,'Données projet'!$E$9+1,1))-AVERAGE(OFFSET($H$3,0,0,'Données projet'!$E$9+1,1))</f>
        <v>321.12254860105566</v>
      </c>
      <c r="T5" s="59">
        <f t="shared" ref="T5:T68" si="34">$T$3</f>
        <v>270.52026164274571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7.15</v>
      </c>
      <c r="AI5" s="13">
        <f>IF('Données projet'!$A$62&gt;35,AI4+AH5-AQ4,IF(A5&lt;'Données projet'!$A$62,$AF$205^A5,IF(A5='Données projet'!$A$62,'Données projet'!$B$62,AI4+AH5-AQ4)))</f>
        <v>1.6426067522530425</v>
      </c>
      <c r="AJ5" s="13">
        <f>AI5*VLOOKUP('Données projet'!$B$10,Paramètres!$A$1:$I$89,3,0)*VLOOKUP('Données projet'!$B$10,Paramètres!$A$1:$I$89,5,0)</f>
        <v>0.76873996005442391</v>
      </c>
      <c r="AK5" s="13">
        <f t="shared" ref="AK5:AK68" si="35">EXP(-1.0587+0.8836*LN(AJ5)+0.284)</f>
        <v>0.36528075594578191</v>
      </c>
      <c r="AL5" s="20">
        <f t="shared" si="4"/>
        <v>1.9750860803670249</v>
      </c>
      <c r="AM5" s="59">
        <f t="shared" si="5"/>
        <v>295.30841941370034</v>
      </c>
      <c r="AN5" s="59">
        <f ca="1">AVERAGE(OFFSET($AM$3,0,0,'Données projet'!$E$10+1,1))-AVERAGE(OFFSET($H$3,0,0,'Données projet'!$E$10+1,1))</f>
        <v>267.78121291362345</v>
      </c>
      <c r="AO5" s="59">
        <f t="shared" ref="AO5:AO68" si="36">$AO$3</f>
        <v>320.1780590861174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4.3499999999999996</v>
      </c>
      <c r="BD5" s="12">
        <f>IF('Données projet'!$A$88&gt;35,BD4+BC5-BL4,IF(A5&lt;'Données projet'!$A$88,$BA$205^A5,IF(A5='Données projet'!$A$88,'Données projet'!$B$88,BD4+BC5-BL4)))</f>
        <v>1.5629746177521224</v>
      </c>
      <c r="BE5" s="13">
        <f>BD5*VLOOKUP('Données projet'!$B$11,Paramètres!$A$1:$I$89,3,0)*VLOOKUP('Données projet'!$B$11,Paramètres!$A$1:$I$89,5,0)</f>
        <v>1.3654146260682543</v>
      </c>
      <c r="BF5" s="13">
        <f t="shared" ref="BF5:BF68" si="37">EXP(-1.0587+0.8836*LN(BE5)+0.284)</f>
        <v>0.60683667739484004</v>
      </c>
      <c r="BG5" s="20">
        <f t="shared" si="7"/>
        <v>3.4350043535315553</v>
      </c>
      <c r="BH5" s="59">
        <f t="shared" si="8"/>
        <v>296.76833768686487</v>
      </c>
      <c r="BI5" s="59">
        <f ca="1">AVERAGE(OFFSET($BH$3,0,0,'Données projet'!$E$11+1,1))-AVERAGE(OFFSET($H$3,0,0,'Données projet'!$E$11+1,1))</f>
        <v>212.82470567725971</v>
      </c>
      <c r="BJ5" s="59">
        <f t="shared" ref="BJ5:BJ68" si="38">$BJ$3</f>
        <v>196.91968622092054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2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1.4039999999999999</v>
      </c>
      <c r="D6" s="11">
        <f t="shared" si="32"/>
        <v>0.62196456335211292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15.639024699560167</v>
      </c>
      <c r="H6" s="67">
        <f t="shared" si="1"/>
        <v>296.86188828117156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8.1999999999999993</v>
      </c>
      <c r="N6" s="13">
        <f>IF('Données projet'!$A$36&gt;35,N5+M6-V5,IF(A6&lt;'Données projet'!$A$36,$K$205^A6,IF(A6='Données projet'!$A$36,'Données projet'!$B$36,N5+M6-V5)))</f>
        <v>2.1489513182083959</v>
      </c>
      <c r="O6" s="13">
        <f>N6*VLOOKUP('Données projet'!$B$9,Paramètres!$A$1:$I$89,3,0)*VLOOKUP('Données projet'!$B$9,Paramètres!$A$1:$I$89,5,0)</f>
        <v>0.86602738123798351</v>
      </c>
      <c r="P6" s="13">
        <f t="shared" si="33"/>
        <v>0.40584014760200343</v>
      </c>
      <c r="Q6" s="20">
        <f t="shared" si="2"/>
        <v>2.2151692793963105</v>
      </c>
      <c r="R6" s="59">
        <f t="shared" si="0"/>
        <v>295.54850261272964</v>
      </c>
      <c r="S6" s="59">
        <f ca="1">AVERAGE(OFFSET($R$3,0,0,'Données projet'!$E$9+1,1))-AVERAGE(OFFSET($H$3,0,0,'Données projet'!$E$9+1,1))</f>
        <v>321.12254860105566</v>
      </c>
      <c r="T6" s="59">
        <f t="shared" si="34"/>
        <v>270.52026164274571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7.15</v>
      </c>
      <c r="AI6" s="13">
        <f>IF('Données projet'!$A$62&gt;35,AI5+AH6-AQ5,IF(A6&lt;'Données projet'!$A$62,$AF$205^A6,IF(A6='Données projet'!$A$62,'Données projet'!$B$62,AI5+AH6-AQ5)))</f>
        <v>2.1052341467082942</v>
      </c>
      <c r="AJ6" s="13">
        <f>AI6*VLOOKUP('Données projet'!$B$10,Paramètres!$A$1:$I$89,3,0)*VLOOKUP('Données projet'!$B$10,Paramètres!$A$1:$I$89,5,0)</f>
        <v>0.98524958065948176</v>
      </c>
      <c r="AK6" s="13">
        <f t="shared" si="35"/>
        <v>0.45483045723146009</v>
      </c>
      <c r="AL6" s="20">
        <f t="shared" si="4"/>
        <v>2.508139399326724</v>
      </c>
      <c r="AM6" s="59">
        <f t="shared" si="5"/>
        <v>295.84147273266007</v>
      </c>
      <c r="AN6" s="59">
        <f ca="1">AVERAGE(OFFSET($AM$3,0,0,'Données projet'!$E$10+1,1))-AVERAGE(OFFSET($H$3,0,0,'Données projet'!$E$10+1,1))</f>
        <v>267.78121291362345</v>
      </c>
      <c r="AO6" s="59">
        <f t="shared" si="36"/>
        <v>320.1780590861174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4.3499999999999996</v>
      </c>
      <c r="BD6" s="12">
        <f>IF('Données projet'!$A$88&gt;35,BD5+BC6-BL5,IF(A6&lt;'Données projet'!$A$88,$BA$205^A6,IF(A6='Données projet'!$A$88,'Données projet'!$B$88,BD5+BC6-BL5)))</f>
        <v>1.954014975860412</v>
      </c>
      <c r="BE6" s="13">
        <f>BD6*VLOOKUP('Données projet'!$B$11,Paramètres!$A$1:$I$89,3,0)*VLOOKUP('Données projet'!$B$11,Paramètres!$A$1:$I$89,5,0)</f>
        <v>1.7070274829116563</v>
      </c>
      <c r="BF6" s="13">
        <f t="shared" si="37"/>
        <v>0.73919629658937591</v>
      </c>
      <c r="BG6" s="20">
        <f t="shared" si="7"/>
        <v>4.260506415964298</v>
      </c>
      <c r="BH6" s="59">
        <f t="shared" si="8"/>
        <v>297.59383974929762</v>
      </c>
      <c r="BI6" s="59">
        <f ca="1">AVERAGE(OFFSET($BH$3,0,0,'Données projet'!$E$11+1,1))-AVERAGE(OFFSET($H$3,0,0,'Données projet'!$E$11+1,1))</f>
        <v>212.82470567725971</v>
      </c>
      <c r="BJ6" s="59">
        <f t="shared" si="38"/>
        <v>196.91968622092054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2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1.8719999999999999</v>
      </c>
      <c r="D7" s="11">
        <f t="shared" si="32"/>
        <v>0.80197625342459555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20.641220201874074</v>
      </c>
      <c r="H7" s="67">
        <f t="shared" si="1"/>
        <v>297.99050864138115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8.1999999999999993</v>
      </c>
      <c r="N7" s="13">
        <f>IF('Données projet'!$A$36&gt;35,N6+M7-V6,IF(A7&lt;'Données projet'!$A$36,$K$205^A7,IF(A7='Données projet'!$A$36,'Données projet'!$B$36,N6+M7-V6)))</f>
        <v>2.77312068062214</v>
      </c>
      <c r="O7" s="13">
        <f>N7*VLOOKUP('Données projet'!$B$9,Paramètres!$A$1:$I$89,3,0)*VLOOKUP('Données projet'!$B$9,Paramètres!$A$1:$I$89,5,0)</f>
        <v>1.1175676342907224</v>
      </c>
      <c r="P7" s="13">
        <f t="shared" si="33"/>
        <v>0.50840148270978658</v>
      </c>
      <c r="Q7" s="20">
        <f t="shared" si="2"/>
        <v>2.8318962121092195</v>
      </c>
      <c r="R7" s="59">
        <f t="shared" si="0"/>
        <v>296.16522954544251</v>
      </c>
      <c r="S7" s="59">
        <f ca="1">AVERAGE(OFFSET($R$3,0,0,'Données projet'!$E$9+1,1))-AVERAGE(OFFSET($H$3,0,0,'Données projet'!$E$9+1,1))</f>
        <v>321.12254860105566</v>
      </c>
      <c r="T7" s="59">
        <f t="shared" si="34"/>
        <v>270.52026164274571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7.15</v>
      </c>
      <c r="AI7" s="13">
        <f>IF('Données projet'!$A$62&gt;35,AI6+AH7-AQ6,IF(A7&lt;'Données projet'!$A$62,$AF$205^A7,IF(A7='Données projet'!$A$62,'Données projet'!$B$62,AI6+AH7-AQ6)))</f>
        <v>2.6981569425472882</v>
      </c>
      <c r="AJ7" s="13">
        <f>AI7*VLOOKUP('Données projet'!$B$10,Paramètres!$A$1:$I$89,3,0)*VLOOKUP('Données projet'!$B$10,Paramètres!$A$1:$I$89,5,0)</f>
        <v>1.2627374491121308</v>
      </c>
      <c r="AK7" s="13">
        <f t="shared" si="35"/>
        <v>0.5663335433309401</v>
      </c>
      <c r="AL7" s="20">
        <f t="shared" si="4"/>
        <v>3.1856319785050151</v>
      </c>
      <c r="AM7" s="59">
        <f t="shared" si="5"/>
        <v>296.51896531183831</v>
      </c>
      <c r="AN7" s="59">
        <f ca="1">AVERAGE(OFFSET($AM$3,0,0,'Données projet'!$E$10+1,1))-AVERAGE(OFFSET($H$3,0,0,'Données projet'!$E$10+1,1))</f>
        <v>267.78121291362345</v>
      </c>
      <c r="AO7" s="59">
        <f t="shared" si="36"/>
        <v>320.1780590861174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4.3499999999999996</v>
      </c>
      <c r="BD7" s="12">
        <f>IF('Données projet'!$A$88&gt;35,BD6+BC7-BL6,IF(A7&lt;'Données projet'!$A$88,$BA$205^A7,IF(A7='Données projet'!$A$88,'Données projet'!$B$88,BD6+BC7-BL6)))</f>
        <v>2.4428896557373934</v>
      </c>
      <c r="BE7" s="13">
        <f>BD7*VLOOKUP('Données projet'!$B$11,Paramètres!$A$1:$I$89,3,0)*VLOOKUP('Données projet'!$B$11,Paramètres!$A$1:$I$89,5,0)</f>
        <v>2.1341084032521871</v>
      </c>
      <c r="BF7" s="13">
        <f t="shared" si="37"/>
        <v>0.90042541139273369</v>
      </c>
      <c r="BG7" s="20">
        <f t="shared" si="7"/>
        <v>5.2851463938399039</v>
      </c>
      <c r="BH7" s="59">
        <f t="shared" si="8"/>
        <v>298.61847972717322</v>
      </c>
      <c r="BI7" s="59">
        <f ca="1">AVERAGE(OFFSET($BH$3,0,0,'Données projet'!$E$11+1,1))-AVERAGE(OFFSET($H$3,0,0,'Données projet'!$E$11+1,1))</f>
        <v>212.82470567725971</v>
      </c>
      <c r="BJ7" s="59">
        <f t="shared" si="38"/>
        <v>196.91968622092054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2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2.34</v>
      </c>
      <c r="D8" s="11">
        <f t="shared" si="32"/>
        <v>0.97676749007450259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25.603117467241773</v>
      </c>
      <c r="H8" s="67">
        <f t="shared" si="1"/>
        <v>299.11003671187973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8.1999999999999993</v>
      </c>
      <c r="N8" s="13">
        <f>IF('Données projet'!$A$36&gt;35,N7+M8-V7,IF(A8&lt;'Données projet'!$A$36,$K$205^A8,IF(A8='Données projet'!$A$36,'Données projet'!$B$36,N7+M8-V7)))</f>
        <v>3.5785819083633799</v>
      </c>
      <c r="O8" s="13">
        <f>N8*VLOOKUP('Données projet'!$B$9,Paramètres!$A$1:$I$89,3,0)*VLOOKUP('Données projet'!$B$9,Paramètres!$A$1:$I$89,5,0)</f>
        <v>1.4421685090704421</v>
      </c>
      <c r="P8" s="13">
        <f t="shared" si="33"/>
        <v>0.63688146465732642</v>
      </c>
      <c r="Q8" s="20">
        <f t="shared" si="2"/>
        <v>3.6210120375758632</v>
      </c>
      <c r="R8" s="59">
        <f t="shared" si="0"/>
        <v>296.95434537090915</v>
      </c>
      <c r="S8" s="59">
        <f ca="1">AVERAGE(OFFSET($R$3,0,0,'Données projet'!$E$9+1,1))-AVERAGE(OFFSET($H$3,0,0,'Données projet'!$E$9+1,1))</f>
        <v>321.12254860105566</v>
      </c>
      <c r="T8" s="59">
        <f t="shared" si="34"/>
        <v>270.52026164274571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7.15</v>
      </c>
      <c r="AI8" s="13">
        <f>IF('Données projet'!$A$62&gt;35,AI7+AH8-AQ7,IF(A8&lt;'Données projet'!$A$62,$AF$205^A8,IF(A8='Données projet'!$A$62,'Données projet'!$B$62,AI7+AH8-AQ7)))</f>
        <v>3.4580718244567166</v>
      </c>
      <c r="AJ8" s="13">
        <f>AI8*VLOOKUP('Données projet'!$B$10,Paramètres!$A$1:$I$89,3,0)*VLOOKUP('Données projet'!$B$10,Paramètres!$A$1:$I$89,5,0)</f>
        <v>1.6183776138457435</v>
      </c>
      <c r="AK8" s="13">
        <f t="shared" si="35"/>
        <v>0.70517195408169131</v>
      </c>
      <c r="AL8" s="20">
        <f t="shared" si="4"/>
        <v>4.0468488308069483</v>
      </c>
      <c r="AM8" s="59">
        <f t="shared" si="5"/>
        <v>297.38018216414025</v>
      </c>
      <c r="AN8" s="59">
        <f ca="1">AVERAGE(OFFSET($AM$3,0,0,'Données projet'!$E$10+1,1))-AVERAGE(OFFSET($H$3,0,0,'Données projet'!$E$10+1,1))</f>
        <v>267.78121291362345</v>
      </c>
      <c r="AO8" s="59">
        <f t="shared" si="36"/>
        <v>320.1780590861174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4.3499999999999996</v>
      </c>
      <c r="BD8" s="12">
        <f>IF('Données projet'!$A$88&gt;35,BD7+BC8-BL7,IF(A8&lt;'Données projet'!$A$88,$BA$205^A8,IF(A8='Données projet'!$A$88,'Données projet'!$B$88,BD7+BC8-BL7)))</f>
        <v>3.0540758099773502</v>
      </c>
      <c r="BE8" s="13">
        <f>BD8*VLOOKUP('Données projet'!$B$11,Paramètres!$A$1:$I$89,3,0)*VLOOKUP('Données projet'!$B$11,Paramètres!$A$1:$I$89,5,0)</f>
        <v>2.6680406275962136</v>
      </c>
      <c r="BF8" s="13">
        <f t="shared" si="37"/>
        <v>1.0968208650701006</v>
      </c>
      <c r="BG8" s="20">
        <f t="shared" si="7"/>
        <v>6.5571337663938296</v>
      </c>
      <c r="BH8" s="59">
        <f t="shared" si="8"/>
        <v>299.89046709972712</v>
      </c>
      <c r="BI8" s="59">
        <f ca="1">AVERAGE(OFFSET($BH$3,0,0,'Données projet'!$E$11+1,1))-AVERAGE(OFFSET($H$3,0,0,'Données projet'!$E$11+1,1))</f>
        <v>212.82470567725971</v>
      </c>
      <c r="BJ8" s="59">
        <f t="shared" si="38"/>
        <v>196.91968622092054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2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2.8079999999999998</v>
      </c>
      <c r="D9" s="11">
        <f t="shared" si="32"/>
        <v>1.1475080621585647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30.533746444732781</v>
      </c>
      <c r="H9" s="67">
        <f t="shared" si="1"/>
        <v>300.22250987492617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8.1999999999999993</v>
      </c>
      <c r="N9" s="13">
        <f>IF('Données projet'!$A$36&gt;35,N8+M9-V8,IF(A9&lt;'Données projet'!$A$36,$K$205^A9,IF(A9='Données projet'!$A$36,'Données projet'!$B$36,N8+M9-V8)))</f>
        <v>4.6179917680296017</v>
      </c>
      <c r="O9" s="13">
        <f>N9*VLOOKUP('Données projet'!$B$9,Paramètres!$A$1:$I$89,3,0)*VLOOKUP('Données projet'!$B$9,Paramètres!$A$1:$I$89,5,0)</f>
        <v>1.8610506825159296</v>
      </c>
      <c r="P9" s="13">
        <f t="shared" si="33"/>
        <v>0.79783008865771199</v>
      </c>
      <c r="Q9" s="20">
        <f t="shared" si="2"/>
        <v>4.6308840097940926</v>
      </c>
      <c r="R9" s="59">
        <f t="shared" si="0"/>
        <v>297.96421734312742</v>
      </c>
      <c r="S9" s="59">
        <f ca="1">AVERAGE(OFFSET($R$3,0,0,'Données projet'!$E$9+1,1))-AVERAGE(OFFSET($H$3,0,0,'Données projet'!$E$9+1,1))</f>
        <v>321.12254860105566</v>
      </c>
      <c r="T9" s="59">
        <f t="shared" si="34"/>
        <v>270.52026164274571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7.15</v>
      </c>
      <c r="AI9" s="13">
        <f>IF('Données projet'!$A$62&gt;35,AI8+AH9-AQ8,IF(A9&lt;'Données projet'!$A$62,$AF$205^A9,IF(A9='Données projet'!$A$62,'Données projet'!$B$62,AI8+AH9-AQ8)))</f>
        <v>4.4320108124665998</v>
      </c>
      <c r="AJ9" s="13">
        <f>AI9*VLOOKUP('Données projet'!$B$10,Paramètres!$A$1:$I$89,3,0)*VLOOKUP('Données projet'!$B$10,Paramètres!$A$1:$I$89,5,0)</f>
        <v>2.0741810602343684</v>
      </c>
      <c r="AK9" s="13">
        <f t="shared" si="35"/>
        <v>0.87804702843251825</v>
      </c>
      <c r="AL9" s="20">
        <f t="shared" si="4"/>
        <v>5.1417972544281598</v>
      </c>
      <c r="AM9" s="59">
        <f t="shared" si="5"/>
        <v>298.4751305877615</v>
      </c>
      <c r="AN9" s="59">
        <f ca="1">AVERAGE(OFFSET($AM$3,0,0,'Données projet'!$E$10+1,1))-AVERAGE(OFFSET($H$3,0,0,'Données projet'!$E$10+1,1))</f>
        <v>267.78121291362345</v>
      </c>
      <c r="AO9" s="59">
        <f t="shared" si="36"/>
        <v>320.1780590861174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4.3499999999999996</v>
      </c>
      <c r="BD9" s="12">
        <f>IF('Données projet'!$A$88&gt;35,BD8+BC9-BL8,IF(A9&lt;'Données projet'!$A$88,$BA$205^A9,IF(A9='Données projet'!$A$88,'Données projet'!$B$88,BD8+BC9-BL8)))</f>
        <v>3.8181745258867665</v>
      </c>
      <c r="BE9" s="13">
        <f>BD9*VLOOKUP('Données projet'!$B$11,Paramètres!$A$1:$I$89,3,0)*VLOOKUP('Données projet'!$B$11,Paramètres!$A$1:$I$89,5,0)</f>
        <v>3.3355572658146797</v>
      </c>
      <c r="BF9" s="13">
        <f t="shared" si="37"/>
        <v>1.3360529310166378</v>
      </c>
      <c r="BG9" s="20">
        <f t="shared" si="7"/>
        <v>8.1363877594812113</v>
      </c>
      <c r="BH9" s="59">
        <f t="shared" si="8"/>
        <v>301.46972109281455</v>
      </c>
      <c r="BI9" s="59">
        <f ca="1">AVERAGE(OFFSET($BH$3,0,0,'Données projet'!$E$11+1,1))-AVERAGE(OFFSET($H$3,0,0,'Données projet'!$E$11+1,1))</f>
        <v>212.82470567725971</v>
      </c>
      <c r="BJ9" s="59">
        <f t="shared" si="38"/>
        <v>196.91968622092054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2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3.2759999999999998</v>
      </c>
      <c r="D10" s="11">
        <f t="shared" si="32"/>
        <v>1.3149520873221709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35.438928393364129</v>
      </c>
      <c r="H10" s="67">
        <f t="shared" si="1"/>
        <v>301.3292415520861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8.1999999999999993</v>
      </c>
      <c r="N10" s="13">
        <f>IF('Données projet'!$A$36&gt;35,N9+M10-V9,IF(A10&lt;'Données projet'!$A$36,$K$205^A10,IF(A10='Données projet'!$A$36,'Données projet'!$B$36,N9+M10-V9)))</f>
        <v>5.9593013421739123</v>
      </c>
      <c r="O10" s="13">
        <f>N10*VLOOKUP('Données projet'!$B$9,Paramètres!$A$1:$I$89,3,0)*VLOOKUP('Données projet'!$B$9,Paramètres!$A$1:$I$89,5,0)</f>
        <v>2.4015984408960867</v>
      </c>
      <c r="P10" s="13">
        <f t="shared" si="33"/>
        <v>0.99945262296188631</v>
      </c>
      <c r="Q10" s="20">
        <f t="shared" si="2"/>
        <v>5.9234972695526364</v>
      </c>
      <c r="R10" s="59">
        <f t="shared" si="0"/>
        <v>299.25683060288594</v>
      </c>
      <c r="S10" s="59">
        <f ca="1">AVERAGE(OFFSET($R$3,0,0,'Données projet'!$E$9+1,1))-AVERAGE(OFFSET($H$3,0,0,'Données projet'!$E$9+1,1))</f>
        <v>321.12254860105566</v>
      </c>
      <c r="T10" s="59">
        <f t="shared" si="34"/>
        <v>270.52026164274571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7.15</v>
      </c>
      <c r="AI10" s="13">
        <f>IF('Données projet'!$A$62&gt;35,AI9+AH10-AQ9,IF(A10&lt;'Données projet'!$A$62,$AF$205^A10,IF(A10='Données projet'!$A$62,'Données projet'!$B$62,AI9+AH10-AQ9)))</f>
        <v>5.6802521286286005</v>
      </c>
      <c r="AJ10" s="13">
        <f>AI10*VLOOKUP('Données projet'!$B$10,Paramètres!$A$1:$I$89,3,0)*VLOOKUP('Données projet'!$B$10,Paramètres!$A$1:$I$89,5,0)</f>
        <v>2.6583579961981854</v>
      </c>
      <c r="AK10" s="13">
        <f t="shared" si="35"/>
        <v>1.0933029591954853</v>
      </c>
      <c r="AL10" s="20">
        <f t="shared" si="4"/>
        <v>6.5341428306439759</v>
      </c>
      <c r="AM10" s="59">
        <f t="shared" si="5"/>
        <v>299.8674761639773</v>
      </c>
      <c r="AN10" s="59">
        <f ca="1">AVERAGE(OFFSET($AM$3,0,0,'Données projet'!$E$10+1,1))-AVERAGE(OFFSET($H$3,0,0,'Données projet'!$E$10+1,1))</f>
        <v>267.78121291362345</v>
      </c>
      <c r="AO10" s="59">
        <f t="shared" si="36"/>
        <v>320.1780590861174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4.3499999999999996</v>
      </c>
      <c r="BD10" s="12">
        <f>IF('Données projet'!$A$88&gt;35,BD9+BC10-BL9,IF(A10&lt;'Données projet'!$A$88,$BA$205^A10,IF(A10='Données projet'!$A$88,'Données projet'!$B$88,BD9+BC10-BL9)))</f>
        <v>4.7734429716853528</v>
      </c>
      <c r="BE10" s="13">
        <f>BD10*VLOOKUP('Données projet'!$B$11,Paramètres!$A$1:$I$89,3,0)*VLOOKUP('Données projet'!$B$11,Paramètres!$A$1:$I$89,5,0)</f>
        <v>4.1700797800643254</v>
      </c>
      <c r="BF10" s="13">
        <f t="shared" si="37"/>
        <v>1.6274648771967539</v>
      </c>
      <c r="BG10" s="20">
        <f t="shared" si="7"/>
        <v>10.097390278063047</v>
      </c>
      <c r="BH10" s="59">
        <f t="shared" si="8"/>
        <v>303.43072361139639</v>
      </c>
      <c r="BI10" s="59">
        <f ca="1">AVERAGE(OFFSET($BH$3,0,0,'Données projet'!$E$11+1,1))-AVERAGE(OFFSET($H$3,0,0,'Données projet'!$E$11+1,1))</f>
        <v>212.82470567725971</v>
      </c>
      <c r="BJ10" s="59">
        <f t="shared" si="38"/>
        <v>196.91968622092054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2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3.7439999999999998</v>
      </c>
      <c r="D11" s="11">
        <f t="shared" si="32"/>
        <v>1.4796248382778823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40.322718049864356</v>
      </c>
      <c r="H11" s="67">
        <f t="shared" si="1"/>
        <v>302.43114659333395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8.1999999999999993</v>
      </c>
      <c r="N11" s="13">
        <f>IF('Données projet'!$A$36&gt;35,N10+M11-V10,IF(A11&lt;'Données projet'!$A$36,$K$205^A11,IF(A11='Données projet'!$A$36,'Données projet'!$B$36,N10+M11-V10)))</f>
        <v>7.6901983092942015</v>
      </c>
      <c r="O11" s="13">
        <f>N11*VLOOKUP('Données projet'!$B$9,Paramètres!$A$1:$I$89,3,0)*VLOOKUP('Données projet'!$B$9,Paramètres!$A$1:$I$89,5,0)</f>
        <v>3.0991499186455629</v>
      </c>
      <c r="P11" s="13">
        <f t="shared" si="33"/>
        <v>1.2520279189093708</v>
      </c>
      <c r="Q11" s="20">
        <f t="shared" si="2"/>
        <v>7.5783014004081757</v>
      </c>
      <c r="R11" s="59">
        <f t="shared" si="0"/>
        <v>300.91163473374149</v>
      </c>
      <c r="S11" s="59">
        <f ca="1">AVERAGE(OFFSET($R$3,0,0,'Données projet'!$E$9+1,1))-AVERAGE(OFFSET($H$3,0,0,'Données projet'!$E$9+1,1))</f>
        <v>321.12254860105566</v>
      </c>
      <c r="T11" s="59">
        <f t="shared" si="34"/>
        <v>270.52026164274571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7.15</v>
      </c>
      <c r="AI11" s="13">
        <f>IF('Données projet'!$A$62&gt;35,AI10+AH11-AQ10,IF(A11&lt;'Données projet'!$A$62,$AF$205^A11,IF(A11='Données projet'!$A$62,'Données projet'!$B$62,AI10+AH11-AQ10)))</f>
        <v>7.28005088661613</v>
      </c>
      <c r="AJ11" s="13">
        <f>AI11*VLOOKUP('Données projet'!$B$10,Paramètres!$A$1:$I$89,3,0)*VLOOKUP('Données projet'!$B$10,Paramètres!$A$1:$I$89,5,0)</f>
        <v>3.4070638149363486</v>
      </c>
      <c r="AK11" s="13">
        <f t="shared" si="35"/>
        <v>1.3613295437255377</v>
      </c>
      <c r="AL11" s="20">
        <f t="shared" si="4"/>
        <v>8.304951766336119</v>
      </c>
      <c r="AM11" s="59">
        <f t="shared" si="5"/>
        <v>301.63828509966942</v>
      </c>
      <c r="AN11" s="59">
        <f ca="1">AVERAGE(OFFSET($AM$3,0,0,'Données projet'!$E$10+1,1))-AVERAGE(OFFSET($H$3,0,0,'Données projet'!$E$10+1,1))</f>
        <v>267.78121291362345</v>
      </c>
      <c r="AO11" s="59">
        <f t="shared" si="36"/>
        <v>320.1780590861174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4.3499999999999996</v>
      </c>
      <c r="BD11" s="12">
        <f>IF('Données projet'!$A$88&gt;35,BD10+BC11-BL10,IF(A11&lt;'Données projet'!$A$88,$BA$205^A11,IF(A11='Données projet'!$A$88,'Données projet'!$B$88,BD10+BC11-BL10)))</f>
        <v>5.9677098701087603</v>
      </c>
      <c r="BE11" s="13">
        <f>BD11*VLOOKUP('Données projet'!$B$11,Paramètres!$A$1:$I$89,3,0)*VLOOKUP('Données projet'!$B$11,Paramètres!$A$1:$I$89,5,0)</f>
        <v>5.2133913425270135</v>
      </c>
      <c r="BF11" s="13">
        <f t="shared" si="37"/>
        <v>1.9824378698032747</v>
      </c>
      <c r="BG11" s="20">
        <f t="shared" si="7"/>
        <v>12.532735878141919</v>
      </c>
      <c r="BH11" s="59">
        <f t="shared" si="8"/>
        <v>305.86606921147524</v>
      </c>
      <c r="BI11" s="59">
        <f ca="1">AVERAGE(OFFSET($BH$3,0,0,'Données projet'!$E$11+1,1))-AVERAGE(OFFSET($H$3,0,0,'Données projet'!$E$11+1,1))</f>
        <v>212.82470567725971</v>
      </c>
      <c r="BJ11" s="59">
        <f t="shared" si="38"/>
        <v>196.91968622092054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2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4.2119999999999997</v>
      </c>
      <c r="D12" s="11">
        <f t="shared" si="32"/>
        <v>1.6419123971514347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45.188095697309329</v>
      </c>
      <c r="H12" s="67">
        <f t="shared" si="1"/>
        <v>303.52889742503874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8.1999999999999993</v>
      </c>
      <c r="N12" s="13">
        <f>IF('Données projet'!$A$36&gt;35,N11+M12-V11,IF(A12&lt;'Données projet'!$A$36,$K$205^A12,IF(A12='Données projet'!$A$36,'Données projet'!$B$36,N11+M12-V11)))</f>
        <v>9.9238394973827333</v>
      </c>
      <c r="O12" s="13">
        <f>N12*VLOOKUP('Données projet'!$B$9,Paramètres!$A$1:$I$89,3,0)*VLOOKUP('Données projet'!$B$9,Paramètres!$A$1:$I$89,5,0)</f>
        <v>3.999307317445242</v>
      </c>
      <c r="P12" s="13">
        <f t="shared" si="33"/>
        <v>1.5684324336285318</v>
      </c>
      <c r="Q12" s="20">
        <f t="shared" si="2"/>
        <v>9.6971467331201548</v>
      </c>
      <c r="R12" s="59">
        <f t="shared" si="0"/>
        <v>303.03048006645349</v>
      </c>
      <c r="S12" s="59">
        <f ca="1">AVERAGE(OFFSET($R$3,0,0,'Données projet'!$E$9+1,1))-AVERAGE(OFFSET($H$3,0,0,'Données projet'!$E$9+1,1))</f>
        <v>321.12254860105566</v>
      </c>
      <c r="T12" s="59">
        <f t="shared" si="34"/>
        <v>270.52026164274571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7.15</v>
      </c>
      <c r="AI12" s="13">
        <f>IF('Données projet'!$A$62&gt;35,AI11+AH12-AQ11,IF(A12&lt;'Données projet'!$A$62,$AF$205^A12,IF(A12='Données projet'!$A$62,'Données projet'!$B$62,AI11+AH12-AQ11)))</f>
        <v>9.3304205009850563</v>
      </c>
      <c r="AJ12" s="13">
        <f>AI12*VLOOKUP('Données projet'!$B$10,Paramètres!$A$1:$I$89,3,0)*VLOOKUP('Données projet'!$B$10,Paramètres!$A$1:$I$89,5,0)</f>
        <v>4.3666367944610061</v>
      </c>
      <c r="AK12" s="13">
        <f t="shared" si="35"/>
        <v>1.6950636701684998</v>
      </c>
      <c r="AL12" s="20">
        <f t="shared" si="4"/>
        <v>10.557461642563055</v>
      </c>
      <c r="AM12" s="59">
        <f t="shared" si="5"/>
        <v>303.89079497589637</v>
      </c>
      <c r="AN12" s="59">
        <f ca="1">AVERAGE(OFFSET($AM$3,0,0,'Données projet'!$E$10+1,1))-AVERAGE(OFFSET($H$3,0,0,'Données projet'!$E$10+1,1))</f>
        <v>267.78121291362345</v>
      </c>
      <c r="AO12" s="59">
        <f t="shared" si="36"/>
        <v>320.1780590861174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4.3499999999999996</v>
      </c>
      <c r="BD12" s="12">
        <f>IF('Données projet'!$A$88&gt;35,BD11+BC12-BL11,IF(A12&lt;'Données projet'!$A$88,$BA$205^A12,IF(A12='Données projet'!$A$88,'Données projet'!$B$88,BD11+BC12-BL11)))</f>
        <v>7.4607702040314701</v>
      </c>
      <c r="BE12" s="13">
        <f>BD12*VLOOKUP('Données projet'!$B$11,Paramètres!$A$1:$I$89,3,0)*VLOOKUP('Données projet'!$B$11,Paramètres!$A$1:$I$89,5,0)</f>
        <v>6.5177288502418929</v>
      </c>
      <c r="BF12" s="13">
        <f t="shared" si="37"/>
        <v>2.414835467539874</v>
      </c>
      <c r="BG12" s="20">
        <f t="shared" si="7"/>
        <v>15.557549520136575</v>
      </c>
      <c r="BH12" s="59">
        <f t="shared" si="8"/>
        <v>308.89088285346986</v>
      </c>
      <c r="BI12" s="59">
        <f ca="1">AVERAGE(OFFSET($BH$3,0,0,'Données projet'!$E$11+1,1))-AVERAGE(OFFSET($H$3,0,0,'Données projet'!$E$11+1,1))</f>
        <v>212.82470567725971</v>
      </c>
      <c r="BJ12" s="59">
        <f t="shared" si="38"/>
        <v>196.91968622092054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2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4.68</v>
      </c>
      <c r="D13" s="11">
        <f t="shared" si="32"/>
        <v>1.8021100168054613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50.037340480603554</v>
      </c>
      <c r="H13" s="67">
        <f t="shared" si="1"/>
        <v>304.62300827926947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8.1999999999999993</v>
      </c>
      <c r="N13" s="13">
        <f>IF('Données projet'!$A$36&gt;35,N12+M13-V12,IF(A13&lt;'Données projet'!$A$36,$K$205^A13,IF(A13='Données projet'!$A$36,'Données projet'!$B$36,N12+M13-V12)))</f>
        <v>12.806248474865688</v>
      </c>
      <c r="O13" s="13">
        <f>N13*VLOOKUP('Données projet'!$B$9,Paramètres!$A$1:$I$89,3,0)*VLOOKUP('Données projet'!$B$9,Paramètres!$A$1:$I$89,5,0)</f>
        <v>5.1609181353708724</v>
      </c>
      <c r="P13" s="13">
        <f t="shared" si="33"/>
        <v>1.9647966804133112</v>
      </c>
      <c r="Q13" s="20">
        <f t="shared" si="2"/>
        <v>12.41061997082412</v>
      </c>
      <c r="R13" s="59">
        <f t="shared" si="0"/>
        <v>305.74395330415746</v>
      </c>
      <c r="S13" s="59">
        <f ca="1">AVERAGE(OFFSET($R$3,0,0,'Données projet'!$E$9+1,1))-AVERAGE(OFFSET($H$3,0,0,'Données projet'!$E$9+1,1))</f>
        <v>321.12254860105566</v>
      </c>
      <c r="T13" s="59">
        <f t="shared" si="34"/>
        <v>270.52026164274571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7.15</v>
      </c>
      <c r="AI13" s="13">
        <f>IF('Données projet'!$A$62&gt;35,AI12+AH13-AQ12,IF(A13&lt;'Données projet'!$A$62,$AF$205^A13,IF(A13='Données projet'!$A$62,'Données projet'!$B$62,AI12+AH13-AQ12)))</f>
        <v>11.958260743101404</v>
      </c>
      <c r="AJ13" s="13">
        <f>AI13*VLOOKUP('Données projet'!$B$10,Paramètres!$A$1:$I$89,3,0)*VLOOKUP('Données projet'!$B$10,Paramètres!$A$1:$I$89,5,0)</f>
        <v>5.5964660277714566</v>
      </c>
      <c r="AK13" s="13">
        <f t="shared" si="35"/>
        <v>2.110613744605832</v>
      </c>
      <c r="AL13" s="20">
        <f t="shared" si="4"/>
        <v>13.423163936890445</v>
      </c>
      <c r="AM13" s="59">
        <f t="shared" si="5"/>
        <v>306.75649727022375</v>
      </c>
      <c r="AN13" s="59">
        <f ca="1">AVERAGE(OFFSET($AM$3,0,0,'Données projet'!$E$10+1,1))-AVERAGE(OFFSET($H$3,0,0,'Données projet'!$E$10+1,1))</f>
        <v>267.78121291362345</v>
      </c>
      <c r="AO13" s="59">
        <f t="shared" si="36"/>
        <v>320.1780590861174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4.3499999999999996</v>
      </c>
      <c r="BD13" s="12">
        <f>IF('Données projet'!$A$88&gt;35,BD12+BC13-BL12,IF(A13&lt;'Données projet'!$A$88,$BA$205^A13,IF(A13='Données projet'!$A$88,'Données projet'!$B$88,BD12+BC13-BL12)))</f>
        <v>9.3273790530888085</v>
      </c>
      <c r="BE13" s="13">
        <f>BD13*VLOOKUP('Données projet'!$B$11,Paramètres!$A$1:$I$89,3,0)*VLOOKUP('Données projet'!$B$11,Paramètres!$A$1:$I$89,5,0)</f>
        <v>8.1483983407783835</v>
      </c>
      <c r="BF13" s="13">
        <f t="shared" si="37"/>
        <v>2.9415450663617491</v>
      </c>
      <c r="BG13" s="20">
        <f t="shared" si="7"/>
        <v>19.314984767435732</v>
      </c>
      <c r="BH13" s="59">
        <f t="shared" si="8"/>
        <v>312.64831810076907</v>
      </c>
      <c r="BI13" s="59">
        <f ca="1">AVERAGE(OFFSET($BH$3,0,0,'Données projet'!$E$11+1,1))-AVERAGE(OFFSET($H$3,0,0,'Données projet'!$E$11+1,1))</f>
        <v>212.82470567725971</v>
      </c>
      <c r="BJ13" s="59">
        <f t="shared" si="38"/>
        <v>196.91968622092054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2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5.1479999999999997</v>
      </c>
      <c r="D14" s="11">
        <f t="shared" si="32"/>
        <v>1.9604504824312583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54.872249338065849</v>
      </c>
      <c r="H14" s="67">
        <f t="shared" si="1"/>
        <v>305.71388459023444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8.1999999999999993</v>
      </c>
      <c r="N14" s="13">
        <f>IF('Données projet'!$A$36&gt;35,N13+M14-V13,IF(A14&lt;'Données projet'!$A$36,$K$205^A14,IF(A14='Données projet'!$A$36,'Données projet'!$B$36,N13+M14-V13)))</f>
        <v>16.525861794041752</v>
      </c>
      <c r="O14" s="13">
        <f>N14*VLOOKUP('Données projet'!$B$9,Paramètres!$A$1:$I$89,3,0)*VLOOKUP('Données projet'!$B$9,Paramètres!$A$1:$I$89,5,0)</f>
        <v>6.6599223029988259</v>
      </c>
      <c r="P14" s="13">
        <f t="shared" si="33"/>
        <v>2.4613275730546853</v>
      </c>
      <c r="Q14" s="20">
        <f t="shared" si="2"/>
        <v>15.886176867459865</v>
      </c>
      <c r="R14" s="59">
        <f t="shared" si="0"/>
        <v>309.2195102007932</v>
      </c>
      <c r="S14" s="59">
        <f ca="1">AVERAGE(OFFSET($R$3,0,0,'Données projet'!$E$9+1,1))-AVERAGE(OFFSET($H$3,0,0,'Données projet'!$E$9+1,1))</f>
        <v>321.12254860105566</v>
      </c>
      <c r="T14" s="59">
        <f t="shared" si="34"/>
        <v>270.52026164274571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7.15</v>
      </c>
      <c r="AI14" s="13">
        <f>IF('Données projet'!$A$62&gt;35,AI13+AH14-AQ13,IF(A14&lt;'Données projet'!$A$62,$AF$205^A14,IF(A14='Données projet'!$A$62,'Données projet'!$B$62,AI13+AH14-AQ13)))</f>
        <v>15.326211716278269</v>
      </c>
      <c r="AJ14" s="13">
        <f>AI14*VLOOKUP('Données projet'!$B$10,Paramètres!$A$1:$I$89,3,0)*VLOOKUP('Données projet'!$B$10,Paramètres!$A$1:$I$89,5,0)</f>
        <v>7.1726670832182302</v>
      </c>
      <c r="AK14" s="13">
        <f t="shared" si="35"/>
        <v>2.6280371984352819</v>
      </c>
      <c r="AL14" s="20">
        <f t="shared" si="4"/>
        <v>17.069559957213201</v>
      </c>
      <c r="AM14" s="59">
        <f t="shared" si="5"/>
        <v>310.4028932905465</v>
      </c>
      <c r="AN14" s="59">
        <f ca="1">AVERAGE(OFFSET($AM$3,0,0,'Données projet'!$E$10+1,1))-AVERAGE(OFFSET($H$3,0,0,'Données projet'!$E$10+1,1))</f>
        <v>267.78121291362345</v>
      </c>
      <c r="AO14" s="59">
        <f t="shared" si="36"/>
        <v>320.1780590861174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4.3499999999999996</v>
      </c>
      <c r="BD14" s="12">
        <f>IF('Données projet'!$A$88&gt;35,BD13+BC14-BL13,IF(A14&lt;'Données projet'!$A$88,$BA$205^A14,IF(A14='Données projet'!$A$88,'Données projet'!$B$88,BD13+BC14-BL13)))</f>
        <v>11.660994457782511</v>
      </c>
      <c r="BE14" s="13">
        <f>BD14*VLOOKUP('Données projet'!$B$11,Paramètres!$A$1:$I$89,3,0)*VLOOKUP('Données projet'!$B$11,Paramètres!$A$1:$I$89,5,0)</f>
        <v>10.187044758318804</v>
      </c>
      <c r="BF14" s="13">
        <f t="shared" si="37"/>
        <v>3.5831374409338621</v>
      </c>
      <c r="BG14" s="20">
        <f t="shared" si="7"/>
        <v>23.98306733036506</v>
      </c>
      <c r="BH14" s="59">
        <f t="shared" si="8"/>
        <v>317.31640066369835</v>
      </c>
      <c r="BI14" s="59">
        <f ca="1">AVERAGE(OFFSET($BH$3,0,0,'Données projet'!$E$11+1,1))-AVERAGE(OFFSET($H$3,0,0,'Données projet'!$E$11+1,1))</f>
        <v>212.82470567725971</v>
      </c>
      <c r="BJ14" s="59">
        <f t="shared" si="38"/>
        <v>196.91968622092054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2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5.6159999999999997</v>
      </c>
      <c r="D15" s="11">
        <f t="shared" si="32"/>
        <v>2.1171218270411956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59.694273752598697</v>
      </c>
      <c r="H15" s="67">
        <f t="shared" si="1"/>
        <v>306.80185384876341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8.1999999999999993</v>
      </c>
      <c r="N15" s="13">
        <f>IF('Données projet'!$A$36&gt;35,N14+M15-V14,IF(A15&lt;'Données projet'!$A$36,$K$205^A15,IF(A15='Données projet'!$A$36,'Données projet'!$B$36,N14+M15-V14)))</f>
        <v>21.325847969589166</v>
      </c>
      <c r="O15" s="13">
        <f>N15*VLOOKUP('Données projet'!$B$9,Paramètres!$A$1:$I$89,3,0)*VLOOKUP('Données projet'!$B$9,Paramètres!$A$1:$I$89,5,0)</f>
        <v>8.5943167317444331</v>
      </c>
      <c r="P15" s="13">
        <f t="shared" si="33"/>
        <v>3.083338587789596</v>
      </c>
      <c r="Q15" s="20">
        <f t="shared" si="2"/>
        <v>20.3385830148551</v>
      </c>
      <c r="R15" s="59">
        <f t="shared" si="0"/>
        <v>313.6719163481884</v>
      </c>
      <c r="S15" s="59">
        <f ca="1">AVERAGE(OFFSET($R$3,0,0,'Données projet'!$E$9+1,1))-AVERAGE(OFFSET($H$3,0,0,'Données projet'!$E$9+1,1))</f>
        <v>321.12254860105566</v>
      </c>
      <c r="T15" s="59">
        <f t="shared" si="34"/>
        <v>270.52026164274571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7.15</v>
      </c>
      <c r="AI15" s="13">
        <f>IF('Données projet'!$A$62&gt;35,AI14+AH15-AQ14,IF(A15&lt;'Données projet'!$A$62,$AF$205^A15,IF(A15='Données projet'!$A$62,'Données projet'!$B$62,AI14+AH15-AQ14)))</f>
        <v>19.642719841820853</v>
      </c>
      <c r="AJ15" s="13">
        <f>AI15*VLOOKUP('Données projet'!$B$10,Paramètres!$A$1:$I$89,3,0)*VLOOKUP('Données projet'!$B$10,Paramètres!$A$1:$I$89,5,0)</f>
        <v>9.1927928859721586</v>
      </c>
      <c r="AK15" s="13">
        <f t="shared" si="35"/>
        <v>3.2723086040782912</v>
      </c>
      <c r="AL15" s="20">
        <f t="shared" si="4"/>
        <v>21.710051761837864</v>
      </c>
      <c r="AM15" s="59">
        <f t="shared" si="5"/>
        <v>315.04338509517117</v>
      </c>
      <c r="AN15" s="59">
        <f ca="1">AVERAGE(OFFSET($AM$3,0,0,'Données projet'!$E$10+1,1))-AVERAGE(OFFSET($H$3,0,0,'Données projet'!$E$10+1,1))</f>
        <v>267.78121291362345</v>
      </c>
      <c r="AO15" s="59">
        <f t="shared" si="36"/>
        <v>320.1780590861174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4.3499999999999996</v>
      </c>
      <c r="BD15" s="12">
        <f>IF('Données projet'!$A$88&gt;35,BD14+BC15-BL14,IF(A15&lt;'Données projet'!$A$88,$BA$205^A15,IF(A15='Données projet'!$A$88,'Données projet'!$B$88,BD14+BC15-BL14)))</f>
        <v>14.578456710130634</v>
      </c>
      <c r="BE15" s="13">
        <f>BD15*VLOOKUP('Données projet'!$B$11,Paramètres!$A$1:$I$89,3,0)*VLOOKUP('Données projet'!$B$11,Paramètres!$A$1:$I$89,5,0)</f>
        <v>12.735739781970125</v>
      </c>
      <c r="BF15" s="13">
        <f t="shared" si="37"/>
        <v>4.36467014136276</v>
      </c>
      <c r="BG15" s="20">
        <f t="shared" si="7"/>
        <v>29.783213949804772</v>
      </c>
      <c r="BH15" s="59">
        <f t="shared" si="8"/>
        <v>323.11654728313806</v>
      </c>
      <c r="BI15" s="59">
        <f ca="1">AVERAGE(OFFSET($BH$3,0,0,'Données projet'!$E$11+1,1))-AVERAGE(OFFSET($H$3,0,0,'Données projet'!$E$11+1,1))</f>
        <v>212.82470567725971</v>
      </c>
      <c r="BJ15" s="59">
        <f t="shared" si="38"/>
        <v>196.91968622092054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2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6.0839999999999996</v>
      </c>
      <c r="D16" s="11">
        <f t="shared" si="32"/>
        <v>2.2722789577396263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64.504609498340969</v>
      </c>
      <c r="H16" s="67">
        <f t="shared" si="1"/>
        <v>307.88718585139651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8.1999999999999993</v>
      </c>
      <c r="N16" s="13">
        <f>IF('Données projet'!$A$36&gt;35,N15+M16-V15,IF(A16&lt;'Données projet'!$A$36,$K$205^A16,IF(A16='Données projet'!$A$36,'Données projet'!$B$36,N15+M16-V15)))</f>
        <v>27.52000454136688</v>
      </c>
      <c r="O16" s="13">
        <f>N16*VLOOKUP('Données projet'!$B$9,Paramètres!$A$1:$I$89,3,0)*VLOOKUP('Données projet'!$B$9,Paramètres!$A$1:$I$89,5,0)</f>
        <v>11.090561830170854</v>
      </c>
      <c r="P16" s="13">
        <f t="shared" si="33"/>
        <v>3.8625402612109454</v>
      </c>
      <c r="Q16" s="20">
        <f t="shared" si="2"/>
        <v>26.043319475823299</v>
      </c>
      <c r="R16" s="59">
        <f t="shared" si="0"/>
        <v>319.37665280915661</v>
      </c>
      <c r="S16" s="59">
        <f ca="1">AVERAGE(OFFSET($R$3,0,0,'Données projet'!$E$9+1,1))-AVERAGE(OFFSET($H$3,0,0,'Données projet'!$E$9+1,1))</f>
        <v>321.12254860105566</v>
      </c>
      <c r="T16" s="59">
        <f t="shared" si="34"/>
        <v>270.52026164274571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7.15</v>
      </c>
      <c r="AI16" s="13">
        <f>IF('Données projet'!$A$62&gt;35,AI15+AH16-AQ15,IF(A16&lt;'Données projet'!$A$62,$AF$205^A16,IF(A16='Données projet'!$A$62,'Données projet'!$B$62,AI15+AH16-AQ15)))</f>
        <v>25.174938851618379</v>
      </c>
      <c r="AJ16" s="13">
        <f>AI16*VLOOKUP('Données projet'!$B$10,Paramètres!$A$1:$I$89,3,0)*VLOOKUP('Données projet'!$B$10,Paramètres!$A$1:$I$89,5,0)</f>
        <v>11.781871382557402</v>
      </c>
      <c r="AK16" s="13">
        <f t="shared" si="35"/>
        <v>4.0745251272319516</v>
      </c>
      <c r="AL16" s="20">
        <f t="shared" si="4"/>
        <v>27.616557254549786</v>
      </c>
      <c r="AM16" s="59">
        <f t="shared" si="5"/>
        <v>320.94989058788309</v>
      </c>
      <c r="AN16" s="59">
        <f ca="1">AVERAGE(OFFSET($AM$3,0,0,'Données projet'!$E$10+1,1))-AVERAGE(OFFSET($H$3,0,0,'Données projet'!$E$10+1,1))</f>
        <v>267.78121291362345</v>
      </c>
      <c r="AO16" s="59">
        <f t="shared" si="36"/>
        <v>320.1780590861174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4.3499999999999996</v>
      </c>
      <c r="BD16" s="12">
        <f>IF('Données projet'!$A$88&gt;35,BD15+BC16-BL15,IF(A16&lt;'Données projet'!$A$88,$BA$205^A16,IF(A16='Données projet'!$A$88,'Données projet'!$B$88,BD15+BC16-BL15)))</f>
        <v>18.22583835526224</v>
      </c>
      <c r="BE16" s="13">
        <f>BD16*VLOOKUP('Données projet'!$B$11,Paramètres!$A$1:$I$89,3,0)*VLOOKUP('Données projet'!$B$11,Paramètres!$A$1:$I$89,5,0)</f>
        <v>15.922092387157095</v>
      </c>
      <c r="BF16" s="13">
        <f t="shared" si="37"/>
        <v>5.3166661220616147</v>
      </c>
      <c r="BG16" s="20">
        <f t="shared" si="7"/>
        <v>36.990837736889254</v>
      </c>
      <c r="BH16" s="59">
        <f t="shared" si="8"/>
        <v>330.32417107022258</v>
      </c>
      <c r="BI16" s="59">
        <f ca="1">AVERAGE(OFFSET($BH$3,0,0,'Données projet'!$E$11+1,1))-AVERAGE(OFFSET($H$3,0,0,'Données projet'!$E$11+1,1))</f>
        <v>212.82470567725971</v>
      </c>
      <c r="BJ16" s="59">
        <f t="shared" si="38"/>
        <v>196.91968622092054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2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6.5519999999999996</v>
      </c>
      <c r="D17" s="11">
        <f t="shared" si="32"/>
        <v>2.4260515959655735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69.304257933769335</v>
      </c>
      <c r="H17" s="67">
        <f t="shared" si="1"/>
        <v>308.97010652964002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8.1999999999999993</v>
      </c>
      <c r="N17" s="13">
        <f>IF('Données projet'!$A$36&gt;35,N16+M17-V16,IF(A17&lt;'Données projet'!$A$36,$K$205^A17,IF(A17='Données projet'!$A$36,'Données projet'!$B$36,N16+M17-V16)))</f>
        <v>35.513272486835781</v>
      </c>
      <c r="O17" s="13">
        <f>N17*VLOOKUP('Données projet'!$B$9,Paramètres!$A$1:$I$89,3,0)*VLOOKUP('Données projet'!$B$9,Paramètres!$A$1:$I$89,5,0)</f>
        <v>14.311848812194821</v>
      </c>
      <c r="P17" s="13">
        <f t="shared" si="33"/>
        <v>4.8386568145832118</v>
      </c>
      <c r="Q17" s="20">
        <f t="shared" si="2"/>
        <v>33.353797299971738</v>
      </c>
      <c r="R17" s="59">
        <f t="shared" si="0"/>
        <v>326.68713063330506</v>
      </c>
      <c r="S17" s="59">
        <f ca="1">AVERAGE(OFFSET($R$3,0,0,'Données projet'!$E$9+1,1))-AVERAGE(OFFSET($H$3,0,0,'Données projet'!$E$9+1,1))</f>
        <v>321.12254860105566</v>
      </c>
      <c r="T17" s="59">
        <f t="shared" si="34"/>
        <v>270.52026164274571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7.15</v>
      </c>
      <c r="AI17" s="13">
        <f>IF('Données projet'!$A$62&gt;35,AI16+AH17-AQ16,IF(A17&lt;'Données projet'!$A$62,$AF$205^A17,IF(A17='Données projet'!$A$62,'Données projet'!$B$62,AI16+AH17-AQ16)))</f>
        <v>32.265264244789748</v>
      </c>
      <c r="AJ17" s="13">
        <f>AI17*VLOOKUP('Données projet'!$B$10,Paramètres!$A$1:$I$89,3,0)*VLOOKUP('Données projet'!$B$10,Paramètres!$A$1:$I$89,5,0)</f>
        <v>15.100143666561602</v>
      </c>
      <c r="AK17" s="13">
        <f t="shared" si="35"/>
        <v>5.0734074994496874</v>
      </c>
      <c r="AL17" s="20">
        <f t="shared" si="4"/>
        <v>35.135601614136327</v>
      </c>
      <c r="AM17" s="59">
        <f t="shared" si="5"/>
        <v>328.46893494746962</v>
      </c>
      <c r="AN17" s="59">
        <f ca="1">AVERAGE(OFFSET($AM$3,0,0,'Données projet'!$E$10+1,1))-AVERAGE(OFFSET($H$3,0,0,'Données projet'!$E$10+1,1))</f>
        <v>267.78121291362345</v>
      </c>
      <c r="AO17" s="59">
        <f t="shared" si="36"/>
        <v>320.1780590861174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4.3499999999999996</v>
      </c>
      <c r="BD17" s="12">
        <f>IF('Données projet'!$A$88&gt;35,BD16+BC17-BL16,IF(A17&lt;'Données projet'!$A$88,$BA$205^A17,IF(A17='Données projet'!$A$88,'Données projet'!$B$88,BD16+BC17-BL16)))</f>
        <v>22.785757803932292</v>
      </c>
      <c r="BE17" s="13">
        <f>BD17*VLOOKUP('Données projet'!$B$11,Paramètres!$A$1:$I$89,3,0)*VLOOKUP('Données projet'!$B$11,Paramètres!$A$1:$I$89,5,0)</f>
        <v>19.905638017515251</v>
      </c>
      <c r="BF17" s="13">
        <f t="shared" si="37"/>
        <v>6.4763058233427095</v>
      </c>
      <c r="BG17" s="20">
        <f t="shared" si="7"/>
        <v>45.948552189494279</v>
      </c>
      <c r="BH17" s="59">
        <f t="shared" si="8"/>
        <v>339.28188552282757</v>
      </c>
      <c r="BI17" s="59">
        <f ca="1">AVERAGE(OFFSET($BH$3,0,0,'Données projet'!$E$11+1,1))-AVERAGE(OFFSET($H$3,0,0,'Données projet'!$E$11+1,1))</f>
        <v>212.82470567725971</v>
      </c>
      <c r="BJ17" s="59">
        <f t="shared" si="38"/>
        <v>196.91968622092054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2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7.02</v>
      </c>
      <c r="D18" s="11">
        <f t="shared" si="32"/>
        <v>2.5785498814341232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74.094069260193223</v>
      </c>
      <c r="H18" s="67">
        <f t="shared" si="1"/>
        <v>310.05080771016441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8.1999999999999993</v>
      </c>
      <c r="N18" s="13">
        <f>IF('Données projet'!$A$36&gt;35,N17+M18-V17,IF(A18&lt;'Données projet'!$A$36,$K$205^A18,IF(A18='Données projet'!$A$36,'Données projet'!$B$36,N17+M18-V17)))</f>
        <v>45.828209106160486</v>
      </c>
      <c r="O18" s="13">
        <f>N18*VLOOKUP('Données projet'!$B$9,Paramètres!$A$1:$I$89,3,0)*VLOOKUP('Données projet'!$B$9,Paramètres!$A$1:$I$89,5,0)</f>
        <v>18.468768269782675</v>
      </c>
      <c r="P18" s="13">
        <f t="shared" si="33"/>
        <v>6.0614513211501082</v>
      </c>
      <c r="Q18" s="20">
        <f t="shared" si="2"/>
        <v>42.723465787541265</v>
      </c>
      <c r="R18" s="59">
        <f t="shared" si="0"/>
        <v>336.05679912087459</v>
      </c>
      <c r="S18" s="59">
        <f ca="1">AVERAGE(OFFSET($R$3,0,0,'Données projet'!$E$9+1,1))-AVERAGE(OFFSET($H$3,0,0,'Données projet'!$E$9+1,1))</f>
        <v>321.12254860105566</v>
      </c>
      <c r="T18" s="59">
        <f t="shared" si="34"/>
        <v>270.52026164274571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7.15</v>
      </c>
      <c r="AI18" s="13">
        <f>IF('Données projet'!$A$62&gt;35,AI17+AH18-AQ17,IF(A18&lt;'Données projet'!$A$62,$AF$205^A18,IF(A18='Données projet'!$A$62,'Données projet'!$B$62,AI17+AH18-AQ17)))</f>
        <v>41.352524545225805</v>
      </c>
      <c r="AJ18" s="13">
        <f>AI18*VLOOKUP('Données projet'!$B$10,Paramètres!$A$1:$I$89,3,0)*VLOOKUP('Données projet'!$B$10,Paramètres!$A$1:$I$89,5,0)</f>
        <v>19.352981487165678</v>
      </c>
      <c r="AK18" s="13">
        <f t="shared" si="35"/>
        <v>6.3171689587685922</v>
      </c>
      <c r="AL18" s="20">
        <f t="shared" si="4"/>
        <v>44.708845360002179</v>
      </c>
      <c r="AM18" s="59">
        <f t="shared" si="5"/>
        <v>338.04217869333547</v>
      </c>
      <c r="AN18" s="59">
        <f ca="1">AVERAGE(OFFSET($AM$3,0,0,'Données projet'!$E$10+1,1))-AVERAGE(OFFSET($H$3,0,0,'Données projet'!$E$10+1,1))</f>
        <v>267.78121291362345</v>
      </c>
      <c r="AO18" s="59">
        <f t="shared" si="36"/>
        <v>320.1780590861174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4.3499999999999996</v>
      </c>
      <c r="BD18" s="12">
        <f>IF('Données projet'!$A$88&gt;35,BD17+BC18-BL17,IF(A18&lt;'Données projet'!$A$88,$BA$205^A18,IF(A18='Données projet'!$A$88,'Données projet'!$B$88,BD17+BC18-BL17)))</f>
        <v>28.48652273652797</v>
      </c>
      <c r="BE18" s="13">
        <f>BD18*VLOOKUP('Données projet'!$B$11,Paramètres!$A$1:$I$89,3,0)*VLOOKUP('Données projet'!$B$11,Paramètres!$A$1:$I$89,5,0)</f>
        <v>24.88582626263084</v>
      </c>
      <c r="BF18" s="13">
        <f t="shared" si="37"/>
        <v>7.8888792627811029</v>
      </c>
      <c r="BG18" s="20">
        <f t="shared" si="7"/>
        <v>57.082612123425804</v>
      </c>
      <c r="BH18" s="59">
        <f t="shared" si="8"/>
        <v>350.41594545675912</v>
      </c>
      <c r="BI18" s="59">
        <f ca="1">AVERAGE(OFFSET($BH$3,0,0,'Données projet'!$E$11+1,1))-AVERAGE(OFFSET($H$3,0,0,'Données projet'!$E$11+1,1))</f>
        <v>212.82470567725971</v>
      </c>
      <c r="BJ18" s="59">
        <f t="shared" si="38"/>
        <v>196.91968622092054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2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7.4879999999999995</v>
      </c>
      <c r="D19" s="11">
        <f t="shared" si="32"/>
        <v>2.7298684377500635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78.874773905439085</v>
      </c>
      <c r="H19" s="67">
        <f t="shared" si="1"/>
        <v>311.129454195748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8.1999999999999993</v>
      </c>
      <c r="N19" s="13">
        <f>IF('Données projet'!$A$36&gt;35,N18+M19-V18,IF(A19&lt;'Données projet'!$A$36,$K$205^A19,IF(A19='Données projet'!$A$36,'Données projet'!$B$36,N18+M19-V18)))</f>
        <v>59.139150036271396</v>
      </c>
      <c r="O19" s="13">
        <f>N19*VLOOKUP('Données projet'!$B$9,Paramètres!$A$1:$I$89,3,0)*VLOOKUP('Données projet'!$B$9,Paramètres!$A$1:$I$89,5,0)</f>
        <v>23.833077464617372</v>
      </c>
      <c r="P19" s="13">
        <f t="shared" si="33"/>
        <v>7.593262660814923</v>
      </c>
      <c r="Q19" s="20">
        <f t="shared" si="2"/>
        <v>54.734209051794572</v>
      </c>
      <c r="R19" s="59">
        <f t="shared" si="0"/>
        <v>348.06754238512787</v>
      </c>
      <c r="S19" s="59">
        <f ca="1">AVERAGE(OFFSET($R$3,0,0,'Données projet'!$E$9+1,1))-AVERAGE(OFFSET($H$3,0,0,'Données projet'!$E$9+1,1))</f>
        <v>321.12254860105566</v>
      </c>
      <c r="T19" s="59">
        <f t="shared" si="34"/>
        <v>270.52026164274571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7.15</v>
      </c>
      <c r="AI19" s="13">
        <f>IF('Données projet'!$A$62&gt;35,AI18+AH19-AQ18,IF(A19&lt;'Données projet'!$A$62,$AF$205^A19,IF(A19='Données projet'!$A$62,'Données projet'!$B$62,AI18+AH19-AQ18)))</f>
        <v>52.999140911720303</v>
      </c>
      <c r="AJ19" s="13">
        <f>AI19*VLOOKUP('Données projet'!$B$10,Paramètres!$A$1:$I$89,3,0)*VLOOKUP('Données projet'!$B$10,Paramètres!$A$1:$I$89,5,0)</f>
        <v>24.803597946685102</v>
      </c>
      <c r="AK19" s="13">
        <f t="shared" si="35"/>
        <v>7.8658423668822461</v>
      </c>
      <c r="AL19" s="20">
        <f t="shared" si="4"/>
        <v>56.899275212796461</v>
      </c>
      <c r="AM19" s="59">
        <f t="shared" si="5"/>
        <v>350.23260854612977</v>
      </c>
      <c r="AN19" s="59">
        <f ca="1">AVERAGE(OFFSET($AM$3,0,0,'Données projet'!$E$10+1,1))-AVERAGE(OFFSET($H$3,0,0,'Données projet'!$E$10+1,1))</f>
        <v>267.78121291362345</v>
      </c>
      <c r="AO19" s="59">
        <f t="shared" si="36"/>
        <v>320.1780590861174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4.3499999999999996</v>
      </c>
      <c r="BD19" s="12">
        <f>IF('Données projet'!$A$88&gt;35,BD18+BC19-BL18,IF(A19&lt;'Données projet'!$A$88,$BA$205^A19,IF(A19='Données projet'!$A$88,'Données projet'!$B$88,BD18+BC19-BL18)))</f>
        <v>35.613561093793514</v>
      </c>
      <c r="BE19" s="13">
        <f>BD19*VLOOKUP('Données projet'!$B$11,Paramètres!$A$1:$I$89,3,0)*VLOOKUP('Données projet'!$B$11,Paramètres!$A$1:$I$89,5,0)</f>
        <v>31.112006971538019</v>
      </c>
      <c r="BF19" s="13">
        <f t="shared" si="37"/>
        <v>9.6095548481396076</v>
      </c>
      <c r="BG19" s="20">
        <f t="shared" si="7"/>
        <v>70.92338683593853</v>
      </c>
      <c r="BH19" s="59">
        <f t="shared" si="8"/>
        <v>364.25672016927183</v>
      </c>
      <c r="BI19" s="59">
        <f ca="1">AVERAGE(OFFSET($BH$3,0,0,'Données projet'!$E$11+1,1))-AVERAGE(OFFSET($H$3,0,0,'Données projet'!$E$11+1,1))</f>
        <v>212.82470567725971</v>
      </c>
      <c r="BJ19" s="59">
        <f t="shared" si="38"/>
        <v>196.91968622092054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2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7.9559999999999995</v>
      </c>
      <c r="D20" s="11">
        <f t="shared" si="32"/>
        <v>2.880089392049658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83.647005833365782</v>
      </c>
      <c r="H20" s="67">
        <f t="shared" si="1"/>
        <v>312.20618902448649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8.1999999999999993</v>
      </c>
      <c r="N20" s="13">
        <f>IF('Données projet'!$A$36&gt;35,N19+M20-V19,IF(A20&lt;'Données projet'!$A$36,$K$205^A20,IF(A20='Données projet'!$A$36,'Données projet'!$B$36,N19+M20-V19)))</f>
        <v>76.316293724479706</v>
      </c>
      <c r="O20" s="13">
        <f>N20*VLOOKUP('Données projet'!$B$9,Paramètres!$A$1:$I$89,3,0)*VLOOKUP('Données projet'!$B$9,Paramètres!$A$1:$I$89,5,0)</f>
        <v>30.755466370965319</v>
      </c>
      <c r="P20" s="13">
        <f t="shared" si="33"/>
        <v>9.5121835978361204</v>
      </c>
      <c r="Q20" s="20">
        <f t="shared" si="2"/>
        <v>70.132823695662495</v>
      </c>
      <c r="R20" s="59">
        <f t="shared" si="0"/>
        <v>363.46615702899578</v>
      </c>
      <c r="S20" s="59">
        <f ca="1">AVERAGE(OFFSET($R$3,0,0,'Données projet'!$E$9+1,1))-AVERAGE(OFFSET($H$3,0,0,'Données projet'!$E$9+1,1))</f>
        <v>321.12254860105566</v>
      </c>
      <c r="T20" s="59">
        <f t="shared" si="34"/>
        <v>270.52026164274571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7.15</v>
      </c>
      <c r="AI20" s="13">
        <f>IF('Données projet'!$A$62&gt;35,AI19+AH20-AQ19,IF(A20&lt;'Données projet'!$A$62,$AF$205^A20,IF(A20='Données projet'!$A$62,'Données projet'!$B$62,AI19+AH20-AQ19)))</f>
        <v>67.925936040697579</v>
      </c>
      <c r="AJ20" s="13">
        <f>AI20*VLOOKUP('Données projet'!$B$10,Paramètres!$A$1:$I$89,3,0)*VLOOKUP('Données projet'!$B$10,Paramètres!$A$1:$I$89,5,0)</f>
        <v>31.789338067046465</v>
      </c>
      <c r="AK20" s="13">
        <f t="shared" si="35"/>
        <v>9.7941778262489763</v>
      </c>
      <c r="AL20" s="20">
        <f t="shared" si="4"/>
        <v>72.424623514156238</v>
      </c>
      <c r="AM20" s="59">
        <f t="shared" si="5"/>
        <v>365.75795684748954</v>
      </c>
      <c r="AN20" s="59">
        <f ca="1">AVERAGE(OFFSET($AM$3,0,0,'Données projet'!$E$10+1,1))-AVERAGE(OFFSET($H$3,0,0,'Données projet'!$E$10+1,1))</f>
        <v>267.78121291362345</v>
      </c>
      <c r="AO20" s="59">
        <f t="shared" si="36"/>
        <v>320.1780590861174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4.3499999999999996</v>
      </c>
      <c r="BD20" s="12">
        <f>IF('Données projet'!$A$88&gt;35,BD19+BC20-BL19,IF(A20&lt;'Données projet'!$A$88,$BA$205^A20,IF(A20='Données projet'!$A$88,'Données projet'!$B$88,BD19+BC20-BL19)))</f>
        <v>44.523711985211953</v>
      </c>
      <c r="BE20" s="13">
        <f>BD20*VLOOKUP('Données projet'!$B$11,Paramètres!$A$1:$I$89,3,0)*VLOOKUP('Données projet'!$B$11,Paramètres!$A$1:$I$89,5,0)</f>
        <v>38.895914790281168</v>
      </c>
      <c r="BF20" s="13">
        <f t="shared" si="37"/>
        <v>11.705533993284762</v>
      </c>
      <c r="BG20" s="20">
        <f t="shared" si="7"/>
        <v>88.130856631377313</v>
      </c>
      <c r="BH20" s="59">
        <f t="shared" si="8"/>
        <v>381.46418996471061</v>
      </c>
      <c r="BI20" s="59">
        <f ca="1">AVERAGE(OFFSET($BH$3,0,0,'Données projet'!$E$11+1,1))-AVERAGE(OFFSET($H$3,0,0,'Données projet'!$E$11+1,1))</f>
        <v>212.82470567725971</v>
      </c>
      <c r="BJ20" s="59">
        <f t="shared" si="38"/>
        <v>196.91968622092054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2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8.4239999999999995</v>
      </c>
      <c r="D21" s="11">
        <f t="shared" si="32"/>
        <v>3.0292846636388133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88.411320210545227</v>
      </c>
      <c r="H21" s="67">
        <f t="shared" si="1"/>
        <v>313.28113745583755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8.1999999999999993</v>
      </c>
      <c r="N21" s="13">
        <f>IF('Données projet'!$A$36&gt;35,N20+M21-V20,IF(A21&lt;'Données projet'!$A$36,$K$205^A21,IF(A21='Données projet'!$A$36,'Données projet'!$B$36,N20+M21-V20)))</f>
        <v>98.482590369813565</v>
      </c>
      <c r="O21" s="13">
        <f>N21*VLOOKUP('Données projet'!$B$9,Paramètres!$A$1:$I$89,3,0)*VLOOKUP('Données projet'!$B$9,Paramètres!$A$1:$I$89,5,0)</f>
        <v>39.688483919034866</v>
      </c>
      <c r="P21" s="13">
        <f t="shared" si="33"/>
        <v>11.91604200205974</v>
      </c>
      <c r="Q21" s="20">
        <f t="shared" si="2"/>
        <v>89.877882645906425</v>
      </c>
      <c r="R21" s="59">
        <f t="shared" si="0"/>
        <v>383.21121597923974</v>
      </c>
      <c r="S21" s="59">
        <f ca="1">AVERAGE(OFFSET($R$3,0,0,'Données projet'!$E$9+1,1))-AVERAGE(OFFSET($H$3,0,0,'Données projet'!$E$9+1,1))</f>
        <v>321.12254860105566</v>
      </c>
      <c r="T21" s="59">
        <f t="shared" si="34"/>
        <v>270.52026164274571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7.15</v>
      </c>
      <c r="AI21" s="13">
        <f>IF('Données projet'!$A$62&gt;35,AI20+AH21-AQ20,IF(A21&lt;'Données projet'!$A$62,$AF$205^A21,IF(A21='Données projet'!$A$62,'Données projet'!$B$62,AI20+AH21-AQ20)))</f>
        <v>87.056746725202245</v>
      </c>
      <c r="AJ21" s="13">
        <f>AI21*VLOOKUP('Données projet'!$B$10,Paramètres!$A$1:$I$89,3,0)*VLOOKUP('Données projet'!$B$10,Paramètres!$A$1:$I$89,5,0)</f>
        <v>40.742557467394647</v>
      </c>
      <c r="AK21" s="13">
        <f t="shared" si="35"/>
        <v>12.195250656950169</v>
      </c>
      <c r="AL21" s="20">
        <f t="shared" si="4"/>
        <v>92.200015816567202</v>
      </c>
      <c r="AM21" s="59">
        <f t="shared" si="5"/>
        <v>385.53334914990052</v>
      </c>
      <c r="AN21" s="59">
        <f ca="1">AVERAGE(OFFSET($AM$3,0,0,'Données projet'!$E$10+1,1))-AVERAGE(OFFSET($H$3,0,0,'Données projet'!$E$10+1,1))</f>
        <v>267.78121291362345</v>
      </c>
      <c r="AO21" s="59">
        <f t="shared" si="36"/>
        <v>320.1780590861174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4.3499999999999996</v>
      </c>
      <c r="BD21" s="12">
        <f>IF('Données projet'!$A$88&gt;35,BD20+BC21-BL20,IF(A21&lt;'Données projet'!$A$88,$BA$205^A21,IF(A21='Données projet'!$A$88,'Données projet'!$B$88,BD20+BC21-BL20)))</f>
        <v>55.663092037363775</v>
      </c>
      <c r="BE21" s="13">
        <f>BD21*VLOOKUP('Données projet'!$B$11,Paramètres!$A$1:$I$89,3,0)*VLOOKUP('Données projet'!$B$11,Paramètres!$A$1:$I$89,5,0)</f>
        <v>48.627277203840997</v>
      </c>
      <c r="BF21" s="13">
        <f t="shared" si="37"/>
        <v>14.258675686155415</v>
      </c>
      <c r="BG21" s="20">
        <f t="shared" si="7"/>
        <v>109.52636795007709</v>
      </c>
      <c r="BH21" s="59">
        <f t="shared" si="8"/>
        <v>402.8597012834104</v>
      </c>
      <c r="BI21" s="59">
        <f ca="1">AVERAGE(OFFSET($BH$3,0,0,'Données projet'!$E$11+1,1))-AVERAGE(OFFSET($H$3,0,0,'Données projet'!$E$11+1,1))</f>
        <v>212.82470567725971</v>
      </c>
      <c r="BJ21" s="59">
        <f t="shared" si="38"/>
        <v>196.91968622092054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2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8.8919999999999995</v>
      </c>
      <c r="D22" s="11">
        <f t="shared" si="32"/>
        <v>3.177517729464268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93.16820703446102</v>
      </c>
      <c r="H22" s="67">
        <f t="shared" si="1"/>
        <v>314.35441004548358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8.1999999999999993</v>
      </c>
      <c r="N22" s="13">
        <f>IF('Données projet'!$A$36&gt;35,N21+M22-V21,IF(A22&lt;'Données projet'!$A$36,$K$205^A22,IF(A22='Données projet'!$A$36,'Données projet'!$B$36,N21+M22-V21)))</f>
        <v>127.08715442816953</v>
      </c>
      <c r="O22" s="13">
        <f>N22*VLOOKUP('Données projet'!$B$9,Paramètres!$A$1:$I$89,3,0)*VLOOKUP('Données projet'!$B$9,Paramètres!$A$1:$I$89,5,0)</f>
        <v>51.21612323455232</v>
      </c>
      <c r="P22" s="13">
        <f t="shared" si="33"/>
        <v>14.92738817900371</v>
      </c>
      <c r="Q22" s="20">
        <f t="shared" si="2"/>
        <v>115.19994904527674</v>
      </c>
      <c r="R22" s="59">
        <f t="shared" si="0"/>
        <v>408.53328237861007</v>
      </c>
      <c r="S22" s="59">
        <f ca="1">AVERAGE(OFFSET($R$3,0,0,'Données projet'!$E$9+1,1))-AVERAGE(OFFSET($H$3,0,0,'Données projet'!$E$9+1,1))</f>
        <v>321.12254860105566</v>
      </c>
      <c r="T22" s="59">
        <f t="shared" si="34"/>
        <v>270.52026164274571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7.15</v>
      </c>
      <c r="AI22" s="13">
        <f>IF('Données projet'!$A$62&gt;35,AI21+AH22-AQ21,IF(A22&lt;'Données projet'!$A$62,$AF$205^A22,IF(A22='Données projet'!$A$62,'Données projet'!$B$62,AI21+AH22-AQ21)))</f>
        <v>111.57560119355814</v>
      </c>
      <c r="AJ22" s="13">
        <f>AI22*VLOOKUP('Données projet'!$B$10,Paramètres!$A$1:$I$89,3,0)*VLOOKUP('Données projet'!$B$10,Paramètres!$A$1:$I$89,5,0)</f>
        <v>52.217381358585207</v>
      </c>
      <c r="AK22" s="13">
        <f t="shared" si="35"/>
        <v>15.184953880177051</v>
      </c>
      <c r="AL22" s="20">
        <f t="shared" si="4"/>
        <v>117.39240054084426</v>
      </c>
      <c r="AM22" s="59">
        <f t="shared" si="5"/>
        <v>410.72573387417759</v>
      </c>
      <c r="AN22" s="59">
        <f ca="1">AVERAGE(OFFSET($AM$3,0,0,'Données projet'!$E$10+1,1))-AVERAGE(OFFSET($H$3,0,0,'Données projet'!$E$10+1,1))</f>
        <v>267.78121291362345</v>
      </c>
      <c r="AO22" s="59">
        <f t="shared" si="36"/>
        <v>320.1780590861174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4.3499999999999996</v>
      </c>
      <c r="BD22" s="12">
        <f>IF('Données projet'!$A$88&gt;35,BD21+BC22-BL21,IF(A22&lt;'Données projet'!$A$88,$BA$205^A22,IF(A22='Données projet'!$A$88,'Données projet'!$B$88,BD21+BC22-BL21)))</f>
        <v>69.589431720992238</v>
      </c>
      <c r="BE22" s="13">
        <f>BD22*VLOOKUP('Données projet'!$B$11,Paramètres!$A$1:$I$89,3,0)*VLOOKUP('Données projet'!$B$11,Paramètres!$A$1:$I$89,5,0)</f>
        <v>60.79332755145883</v>
      </c>
      <c r="BF22" s="13">
        <f t="shared" si="37"/>
        <v>17.368693511940123</v>
      </c>
      <c r="BG22" s="20">
        <f t="shared" si="7"/>
        <v>136.13218668541984</v>
      </c>
      <c r="BH22" s="59">
        <f t="shared" si="8"/>
        <v>429.46552001875318</v>
      </c>
      <c r="BI22" s="59">
        <f ca="1">AVERAGE(OFFSET($BH$3,0,0,'Données projet'!$E$11+1,1))-AVERAGE(OFFSET($H$3,0,0,'Données projet'!$E$11+1,1))</f>
        <v>212.82470567725971</v>
      </c>
      <c r="BJ22" s="59">
        <f t="shared" si="38"/>
        <v>196.91968622092054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2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9.36</v>
      </c>
      <c r="D23" s="11">
        <f t="shared" si="32"/>
        <v>3.3248450073034994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97.918101810763858</v>
      </c>
      <c r="H23" s="67">
        <f t="shared" si="1"/>
        <v>315.42610505438688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164</v>
      </c>
      <c r="L23" s="12">
        <f>VLOOKUP(A23,'Données projet'!$A$35:$I$55,9,0)</f>
        <v>8.1999999999999993</v>
      </c>
      <c r="M23" s="12">
        <f t="array" ref="M23">INDEX(L:L,MIN(IF(ISNUMBER(L23:L219),ROW(L23:L219),"")))</f>
        <v>8.1999999999999993</v>
      </c>
      <c r="N23" s="13">
        <f>IF('Données projet'!$A$36&gt;35,N22+M23-V22,IF(A23&lt;'Données projet'!$A$36,$K$205^A23,IF(A23='Données projet'!$A$36,'Données projet'!$B$36,N22+M23-V22)))</f>
        <v>164</v>
      </c>
      <c r="O23" s="13">
        <f>N23*VLOOKUP('Données projet'!$B$9,Paramètres!$A$1:$I$89,3,0)*VLOOKUP('Données projet'!$B$9,Paramètres!$A$1:$I$89,5,0)</f>
        <v>66.091999999999999</v>
      </c>
      <c r="P23" s="13">
        <f t="shared" si="33"/>
        <v>18.69974256620976</v>
      </c>
      <c r="Q23" s="20">
        <f t="shared" si="2"/>
        <v>147.67895163614867</v>
      </c>
      <c r="R23" s="59">
        <f t="shared" si="0"/>
        <v>441.01228496948198</v>
      </c>
      <c r="S23" s="59">
        <f ca="1">AVERAGE(OFFSET($R$3,0,0,'Données projet'!$E$9+1,1))-AVERAGE(OFFSET($H$3,0,0,'Données projet'!$E$9+1,1))</f>
        <v>321.12254860105566</v>
      </c>
      <c r="T23" s="59">
        <f t="shared" si="34"/>
        <v>270.52026164274571</v>
      </c>
      <c r="U23" s="15">
        <f>IF(ISNA(VLOOKUP(A23,'Données projet'!$A$35:$I$55,3,0)),0,VLOOKUP(A23,'Données projet'!$A$35:$I$55,3,0))</f>
        <v>1</v>
      </c>
      <c r="V23" s="15">
        <f>IF(ISNA(VLOOKUP(A23,'Données projet'!$A$35:$I$55,4,0)),0,VLOOKUP(A23,'Données projet'!$A$35:$I$55,4,0))</f>
        <v>26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0</v>
      </c>
      <c r="AC23" s="22">
        <f t="shared" si="3"/>
        <v>0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>
        <f>VLOOKUP(A23,'Données projet'!$A$61:$I$81,2,0)</f>
        <v>143</v>
      </c>
      <c r="AG23" s="12">
        <f>VLOOKUP(A23,'Données projet'!$A$61:$I$81,9,0)</f>
        <v>7.15</v>
      </c>
      <c r="AH23" s="12">
        <f t="array" ref="AH23">INDEX(AG:AG,MIN(IF(ISNUMBER(AG23:AG219),ROW(AG23:AG219),"")))</f>
        <v>7.15</v>
      </c>
      <c r="AI23" s="13">
        <f>IF('Données projet'!$A$62&gt;35,AI22+AH23-AQ22,IF(A23&lt;'Données projet'!$A$62,$AF$205^A23,IF(A23='Données projet'!$A$62,'Données projet'!$B$62,AI22+AH23-AQ22)))</f>
        <v>143</v>
      </c>
      <c r="AJ23" s="13">
        <f>AI23*VLOOKUP('Données projet'!$B$10,Paramètres!$A$1:$I$89,3,0)*VLOOKUP('Données projet'!$B$10,Paramètres!$A$1:$I$89,5,0)</f>
        <v>66.923999999999992</v>
      </c>
      <c r="AK23" s="13">
        <f t="shared" si="35"/>
        <v>18.90759204786767</v>
      </c>
      <c r="AL23" s="20">
        <f t="shared" si="4"/>
        <v>149.49002281670283</v>
      </c>
      <c r="AM23" s="59">
        <f t="shared" si="5"/>
        <v>442.82335615003615</v>
      </c>
      <c r="AN23" s="59">
        <f ca="1">AVERAGE(OFFSET($AM$3,0,0,'Données projet'!$E$10+1,1))-AVERAGE(OFFSET($H$3,0,0,'Données projet'!$E$10+1,1))</f>
        <v>267.78121291362345</v>
      </c>
      <c r="AO23" s="59">
        <f t="shared" si="36"/>
        <v>320.1780590861174</v>
      </c>
      <c r="AP23" s="15">
        <f>IF(ISNA(VLOOKUP(A23,'Données projet'!$A$61:$I$81,3,0)),0,VLOOKUP(A23,'Données projet'!$A$61:$I$81,3,0))</f>
        <v>1</v>
      </c>
      <c r="AQ23" s="15">
        <f>IF(ISNA(VLOOKUP(A23,'Données projet'!$A$61:$I$81,4,0)),0,VLOOKUP(A23,'Données projet'!$A$61:$I$81,4,0))</f>
        <v>48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>
        <f>VLOOKUP(A23,'Données projet'!$A$87:$I$107,2,0)</f>
        <v>87</v>
      </c>
      <c r="BB23" s="12">
        <f>VLOOKUP(A23,'Données projet'!$A$87:$I$107,9,0)</f>
        <v>4.3499999999999996</v>
      </c>
      <c r="BC23" s="12">
        <f t="array" ref="BC23">INDEX(BB:BB,MIN(IF(ISNUMBER(BB23:BB219),ROW(BB23:BB219),"")))</f>
        <v>4.3499999999999996</v>
      </c>
      <c r="BD23" s="12">
        <f>IF('Données projet'!$A$88&gt;35,BD22+BC23-BL22,IF(A23&lt;'Données projet'!$A$88,$BA$205^A23,IF(A23='Données projet'!$A$88,'Données projet'!$B$88,BD22+BC23-BL22)))</f>
        <v>87</v>
      </c>
      <c r="BE23" s="13">
        <f>BD23*VLOOKUP('Données projet'!$B$11,Paramètres!$A$1:$I$89,3,0)*VLOOKUP('Données projet'!$B$11,Paramètres!$A$1:$I$89,5,0)</f>
        <v>76.003200000000007</v>
      </c>
      <c r="BF23" s="13">
        <f t="shared" si="37"/>
        <v>21.157049992000456</v>
      </c>
      <c r="BG23" s="20">
        <f t="shared" si="7"/>
        <v>169.22076873606747</v>
      </c>
      <c r="BH23" s="59">
        <f t="shared" si="8"/>
        <v>462.55410206940076</v>
      </c>
      <c r="BI23" s="59">
        <f ca="1">AVERAGE(OFFSET($BH$3,0,0,'Données projet'!$E$11+1,1))-AVERAGE(OFFSET($H$3,0,0,'Données projet'!$E$11+1,1))</f>
        <v>212.82470567725971</v>
      </c>
      <c r="BJ23" s="59">
        <f t="shared" si="38"/>
        <v>196.91968622092054</v>
      </c>
      <c r="BK23" s="15">
        <f>IF(ISNA(VLOOKUP(A23,'Données projet'!$A$87:$I$107,3,0)),0,VLOOKUP(A23,'Données projet'!$A$87:$I$107,3,0))</f>
        <v>1</v>
      </c>
      <c r="BL23" s="15">
        <f>IF(ISNA(VLOOKUP(A23,'Données projet'!$A$87:$I$107,4,0)),0,VLOOKUP(A23,'Données projet'!$A$87:$I$107,4,0))</f>
        <v>29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0</v>
      </c>
      <c r="BR23" s="21">
        <f>EXP(-LN(2)/2)*BR22+(1-EXP(-LN(2)/2))/(LN(2)/2)*BL23*BO23*VLOOKUP('Données projet'!$B$11,Paramètres!$A$1:$I$89,3,0)*0.475*44/12</f>
        <v>0</v>
      </c>
      <c r="BS23" s="22">
        <f t="shared" si="9"/>
        <v>0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2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9.8279999999999994</v>
      </c>
      <c r="D24" s="11">
        <f t="shared" si="32"/>
        <v>3.4713169544550615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102.66139403438996</v>
      </c>
      <c r="H24" s="67">
        <f t="shared" si="1"/>
        <v>316.49631036234257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26.4</v>
      </c>
      <c r="N24" s="13">
        <f>IF('Données projet'!$A$36&gt;35,N23+M24-V23,IF(A24&lt;'Données projet'!$A$36,$K$205^A24,IF(A24='Données projet'!$A$36,'Données projet'!$B$36,N23+M24-V23)))</f>
        <v>164.4</v>
      </c>
      <c r="O24" s="13">
        <f>N24*VLOOKUP('Données projet'!$B$9,Paramètres!$A$1:$I$89,3,0)*VLOOKUP('Données projet'!$B$9,Paramètres!$A$1:$I$89,5,0)</f>
        <v>66.253200000000007</v>
      </c>
      <c r="P24" s="13">
        <f t="shared" si="33"/>
        <v>18.740037076415806</v>
      </c>
      <c r="Q24" s="20">
        <f t="shared" si="2"/>
        <v>148.02988790809084</v>
      </c>
      <c r="R24" s="59">
        <f t="shared" si="0"/>
        <v>441.36322124142418</v>
      </c>
      <c r="S24" s="59">
        <f ca="1">AVERAGE(OFFSET($R$3,0,0,'Données projet'!$E$9+1,1))-AVERAGE(OFFSET($H$3,0,0,'Données projet'!$E$9+1,1))</f>
        <v>321.12254860105566</v>
      </c>
      <c r="T24" s="59">
        <f t="shared" si="34"/>
        <v>270.52026164274571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0</v>
      </c>
      <c r="AB24" s="21">
        <f>EXP(-LN(2)/2)*AB23+(1-EXP(-LN(2)/2))/(LN(2)/2)*V24*Y24*VLOOKUP('Données projet'!$B$9,Paramètres!$A$1:$I$89,3,0)*0.475*44/12</f>
        <v>0</v>
      </c>
      <c r="AC24" s="22">
        <f t="shared" si="3"/>
        <v>0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33</v>
      </c>
      <c r="AI24" s="13">
        <f>IF('Données projet'!$A$62&gt;35,AI23+AH24-AQ23,IF(A24&lt;'Données projet'!$A$62,$AF$205^A24,IF(A24='Données projet'!$A$62,'Données projet'!$B$62,AI23+AH24-AQ23)))</f>
        <v>128</v>
      </c>
      <c r="AJ24" s="13">
        <f>AI24*VLOOKUP('Données projet'!$B$10,Paramètres!$A$1:$I$89,3,0)*VLOOKUP('Données projet'!$B$10,Paramètres!$A$1:$I$89,5,0)</f>
        <v>59.903999999999996</v>
      </c>
      <c r="AK24" s="13">
        <f t="shared" si="35"/>
        <v>17.143994938960184</v>
      </c>
      <c r="AL24" s="20">
        <f t="shared" si="4"/>
        <v>134.19192451868898</v>
      </c>
      <c r="AM24" s="59">
        <f t="shared" si="5"/>
        <v>427.52525785202226</v>
      </c>
      <c r="AN24" s="59">
        <f ca="1">AVERAGE(OFFSET($AM$3,0,0,'Données projet'!$E$10+1,1))-AVERAGE(OFFSET($H$3,0,0,'Données projet'!$E$10+1,1))</f>
        <v>267.78121291362345</v>
      </c>
      <c r="AO24" s="59">
        <f t="shared" si="36"/>
        <v>320.1780590861174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8</v>
      </c>
      <c r="BD24" s="12">
        <f>IF('Données projet'!$A$88&gt;35,BD23+BC24-BL23,IF(A24&lt;'Données projet'!$A$88,$BA$205^A24,IF(A24='Données projet'!$A$88,'Données projet'!$B$88,BD23+BC24-BL23)))</f>
        <v>66</v>
      </c>
      <c r="BE24" s="13">
        <f>BD24*VLOOKUP('Données projet'!$B$11,Paramètres!$A$1:$I$89,3,0)*VLOOKUP('Données projet'!$B$11,Paramètres!$A$1:$I$89,5,0)</f>
        <v>57.657600000000002</v>
      </c>
      <c r="BF24" s="13">
        <f t="shared" si="37"/>
        <v>16.574671209026025</v>
      </c>
      <c r="BG24" s="20">
        <f t="shared" si="7"/>
        <v>129.28787235572034</v>
      </c>
      <c r="BH24" s="59">
        <f t="shared" si="8"/>
        <v>422.62120568905368</v>
      </c>
      <c r="BI24" s="59">
        <f ca="1">AVERAGE(OFFSET($BH$3,0,0,'Données projet'!$E$11+1,1))-AVERAGE(OFFSET($H$3,0,0,'Données projet'!$E$11+1,1))</f>
        <v>212.82470567725971</v>
      </c>
      <c r="BJ24" s="59">
        <f t="shared" si="38"/>
        <v>196.91968622092054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0</v>
      </c>
      <c r="BR24" s="21">
        <f>EXP(-LN(2)/2)*BR23+(1-EXP(-LN(2)/2))/(LN(2)/2)*BL24*BO24*VLOOKUP('Données projet'!$B$11,Paramètres!$A$1:$I$89,3,0)*0.475*44/12</f>
        <v>0</v>
      </c>
      <c r="BS24" s="22">
        <f t="shared" si="9"/>
        <v>0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2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10.295999999999999</v>
      </c>
      <c r="D25" s="11">
        <f t="shared" si="32"/>
        <v>3.6169789512251227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107.39843400945709</v>
      </c>
      <c r="H25" s="67">
        <f t="shared" si="1"/>
        <v>317.56510500671709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26.4</v>
      </c>
      <c r="N25" s="13">
        <f>IF('Données projet'!$A$36&gt;35,N24+M25-V24,IF(A25&lt;'Données projet'!$A$36,$K$205^A25,IF(A25='Données projet'!$A$36,'Données projet'!$B$36,N24+M25-V24)))</f>
        <v>190.8</v>
      </c>
      <c r="O25" s="13">
        <f>N25*VLOOKUP('Données projet'!$B$9,Paramètres!$A$1:$I$89,3,0)*VLOOKUP('Données projet'!$B$9,Paramètres!$A$1:$I$89,5,0)</f>
        <v>76.892400000000009</v>
      </c>
      <c r="P25" s="13">
        <f t="shared" si="33"/>
        <v>21.375616623556329</v>
      </c>
      <c r="Q25" s="20">
        <f t="shared" si="2"/>
        <v>171.15012895269396</v>
      </c>
      <c r="R25" s="59">
        <f t="shared" si="0"/>
        <v>464.48346228602725</v>
      </c>
      <c r="S25" s="59">
        <f ca="1">AVERAGE(OFFSET($R$3,0,0,'Données projet'!$E$9+1,1))-AVERAGE(OFFSET($H$3,0,0,'Données projet'!$E$9+1,1))</f>
        <v>321.12254860105566</v>
      </c>
      <c r="T25" s="59">
        <f t="shared" si="34"/>
        <v>270.52026164274571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0</v>
      </c>
      <c r="AB25" s="21">
        <f>EXP(-LN(2)/2)*AB24+(1-EXP(-LN(2)/2))/(LN(2)/2)*V25*Y25*VLOOKUP('Données projet'!$B$9,Paramètres!$A$1:$I$89,3,0)*0.475*44/12</f>
        <v>0</v>
      </c>
      <c r="AC25" s="22">
        <f t="shared" si="3"/>
        <v>0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33</v>
      </c>
      <c r="AI25" s="13">
        <f>IF('Données projet'!$A$62&gt;35,AI24+AH25-AQ24,IF(A25&lt;'Données projet'!$A$62,$AF$205^A25,IF(A25='Données projet'!$A$62,'Données projet'!$B$62,AI24+AH25-AQ24)))</f>
        <v>161</v>
      </c>
      <c r="AJ25" s="13">
        <f>AI25*VLOOKUP('Données projet'!$B$10,Paramètres!$A$1:$I$89,3,0)*VLOOKUP('Données projet'!$B$10,Paramètres!$A$1:$I$89,5,0)</f>
        <v>75.347999999999999</v>
      </c>
      <c r="AK25" s="13">
        <f t="shared" si="35"/>
        <v>20.99581051771704</v>
      </c>
      <c r="AL25" s="20">
        <f t="shared" si="4"/>
        <v>167.79880331835713</v>
      </c>
      <c r="AM25" s="59">
        <f t="shared" si="5"/>
        <v>461.13213665169042</v>
      </c>
      <c r="AN25" s="59">
        <f ca="1">AVERAGE(OFFSET($AM$3,0,0,'Données projet'!$E$10+1,1))-AVERAGE(OFFSET($H$3,0,0,'Données projet'!$E$10+1,1))</f>
        <v>267.78121291362345</v>
      </c>
      <c r="AO25" s="59">
        <f t="shared" si="36"/>
        <v>320.1780590861174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8</v>
      </c>
      <c r="BD25" s="12">
        <f>IF('Données projet'!$A$88&gt;35,BD24+BC25-BL24,IF(A25&lt;'Données projet'!$A$88,$BA$205^A25,IF(A25='Données projet'!$A$88,'Données projet'!$B$88,BD24+BC25-BL24)))</f>
        <v>74</v>
      </c>
      <c r="BE25" s="13">
        <f>BD25*VLOOKUP('Données projet'!$B$11,Paramètres!$A$1:$I$89,3,0)*VLOOKUP('Données projet'!$B$11,Paramètres!$A$1:$I$89,5,0)</f>
        <v>64.646400000000014</v>
      </c>
      <c r="BF25" s="13">
        <f t="shared" si="37"/>
        <v>18.337876695493666</v>
      </c>
      <c r="BG25" s="20">
        <f t="shared" si="7"/>
        <v>144.53094857798482</v>
      </c>
      <c r="BH25" s="59">
        <f t="shared" si="8"/>
        <v>437.86428191131813</v>
      </c>
      <c r="BI25" s="59">
        <f ca="1">AVERAGE(OFFSET($BH$3,0,0,'Données projet'!$E$11+1,1))-AVERAGE(OFFSET($H$3,0,0,'Données projet'!$E$11+1,1))</f>
        <v>212.82470567725971</v>
      </c>
      <c r="BJ25" s="59">
        <f t="shared" si="38"/>
        <v>196.91968622092054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0</v>
      </c>
      <c r="BR25" s="21">
        <f>EXP(-LN(2)/2)*BR24+(1-EXP(-LN(2)/2))/(LN(2)/2)*BL25*BO25*VLOOKUP('Données projet'!$B$11,Paramètres!$A$1:$I$89,3,0)*0.475*44/12</f>
        <v>0</v>
      </c>
      <c r="BS25" s="22">
        <f t="shared" si="9"/>
        <v>0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2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10.763999999999999</v>
      </c>
      <c r="D26" s="11">
        <f t="shared" si="32"/>
        <v>3.76187201923933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112.12953839412818</v>
      </c>
      <c r="H26" s="67">
        <f t="shared" si="1"/>
        <v>318.6325604335085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26.4</v>
      </c>
      <c r="N26" s="13">
        <f>IF('Données projet'!$A$36&gt;35,N25+M26-V25,IF(A26&lt;'Données projet'!$A$36,$K$205^A26,IF(A26='Données projet'!$A$36,'Données projet'!$B$36,N25+M26-V25)))</f>
        <v>217.20000000000002</v>
      </c>
      <c r="O26" s="13">
        <f>N26*VLOOKUP('Données projet'!$B$9,Paramètres!$A$1:$I$89,3,0)*VLOOKUP('Données projet'!$B$9,Paramètres!$A$1:$I$89,5,0)</f>
        <v>87.531600000000012</v>
      </c>
      <c r="P26" s="13">
        <f t="shared" si="33"/>
        <v>23.968946244214525</v>
      </c>
      <c r="Q26" s="20">
        <f t="shared" si="2"/>
        <v>194.19678470867362</v>
      </c>
      <c r="R26" s="59">
        <f t="shared" si="0"/>
        <v>487.53011804200696</v>
      </c>
      <c r="S26" s="59">
        <f ca="1">AVERAGE(OFFSET($R$3,0,0,'Données projet'!$E$9+1,1))-AVERAGE(OFFSET($H$3,0,0,'Données projet'!$E$9+1,1))</f>
        <v>321.12254860105566</v>
      </c>
      <c r="T26" s="59">
        <f t="shared" si="34"/>
        <v>270.52026164274571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0</v>
      </c>
      <c r="AB26" s="21">
        <f>EXP(-LN(2)/2)*AB25+(1-EXP(-LN(2)/2))/(LN(2)/2)*V26*Y26*VLOOKUP('Données projet'!$B$9,Paramètres!$A$1:$I$89,3,0)*0.475*44/12</f>
        <v>0</v>
      </c>
      <c r="AC26" s="22">
        <f t="shared" si="3"/>
        <v>0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33</v>
      </c>
      <c r="AI26" s="13">
        <f>IF('Données projet'!$A$62&gt;35,AI25+AH26-AQ25,IF(A26&lt;'Données projet'!$A$62,$AF$205^A26,IF(A26='Données projet'!$A$62,'Données projet'!$B$62,AI25+AH26-AQ25)))</f>
        <v>194</v>
      </c>
      <c r="AJ26" s="13">
        <f>AI26*VLOOKUP('Données projet'!$B$10,Paramètres!$A$1:$I$89,3,0)*VLOOKUP('Données projet'!$B$10,Paramètres!$A$1:$I$89,5,0)</f>
        <v>90.792000000000002</v>
      </c>
      <c r="AK26" s="13">
        <f t="shared" si="35"/>
        <v>24.756138813110173</v>
      </c>
      <c r="AL26" s="20">
        <f t="shared" si="4"/>
        <v>201.24634176616689</v>
      </c>
      <c r="AM26" s="59">
        <f t="shared" si="5"/>
        <v>494.57967509950021</v>
      </c>
      <c r="AN26" s="59">
        <f ca="1">AVERAGE(OFFSET($AM$3,0,0,'Données projet'!$E$10+1,1))-AVERAGE(OFFSET($H$3,0,0,'Données projet'!$E$10+1,1))</f>
        <v>267.78121291362345</v>
      </c>
      <c r="AO26" s="59">
        <f t="shared" si="36"/>
        <v>320.1780590861174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8</v>
      </c>
      <c r="BD26" s="12">
        <f>IF('Données projet'!$A$88&gt;35,BD25+BC26-BL25,IF(A26&lt;'Données projet'!$A$88,$BA$205^A26,IF(A26='Données projet'!$A$88,'Données projet'!$B$88,BD25+BC26-BL25)))</f>
        <v>82</v>
      </c>
      <c r="BE26" s="13">
        <f>BD26*VLOOKUP('Données projet'!$B$11,Paramètres!$A$1:$I$89,3,0)*VLOOKUP('Données projet'!$B$11,Paramètres!$A$1:$I$89,5,0)</f>
        <v>71.635200000000012</v>
      </c>
      <c r="BF26" s="13">
        <f t="shared" si="37"/>
        <v>20.078988020012648</v>
      </c>
      <c r="BG26" s="20">
        <f t="shared" si="7"/>
        <v>159.73554413485536</v>
      </c>
      <c r="BH26" s="59">
        <f t="shared" si="8"/>
        <v>453.0688774681887</v>
      </c>
      <c r="BI26" s="59">
        <f ca="1">AVERAGE(OFFSET($BH$3,0,0,'Données projet'!$E$11+1,1))-AVERAGE(OFFSET($H$3,0,0,'Données projet'!$E$11+1,1))</f>
        <v>212.82470567725971</v>
      </c>
      <c r="BJ26" s="59">
        <f t="shared" si="38"/>
        <v>196.91968622092054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0</v>
      </c>
      <c r="BR26" s="21">
        <f>EXP(-LN(2)/2)*BR25+(1-EXP(-LN(2)/2))/(LN(2)/2)*BL26*BO26*VLOOKUP('Données projet'!$B$11,Paramètres!$A$1:$I$89,3,0)*0.475*44/12</f>
        <v>0</v>
      </c>
      <c r="BS26" s="22">
        <f t="shared" si="9"/>
        <v>0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2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11.231999999999999</v>
      </c>
      <c r="D27" s="11">
        <f t="shared" si="32"/>
        <v>3.9060334113059061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116.85499475394033</v>
      </c>
      <c r="H27" s="67">
        <f t="shared" si="1"/>
        <v>319.69874152469112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26.4</v>
      </c>
      <c r="N27" s="13">
        <f>IF('Données projet'!$A$36&gt;35,N26+M27-V26,IF(A27&lt;'Données projet'!$A$36,$K$205^A27,IF(A27='Données projet'!$A$36,'Données projet'!$B$36,N26+M27-V26)))</f>
        <v>243.60000000000002</v>
      </c>
      <c r="O27" s="13">
        <f>N27*VLOOKUP('Données projet'!$B$9,Paramètres!$A$1:$I$89,3,0)*VLOOKUP('Données projet'!$B$9,Paramètres!$A$1:$I$89,5,0)</f>
        <v>98.170800000000014</v>
      </c>
      <c r="P27" s="13">
        <f t="shared" si="33"/>
        <v>26.525748752747578</v>
      </c>
      <c r="Q27" s="20">
        <f t="shared" si="2"/>
        <v>217.17982241103539</v>
      </c>
      <c r="R27" s="59">
        <f t="shared" si="0"/>
        <v>510.5131557443687</v>
      </c>
      <c r="S27" s="59">
        <f ca="1">AVERAGE(OFFSET($R$3,0,0,'Données projet'!$E$9+1,1))-AVERAGE(OFFSET($H$3,0,0,'Données projet'!$E$9+1,1))</f>
        <v>321.12254860105566</v>
      </c>
      <c r="T27" s="59">
        <f t="shared" si="34"/>
        <v>270.52026164274571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0</v>
      </c>
      <c r="AB27" s="21">
        <f>EXP(-LN(2)/2)*AB26+(1-EXP(-LN(2)/2))/(LN(2)/2)*V27*Y27*VLOOKUP('Données projet'!$B$9,Paramètres!$A$1:$I$89,3,0)*0.475*44/12</f>
        <v>0</v>
      </c>
      <c r="AC27" s="22">
        <f t="shared" si="3"/>
        <v>0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>
        <f>VLOOKUP(A27,'Données projet'!$A$61:$I$81,2,0)</f>
        <v>227</v>
      </c>
      <c r="AG27" s="12">
        <f>VLOOKUP(A27,'Données projet'!$A$61:$I$81,9,0)</f>
        <v>33</v>
      </c>
      <c r="AH27" s="12">
        <f t="array" ref="AH27">INDEX(AG:AG,MIN(IF(ISNUMBER(AG27:AG223),ROW(AG27:AG223),"")))</f>
        <v>33</v>
      </c>
      <c r="AI27" s="13">
        <f>IF('Données projet'!$A$62&gt;35,AI26+AH27-AQ26,IF(A27&lt;'Données projet'!$A$62,$AF$205^A27,IF(A27='Données projet'!$A$62,'Données projet'!$B$62,AI26+AH27-AQ26)))</f>
        <v>227</v>
      </c>
      <c r="AJ27" s="13">
        <f>AI27*VLOOKUP('Données projet'!$B$10,Paramètres!$A$1:$I$89,3,0)*VLOOKUP('Données projet'!$B$10,Paramètres!$A$1:$I$89,5,0)</f>
        <v>106.236</v>
      </c>
      <c r="AK27" s="13">
        <f t="shared" si="35"/>
        <v>28.442367793282877</v>
      </c>
      <c r="AL27" s="20">
        <f t="shared" si="4"/>
        <v>234.56482390663436</v>
      </c>
      <c r="AM27" s="59">
        <f t="shared" si="5"/>
        <v>527.89815723996765</v>
      </c>
      <c r="AN27" s="59">
        <f ca="1">AVERAGE(OFFSET($AM$3,0,0,'Données projet'!$E$10+1,1))-AVERAGE(OFFSET($H$3,0,0,'Données projet'!$E$10+1,1))</f>
        <v>267.78121291362345</v>
      </c>
      <c r="AO27" s="59">
        <f t="shared" si="36"/>
        <v>320.1780590861174</v>
      </c>
      <c r="AP27" s="15">
        <f>IF(ISNA(VLOOKUP(A27,'Données projet'!$A$61:$I$81,3,0)),0,VLOOKUP(A27,'Données projet'!$A$61:$I$81,3,0))</f>
        <v>2</v>
      </c>
      <c r="AQ27" s="15">
        <f>IF(ISNA(VLOOKUP(A27,'Données projet'!$A$61:$I$81,4,0)),0,VLOOKUP(A27,'Données projet'!$A$61:$I$81,4,0))</f>
        <v>58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0.11000000000000001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3.945313604830806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3.945313604830806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8</v>
      </c>
      <c r="BD27" s="12">
        <f>IF('Données projet'!$A$88&gt;35,BD26+BC27-BL26,IF(A27&lt;'Données projet'!$A$88,$BA$205^A27,IF(A27='Données projet'!$A$88,'Données projet'!$B$88,BD26+BC27-BL26)))</f>
        <v>90</v>
      </c>
      <c r="BE27" s="13">
        <f>BD27*VLOOKUP('Données projet'!$B$11,Paramètres!$A$1:$I$89,3,0)*VLOOKUP('Données projet'!$B$11,Paramètres!$A$1:$I$89,5,0)</f>
        <v>78.624000000000009</v>
      </c>
      <c r="BF27" s="13">
        <f t="shared" si="37"/>
        <v>21.800406010684462</v>
      </c>
      <c r="BG27" s="20">
        <f t="shared" si="7"/>
        <v>174.90584046860877</v>
      </c>
      <c r="BH27" s="59">
        <f t="shared" si="8"/>
        <v>468.23917380194212</v>
      </c>
      <c r="BI27" s="59">
        <f ca="1">AVERAGE(OFFSET($BH$3,0,0,'Données projet'!$E$11+1,1))-AVERAGE(OFFSET($H$3,0,0,'Données projet'!$E$11+1,1))</f>
        <v>212.82470567725971</v>
      </c>
      <c r="BJ27" s="59">
        <f t="shared" si="38"/>
        <v>196.91968622092054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0</v>
      </c>
      <c r="BR27" s="21">
        <f>EXP(-LN(2)/2)*BR26+(1-EXP(-LN(2)/2))/(LN(2)/2)*BL27*BO27*VLOOKUP('Données projet'!$B$11,Paramètres!$A$1:$I$89,3,0)*0.475*44/12</f>
        <v>0</v>
      </c>
      <c r="BS27" s="22">
        <f t="shared" si="9"/>
        <v>0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2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11.7</v>
      </c>
      <c r="D28" s="11">
        <f t="shared" si="32"/>
        <v>4.0494971001980291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121.57506533486197</v>
      </c>
      <c r="H28" s="67">
        <f t="shared" si="1"/>
        <v>320.76370744951157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270</v>
      </c>
      <c r="L28" s="12">
        <f>VLOOKUP(A28,'Données projet'!$A$35:$I$55,9,0)</f>
        <v>26.4</v>
      </c>
      <c r="M28" s="12">
        <f t="array" ref="M28">INDEX(L:L,MIN(IF(ISNUMBER(L28:L224),ROW(L28:L224),"")))</f>
        <v>26.4</v>
      </c>
      <c r="N28" s="13">
        <f>IF('Données projet'!$A$36&gt;35,N27+M28-V27,IF(A28&lt;'Données projet'!$A$36,$K$205^A28,IF(A28='Données projet'!$A$36,'Données projet'!$B$36,N27+M28-V27)))</f>
        <v>270</v>
      </c>
      <c r="O28" s="13">
        <f>N28*VLOOKUP('Données projet'!$B$9,Paramètres!$A$1:$I$89,3,0)*VLOOKUP('Données projet'!$B$9,Paramètres!$A$1:$I$89,5,0)</f>
        <v>108.81</v>
      </c>
      <c r="P28" s="13">
        <f t="shared" si="33"/>
        <v>29.05043404802263</v>
      </c>
      <c r="Q28" s="20">
        <f t="shared" si="2"/>
        <v>240.10692263363936</v>
      </c>
      <c r="R28" s="59">
        <f t="shared" si="0"/>
        <v>533.4402559669727</v>
      </c>
      <c r="S28" s="59">
        <f ca="1">AVERAGE(OFFSET($R$3,0,0,'Données projet'!$E$9+1,1))-AVERAGE(OFFSET($H$3,0,0,'Données projet'!$E$9+1,1))</f>
        <v>321.12254860105566</v>
      </c>
      <c r="T28" s="59">
        <f t="shared" si="34"/>
        <v>270.52026164274571</v>
      </c>
      <c r="U28" s="15">
        <f>IF(ISNA(VLOOKUP(A28,'Données projet'!$A$35:$I$55,3,0)),0,VLOOKUP(A28,'Données projet'!$A$35:$I$55,3,0))</f>
        <v>2</v>
      </c>
      <c r="V28" s="15">
        <f>IF(ISNA(VLOOKUP(A28,'Données projet'!$A$35:$I$55,4,0)),0,VLOOKUP(A28,'Données projet'!$A$35:$I$55,4,0))</f>
        <v>70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0.16500000000000001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6.15038112247331</v>
      </c>
      <c r="AB28" s="21">
        <f>EXP(-LN(2)/2)*AB27+(1-EXP(-LN(2)/2))/(LN(2)/2)*V28*Y28*VLOOKUP('Données projet'!$B$9,Paramètres!$A$1:$I$89,3,0)*0.475*44/12</f>
        <v>0</v>
      </c>
      <c r="AC28" s="22">
        <f t="shared" si="3"/>
        <v>6.15038112247331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39.5</v>
      </c>
      <c r="AI28" s="13">
        <f>IF('Données projet'!$A$62&gt;35,AI27+AH28-AQ27,IF(A28&lt;'Données projet'!$A$62,$AF$205^A28,IF(A28='Données projet'!$A$62,'Données projet'!$B$62,AI27+AH28-AQ27)))</f>
        <v>208.5</v>
      </c>
      <c r="AJ28" s="13">
        <f>AI28*VLOOKUP('Données projet'!$B$10,Paramètres!$A$1:$I$89,3,0)*VLOOKUP('Données projet'!$B$10,Paramètres!$A$1:$I$89,5,0)</f>
        <v>97.578000000000003</v>
      </c>
      <c r="AK28" s="13">
        <f t="shared" si="35"/>
        <v>26.384168667795084</v>
      </c>
      <c r="AL28" s="20">
        <f t="shared" si="4"/>
        <v>215.90077709640977</v>
      </c>
      <c r="AM28" s="59">
        <f t="shared" si="5"/>
        <v>509.23411042974305</v>
      </c>
      <c r="AN28" s="59">
        <f ca="1">AVERAGE(OFFSET($AM$3,0,0,'Données projet'!$E$10+1,1))-AVERAGE(OFFSET($H$3,0,0,'Données projet'!$E$10+1,1))</f>
        <v>267.78121291362345</v>
      </c>
      <c r="AO28" s="59">
        <f t="shared" si="36"/>
        <v>320.1780590861174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3.837428796831682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3.837428796831682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>
        <f>VLOOKUP(A28,'Données projet'!$A$87:$I$107,2,0)</f>
        <v>98</v>
      </c>
      <c r="BB28" s="12">
        <f>VLOOKUP(A28,'Données projet'!$A$87:$I$107,9,0)</f>
        <v>8</v>
      </c>
      <c r="BC28" s="12">
        <f t="array" ref="BC28">INDEX(BB:BB,MIN(IF(ISNUMBER(BB28:BB224),ROW(BB28:BB224),"")))</f>
        <v>8</v>
      </c>
      <c r="BD28" s="12">
        <f>IF('Données projet'!$A$88&gt;35,BD27+BC28-BL27,IF(A28&lt;'Données projet'!$A$88,$BA$205^A28,IF(A28='Données projet'!$A$88,'Données projet'!$B$88,BD27+BC28-BL27)))</f>
        <v>98</v>
      </c>
      <c r="BE28" s="13">
        <f>BD28*VLOOKUP('Données projet'!$B$11,Paramètres!$A$1:$I$89,3,0)*VLOOKUP('Données projet'!$B$11,Paramètres!$A$1:$I$89,5,0)</f>
        <v>85.612800000000007</v>
      </c>
      <c r="BF28" s="13">
        <f t="shared" si="37"/>
        <v>23.504080242391282</v>
      </c>
      <c r="BG28" s="20">
        <f t="shared" si="7"/>
        <v>190.04523308883151</v>
      </c>
      <c r="BH28" s="59">
        <f t="shared" si="8"/>
        <v>483.37856642216479</v>
      </c>
      <c r="BI28" s="59">
        <f ca="1">AVERAGE(OFFSET($BH$3,0,0,'Données projet'!$E$11+1,1))-AVERAGE(OFFSET($H$3,0,0,'Données projet'!$E$11+1,1))</f>
        <v>212.82470567725971</v>
      </c>
      <c r="BJ28" s="59">
        <f t="shared" si="38"/>
        <v>196.91968622092054</v>
      </c>
      <c r="BK28" s="15">
        <f>IF(ISNA(VLOOKUP(A28,'Données projet'!$A$87:$I$107,3,0)),0,VLOOKUP(A28,'Données projet'!$A$87:$I$107,3,0))</f>
        <v>2</v>
      </c>
      <c r="BL28" s="15">
        <f>IF(ISNA(VLOOKUP(A28,'Données projet'!$A$87:$I$107,4,0)),0,VLOOKUP(A28,'Données projet'!$A$87:$I$107,4,0))</f>
        <v>19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0</v>
      </c>
      <c r="BR28" s="21">
        <f>EXP(-LN(2)/2)*BR27+(1-EXP(-LN(2)/2))/(LN(2)/2)*BL28*BO28*VLOOKUP('Données projet'!$B$11,Paramètres!$A$1:$I$89,3,0)*0.475*44/12</f>
        <v>0</v>
      </c>
      <c r="BS28" s="22">
        <f t="shared" si="9"/>
        <v>0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2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12.167999999999999</v>
      </c>
      <c r="D29" s="11">
        <f t="shared" si="32"/>
        <v>4.1922941870296242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126.28999021566726</v>
      </c>
      <c r="H29" s="67">
        <f t="shared" si="1"/>
        <v>321.82751237574325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28.6</v>
      </c>
      <c r="N29" s="13">
        <f>IF('Données projet'!$A$36&gt;35,N28+M29-V28,IF(A29&lt;'Données projet'!$A$36,$K$205^A29,IF(A29='Données projet'!$A$36,'Données projet'!$B$36,N28+M29-V28)))</f>
        <v>228.60000000000002</v>
      </c>
      <c r="O29" s="13">
        <f>N29*VLOOKUP('Données projet'!$B$9,Paramètres!$A$1:$I$89,3,0)*VLOOKUP('Données projet'!$B$9,Paramètres!$A$1:$I$89,5,0)</f>
        <v>92.125799999999998</v>
      </c>
      <c r="P29" s="13">
        <f t="shared" si="33"/>
        <v>25.07721809422981</v>
      </c>
      <c r="Q29" s="20">
        <f t="shared" si="2"/>
        <v>204.12858984745026</v>
      </c>
      <c r="R29" s="59">
        <f t="shared" si="0"/>
        <v>497.46192318078357</v>
      </c>
      <c r="S29" s="59">
        <f ca="1">AVERAGE(OFFSET($R$3,0,0,'Données projet'!$E$9+1,1))-AVERAGE(OFFSET($H$3,0,0,'Données projet'!$E$9+1,1))</f>
        <v>321.12254860105566</v>
      </c>
      <c r="T29" s="59">
        <f t="shared" si="34"/>
        <v>270.52026164274571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5.9821986272447907</v>
      </c>
      <c r="AB29" s="21">
        <f>EXP(-LN(2)/2)*AB28+(1-EXP(-LN(2)/2))/(LN(2)/2)*V29*Y29*VLOOKUP('Données projet'!$B$9,Paramètres!$A$1:$I$89,3,0)*0.475*44/12</f>
        <v>0</v>
      </c>
      <c r="AC29" s="22">
        <f t="shared" si="3"/>
        <v>5.9821986272447907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39.5</v>
      </c>
      <c r="AI29" s="13">
        <f>IF('Données projet'!$A$62&gt;35,AI28+AH29-AQ28,IF(A29&lt;'Données projet'!$A$62,$AF$205^A29,IF(A29='Données projet'!$A$62,'Données projet'!$B$62,AI28+AH29-AQ28)))</f>
        <v>248</v>
      </c>
      <c r="AJ29" s="13">
        <f>AI29*VLOOKUP('Données projet'!$B$10,Paramètres!$A$1:$I$89,3,0)*VLOOKUP('Données projet'!$B$10,Paramètres!$A$1:$I$89,5,0)</f>
        <v>116.06400000000001</v>
      </c>
      <c r="AK29" s="13">
        <f t="shared" si="35"/>
        <v>30.755217722036068</v>
      </c>
      <c r="AL29" s="20">
        <f t="shared" si="4"/>
        <v>255.71013753254616</v>
      </c>
      <c r="AM29" s="59">
        <f t="shared" si="5"/>
        <v>549.0434708658795</v>
      </c>
      <c r="AN29" s="59">
        <f ca="1">AVERAGE(OFFSET($AM$3,0,0,'Données projet'!$E$10+1,1))-AVERAGE(OFFSET($H$3,0,0,'Données projet'!$E$10+1,1))</f>
        <v>267.78121291362345</v>
      </c>
      <c r="AO29" s="59">
        <f t="shared" si="36"/>
        <v>320.1780590861174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3.7324941045807098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3.7324941045807098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8</v>
      </c>
      <c r="BD29" s="12">
        <f>IF('Données projet'!$A$88&gt;35,BD28+BC29-BL28,IF(A29&lt;'Données projet'!$A$88,$BA$205^A29,IF(A29='Données projet'!$A$88,'Données projet'!$B$88,BD28+BC29-BL28)))</f>
        <v>87</v>
      </c>
      <c r="BE29" s="13">
        <f>BD29*VLOOKUP('Données projet'!$B$11,Paramètres!$A$1:$I$89,3,0)*VLOOKUP('Données projet'!$B$11,Paramètres!$A$1:$I$89,5,0)</f>
        <v>76.003200000000007</v>
      </c>
      <c r="BF29" s="13">
        <f t="shared" si="37"/>
        <v>21.157049992000456</v>
      </c>
      <c r="BG29" s="20">
        <f t="shared" si="7"/>
        <v>169.22076873606747</v>
      </c>
      <c r="BH29" s="59">
        <f t="shared" si="8"/>
        <v>462.55410206940076</v>
      </c>
      <c r="BI29" s="59">
        <f ca="1">AVERAGE(OFFSET($BH$3,0,0,'Données projet'!$E$11+1,1))-AVERAGE(OFFSET($H$3,0,0,'Données projet'!$E$11+1,1))</f>
        <v>212.82470567725971</v>
      </c>
      <c r="BJ29" s="59">
        <f t="shared" si="38"/>
        <v>196.91968622092054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0</v>
      </c>
      <c r="BR29" s="21">
        <f>EXP(-LN(2)/2)*BR28+(1-EXP(-LN(2)/2))/(LN(2)/2)*BL29*BO29*VLOOKUP('Données projet'!$B$11,Paramètres!$A$1:$I$89,3,0)*0.475*44/12</f>
        <v>0</v>
      </c>
      <c r="BS29" s="22">
        <f t="shared" si="9"/>
        <v>0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2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12.635999999999999</v>
      </c>
      <c r="D30" s="11">
        <f t="shared" si="32"/>
        <v>4.3344532450369764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130.99998996168895</v>
      </c>
      <c r="H30" s="67">
        <f t="shared" si="1"/>
        <v>322.8902060684394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28.6</v>
      </c>
      <c r="N30" s="13">
        <f>IF('Données projet'!$A$36&gt;35,N29+M30-V29,IF(A30&lt;'Données projet'!$A$36,$K$205^A30,IF(A30='Données projet'!$A$36,'Données projet'!$B$36,N29+M30-V29)))</f>
        <v>257.20000000000005</v>
      </c>
      <c r="O30" s="13">
        <f>N30*VLOOKUP('Données projet'!$B$9,Paramètres!$A$1:$I$89,3,0)*VLOOKUP('Données projet'!$B$9,Paramètres!$A$1:$I$89,5,0)</f>
        <v>103.65160000000002</v>
      </c>
      <c r="P30" s="13">
        <f t="shared" si="33"/>
        <v>27.830116712085445</v>
      </c>
      <c r="Q30" s="20">
        <f t="shared" si="2"/>
        <v>228.99732327354886</v>
      </c>
      <c r="R30" s="59">
        <f t="shared" si="0"/>
        <v>522.33065660688214</v>
      </c>
      <c r="S30" s="59">
        <f ca="1">AVERAGE(OFFSET($R$3,0,0,'Données projet'!$E$9+1,1))-AVERAGE(OFFSET($H$3,0,0,'Données projet'!$E$9+1,1))</f>
        <v>321.12254860105566</v>
      </c>
      <c r="T30" s="59">
        <f t="shared" si="34"/>
        <v>270.52026164274571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5.8186150911926289</v>
      </c>
      <c r="AB30" s="21">
        <f>EXP(-LN(2)/2)*AB29+(1-EXP(-LN(2)/2))/(LN(2)/2)*V30*Y30*VLOOKUP('Données projet'!$B$9,Paramètres!$A$1:$I$89,3,0)*0.475*44/12</f>
        <v>0</v>
      </c>
      <c r="AC30" s="22">
        <f t="shared" si="3"/>
        <v>5.8186150911926289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39.5</v>
      </c>
      <c r="AI30" s="13">
        <f>IF('Données projet'!$A$62&gt;35,AI29+AH30-AQ29,IF(A30&lt;'Données projet'!$A$62,$AF$205^A30,IF(A30='Données projet'!$A$62,'Données projet'!$B$62,AI29+AH30-AQ29)))</f>
        <v>287.5</v>
      </c>
      <c r="AJ30" s="13">
        <f>AI30*VLOOKUP('Données projet'!$B$10,Paramètres!$A$1:$I$89,3,0)*VLOOKUP('Données projet'!$B$10,Paramètres!$A$1:$I$89,5,0)</f>
        <v>134.55000000000001</v>
      </c>
      <c r="AK30" s="13">
        <f t="shared" si="35"/>
        <v>35.045616486142094</v>
      </c>
      <c r="AL30" s="20">
        <f t="shared" si="4"/>
        <v>295.37903204669743</v>
      </c>
      <c r="AM30" s="59">
        <f t="shared" si="5"/>
        <v>588.71236538003075</v>
      </c>
      <c r="AN30" s="59">
        <f ca="1">AVERAGE(OFFSET($AM$3,0,0,'Données projet'!$E$10+1,1))-AVERAGE(OFFSET($H$3,0,0,'Données projet'!$E$10+1,1))</f>
        <v>267.78121291362345</v>
      </c>
      <c r="AO30" s="59">
        <f t="shared" si="36"/>
        <v>320.1780590861174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3.6304288570076162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3.6304288570076162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8</v>
      </c>
      <c r="BD30" s="12">
        <f>IF('Données projet'!$A$88&gt;35,BD29+BC30-BL29,IF(A30&lt;'Données projet'!$A$88,$BA$205^A30,IF(A30='Données projet'!$A$88,'Données projet'!$B$88,BD29+BC30-BL29)))</f>
        <v>95</v>
      </c>
      <c r="BE30" s="13">
        <f>BD30*VLOOKUP('Données projet'!$B$11,Paramètres!$A$1:$I$89,3,0)*VLOOKUP('Données projet'!$B$11,Paramètres!$A$1:$I$89,5,0)</f>
        <v>82.992000000000004</v>
      </c>
      <c r="BF30" s="13">
        <f t="shared" si="37"/>
        <v>22.867173045817324</v>
      </c>
      <c r="BG30" s="20">
        <f t="shared" si="7"/>
        <v>184.37139305479852</v>
      </c>
      <c r="BH30" s="59">
        <f t="shared" si="8"/>
        <v>477.7047263881318</v>
      </c>
      <c r="BI30" s="59">
        <f ca="1">AVERAGE(OFFSET($BH$3,0,0,'Données projet'!$E$11+1,1))-AVERAGE(OFFSET($H$3,0,0,'Données projet'!$E$11+1,1))</f>
        <v>212.82470567725971</v>
      </c>
      <c r="BJ30" s="59">
        <f t="shared" si="38"/>
        <v>196.91968622092054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0</v>
      </c>
      <c r="BR30" s="21">
        <f>EXP(-LN(2)/2)*BR29+(1-EXP(-LN(2)/2))/(LN(2)/2)*BL30*BO30*VLOOKUP('Données projet'!$B$11,Paramètres!$A$1:$I$89,3,0)*0.475*44/12</f>
        <v>0</v>
      </c>
      <c r="BS30" s="22">
        <f t="shared" si="9"/>
        <v>0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2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13.103999999999999</v>
      </c>
      <c r="D31" s="11">
        <f t="shared" si="32"/>
        <v>4.4760006109979793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135.70526787437038</v>
      </c>
      <c r="H31" s="67">
        <f t="shared" si="1"/>
        <v>323.95183439748814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28.6</v>
      </c>
      <c r="N31" s="13">
        <f>IF('Données projet'!$A$36&gt;35,N30+M31-V30,IF(A31&lt;'Données projet'!$A$36,$K$205^A31,IF(A31='Données projet'!$A$36,'Données projet'!$B$36,N30+M31-V30)))</f>
        <v>285.80000000000007</v>
      </c>
      <c r="O31" s="13">
        <f>N31*VLOOKUP('Données projet'!$B$9,Paramètres!$A$1:$I$89,3,0)*VLOOKUP('Données projet'!$B$9,Paramètres!$A$1:$I$89,5,0)</f>
        <v>115.17740000000003</v>
      </c>
      <c r="P31" s="13">
        <f t="shared" si="33"/>
        <v>30.547535991421519</v>
      </c>
      <c r="Q31" s="20">
        <f t="shared" si="2"/>
        <v>253.80426351839253</v>
      </c>
      <c r="R31" s="59">
        <f t="shared" si="0"/>
        <v>547.1375968517259</v>
      </c>
      <c r="S31" s="59">
        <f ca="1">AVERAGE(OFFSET($R$3,0,0,'Données projet'!$E$9+1,1))-AVERAGE(OFFSET($H$3,0,0,'Données projet'!$E$9+1,1))</f>
        <v>321.12254860105566</v>
      </c>
      <c r="T31" s="59">
        <f t="shared" si="34"/>
        <v>270.52026164274571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5.6595047555362976</v>
      </c>
      <c r="AB31" s="21">
        <f>EXP(-LN(2)/2)*AB30+(1-EXP(-LN(2)/2))/(LN(2)/2)*V31*Y31*VLOOKUP('Données projet'!$B$9,Paramètres!$A$1:$I$89,3,0)*0.475*44/12</f>
        <v>0</v>
      </c>
      <c r="AC31" s="22">
        <f t="shared" si="3"/>
        <v>5.6595047555362976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>
        <f>VLOOKUP(A31,'Données projet'!$A$61:$I$81,2,0)</f>
        <v>327</v>
      </c>
      <c r="AG31" s="12">
        <f>VLOOKUP(A31,'Données projet'!$A$61:$I$81,9,0)</f>
        <v>39.5</v>
      </c>
      <c r="AH31" s="12">
        <f t="array" ref="AH31">INDEX(AG:AG,MIN(IF(ISNUMBER(AG31:AG227),ROW(AG31:AG227),"")))</f>
        <v>39.5</v>
      </c>
      <c r="AI31" s="13">
        <f>IF('Données projet'!$A$62&gt;35,AI30+AH31-AQ30,IF(A31&lt;'Données projet'!$A$62,$AF$205^A31,IF(A31='Données projet'!$A$62,'Données projet'!$B$62,AI30+AH31-AQ30)))</f>
        <v>327</v>
      </c>
      <c r="AJ31" s="13">
        <f>AI31*VLOOKUP('Données projet'!$B$10,Paramètres!$A$1:$I$89,3,0)*VLOOKUP('Données projet'!$B$10,Paramètres!$A$1:$I$89,5,0)</f>
        <v>153.036</v>
      </c>
      <c r="AK31" s="13">
        <f t="shared" si="35"/>
        <v>39.26772084237529</v>
      </c>
      <c r="AL31" s="20">
        <f t="shared" si="4"/>
        <v>334.92898046713697</v>
      </c>
      <c r="AM31" s="59">
        <f t="shared" si="5"/>
        <v>628.26231380047034</v>
      </c>
      <c r="AN31" s="59">
        <f ca="1">AVERAGE(OFFSET($AM$3,0,0,'Données projet'!$E$10+1,1))-AVERAGE(OFFSET($H$3,0,0,'Données projet'!$E$10+1,1))</f>
        <v>267.78121291362345</v>
      </c>
      <c r="AO31" s="59">
        <f t="shared" si="36"/>
        <v>320.1780590861174</v>
      </c>
      <c r="AP31" s="15">
        <f>IF(ISNA(VLOOKUP(A31,'Données projet'!$A$61:$I$81,3,0)),0,VLOOKUP(A31,'Données projet'!$A$61:$I$81,3,0))</f>
        <v>3</v>
      </c>
      <c r="AQ31" s="15">
        <f>IF(ISNA(VLOOKUP(A31,'Données projet'!$A$61:$I$81,4,0)),0,VLOOKUP(A31,'Données projet'!$A$61:$I$81,4,0))</f>
        <v>66</v>
      </c>
      <c r="AR31" s="16">
        <f>IF(ISNA(VLOOKUP(A31,'Données projet'!$A$61:$I$81,5,0)),0%,VLOOKUP(A31,'Données projet'!$A$61:$I$81,5,0)*VLOOKUP('Données projet'!$B$10,Paramètres!$A$1:$I$89,7,0))</f>
        <v>5.5000000000000007E-2</v>
      </c>
      <c r="AS31" s="16">
        <f>IF(ISNA(VLOOKUP(A31,'Données projet'!$A$61:$I$81,6,0)),0%,VLOOKUP(A31,'Données projet'!$A$61:$I$81,6,0)*VLOOKUP('Données projet'!$B$10,Paramètres!$A$1:$I$89,7,0))</f>
        <v>0.16500000000000001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2.2536207594789084</v>
      </c>
      <c r="AV31" s="21">
        <f>EXP(-LN(2)/25)*AV30+(1-EXP(-LN(2)/25))/(LN(2)/25)*Calculateur!AQ31*Calculateur!AS31*VLOOKUP('Données projet'!$B$10,Paramètres!$A$1:$I$89,3,0)*0.475*44/12</f>
        <v>10.265396776552816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12.519017536031724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8</v>
      </c>
      <c r="BD31" s="12">
        <f>IF('Données projet'!$A$88&gt;35,BD30+BC31-BL30,IF(A31&lt;'Données projet'!$A$88,$BA$205^A31,IF(A31='Données projet'!$A$88,'Données projet'!$B$88,BD30+BC31-BL30)))</f>
        <v>103</v>
      </c>
      <c r="BE31" s="13">
        <f>BD31*VLOOKUP('Données projet'!$B$11,Paramètres!$A$1:$I$89,3,0)*VLOOKUP('Données projet'!$B$11,Paramètres!$A$1:$I$89,5,0)</f>
        <v>89.980800000000016</v>
      </c>
      <c r="BF31" s="13">
        <f t="shared" si="37"/>
        <v>24.560594358746648</v>
      </c>
      <c r="BG31" s="20">
        <f t="shared" si="7"/>
        <v>199.49292850815041</v>
      </c>
      <c r="BH31" s="59">
        <f t="shared" si="8"/>
        <v>492.82626184148376</v>
      </c>
      <c r="BI31" s="59">
        <f ca="1">AVERAGE(OFFSET($BH$3,0,0,'Données projet'!$E$11+1,1))-AVERAGE(OFFSET($H$3,0,0,'Données projet'!$E$11+1,1))</f>
        <v>212.82470567725971</v>
      </c>
      <c r="BJ31" s="59">
        <f t="shared" si="38"/>
        <v>196.91968622092054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0</v>
      </c>
      <c r="BR31" s="21">
        <f>EXP(-LN(2)/2)*BR30+(1-EXP(-LN(2)/2))/(LN(2)/2)*BL31*BO31*VLOOKUP('Données projet'!$B$11,Paramètres!$A$1:$I$89,3,0)*0.475*44/12</f>
        <v>0</v>
      </c>
      <c r="BS31" s="22">
        <f t="shared" si="9"/>
        <v>0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2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13.571999999999999</v>
      </c>
      <c r="D32" s="11">
        <f t="shared" si="32"/>
        <v>4.6169606338501863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140.40601191042251</v>
      </c>
      <c r="H32" s="67">
        <f t="shared" si="1"/>
        <v>325.01243977062239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28.6</v>
      </c>
      <c r="N32" s="13">
        <f>IF('Données projet'!$A$36&gt;35,N31+M32-V31,IF(A32&lt;'Données projet'!$A$36,$K$205^A32,IF(A32='Données projet'!$A$36,'Données projet'!$B$36,N31+M32-V31)))</f>
        <v>314.40000000000009</v>
      </c>
      <c r="O32" s="13">
        <f>N32*VLOOKUP('Données projet'!$B$9,Paramètres!$A$1:$I$89,3,0)*VLOOKUP('Données projet'!$B$9,Paramètres!$A$1:$I$89,5,0)</f>
        <v>126.70320000000004</v>
      </c>
      <c r="P32" s="13">
        <f t="shared" si="33"/>
        <v>33.233430522173144</v>
      </c>
      <c r="Q32" s="20">
        <f t="shared" si="2"/>
        <v>278.55629815945161</v>
      </c>
      <c r="R32" s="59">
        <f t="shared" si="0"/>
        <v>571.88963149278493</v>
      </c>
      <c r="S32" s="59">
        <f ca="1">AVERAGE(OFFSET($R$3,0,0,'Données projet'!$E$9+1,1))-AVERAGE(OFFSET($H$3,0,0,'Données projet'!$E$9+1,1))</f>
        <v>321.12254860105566</v>
      </c>
      <c r="T32" s="59">
        <f t="shared" si="34"/>
        <v>270.52026164274571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5.5047453003757374</v>
      </c>
      <c r="AB32" s="21">
        <f>EXP(-LN(2)/2)*AB31+(1-EXP(-LN(2)/2))/(LN(2)/2)*V32*Y32*VLOOKUP('Données projet'!$B$9,Paramètres!$A$1:$I$89,3,0)*0.475*44/12</f>
        <v>0</v>
      </c>
      <c r="AC32" s="22">
        <f t="shared" si="3"/>
        <v>5.5047453003757374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42</v>
      </c>
      <c r="AI32" s="13">
        <f>IF('Données projet'!$A$62&gt;35,AI31+AH32-AQ31,IF(A32&lt;'Données projet'!$A$62,$AF$205^A32,IF(A32='Données projet'!$A$62,'Données projet'!$B$62,AI31+AH32-AQ31)))</f>
        <v>303</v>
      </c>
      <c r="AJ32" s="13">
        <f>AI32*VLOOKUP('Données projet'!$B$10,Paramètres!$A$1:$I$89,3,0)*VLOOKUP('Données projet'!$B$10,Paramètres!$A$1:$I$89,5,0)</f>
        <v>141.804</v>
      </c>
      <c r="AK32" s="13">
        <f t="shared" si="35"/>
        <v>36.709968106496248</v>
      </c>
      <c r="AL32" s="20">
        <f t="shared" si="4"/>
        <v>310.91182778548091</v>
      </c>
      <c r="AM32" s="59">
        <f t="shared" si="5"/>
        <v>604.24516111881417</v>
      </c>
      <c r="AN32" s="59">
        <f ca="1">AVERAGE(OFFSET($AM$3,0,0,'Données projet'!$E$10+1,1))-AVERAGE(OFFSET($H$3,0,0,'Données projet'!$E$10+1,1))</f>
        <v>267.78121291362345</v>
      </c>
      <c r="AO32" s="59">
        <f t="shared" si="36"/>
        <v>320.1780590861174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2.2094286309584623</v>
      </c>
      <c r="AV32" s="21">
        <f>EXP(-LN(2)/25)*AV31+(1-EXP(-LN(2)/25))/(LN(2)/25)*Calculateur!AQ32*Calculateur!AS32*VLOOKUP('Données projet'!$B$10,Paramètres!$A$1:$I$89,3,0)*0.475*44/12</f>
        <v>9.9846889618642241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12.194117592822685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8</v>
      </c>
      <c r="BD32" s="12">
        <f>IF('Données projet'!$A$88&gt;35,BD31+BC32-BL31,IF(A32&lt;'Données projet'!$A$88,$BA$205^A32,IF(A32='Données projet'!$A$88,'Données projet'!$B$88,BD31+BC32-BL31)))</f>
        <v>111</v>
      </c>
      <c r="BE32" s="13">
        <f>BD32*VLOOKUP('Données projet'!$B$11,Paramètres!$A$1:$I$89,3,0)*VLOOKUP('Données projet'!$B$11,Paramètres!$A$1:$I$89,5,0)</f>
        <v>96.969600000000014</v>
      </c>
      <c r="BF32" s="13">
        <f t="shared" si="37"/>
        <v>26.238758642904337</v>
      </c>
      <c r="BG32" s="20">
        <f t="shared" si="7"/>
        <v>214.58789130305843</v>
      </c>
      <c r="BH32" s="59">
        <f t="shared" si="8"/>
        <v>507.92122463639174</v>
      </c>
      <c r="BI32" s="59">
        <f ca="1">AVERAGE(OFFSET($BH$3,0,0,'Données projet'!$E$11+1,1))-AVERAGE(OFFSET($H$3,0,0,'Données projet'!$E$11+1,1))</f>
        <v>212.82470567725971</v>
      </c>
      <c r="BJ32" s="59">
        <f t="shared" si="38"/>
        <v>196.91968622092054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0</v>
      </c>
      <c r="BR32" s="21">
        <f>EXP(-LN(2)/2)*BR31+(1-EXP(-LN(2)/2))/(LN(2)/2)*BL32*BO32*VLOOKUP('Données projet'!$B$11,Paramètres!$A$1:$I$89,3,0)*0.475*44/12</f>
        <v>0</v>
      </c>
      <c r="BS32" s="22">
        <f t="shared" si="9"/>
        <v>0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2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14.04</v>
      </c>
      <c r="D33" s="11">
        <f t="shared" si="32"/>
        <v>4.75735588805329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145.10239632883244</v>
      </c>
      <c r="H33" s="67">
        <f t="shared" si="1"/>
        <v>326.07206150502611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343</v>
      </c>
      <c r="L33" s="12">
        <f>VLOOKUP(A33,'Données projet'!$A$35:$I$55,9,0)</f>
        <v>28.6</v>
      </c>
      <c r="M33" s="12">
        <f t="array" ref="M33">INDEX(L:L,MIN(IF(ISNUMBER(L33:L229),ROW(L33:L229),"")))</f>
        <v>28.6</v>
      </c>
      <c r="N33" s="13">
        <f>IF('Données projet'!$A$36&gt;35,N32+M33-V32,IF(A33&lt;'Données projet'!$A$36,$K$205^A33,IF(A33='Données projet'!$A$36,'Données projet'!$B$36,N32+M33-V32)))</f>
        <v>343.00000000000011</v>
      </c>
      <c r="O33" s="13">
        <f>N33*VLOOKUP('Données projet'!$B$9,Paramètres!$A$1:$I$89,3,0)*VLOOKUP('Données projet'!$B$9,Paramètres!$A$1:$I$89,5,0)</f>
        <v>138.22900000000007</v>
      </c>
      <c r="P33" s="13">
        <f t="shared" si="33"/>
        <v>35.890994151830675</v>
      </c>
      <c r="Q33" s="20">
        <f t="shared" si="2"/>
        <v>303.25898981443851</v>
      </c>
      <c r="R33" s="59">
        <f t="shared" si="0"/>
        <v>596.59232314777182</v>
      </c>
      <c r="S33" s="59">
        <f ca="1">AVERAGE(OFFSET($R$3,0,0,'Données projet'!$E$9+1,1))-AVERAGE(OFFSET($H$3,0,0,'Données projet'!$E$9+1,1))</f>
        <v>321.12254860105566</v>
      </c>
      <c r="T33" s="59">
        <f t="shared" si="34"/>
        <v>270.52026164274571</v>
      </c>
      <c r="U33" s="15">
        <f>IF(ISNA(VLOOKUP(A33,'Données projet'!$A$35:$I$55,3,0)),0,VLOOKUP(A33,'Données projet'!$A$35:$I$55,3,0))</f>
        <v>3</v>
      </c>
      <c r="V33" s="15">
        <f>IF(ISNA(VLOOKUP(A33,'Données projet'!$A$35:$I$55,4,0)),0,VLOOKUP(A33,'Données projet'!$A$35:$I$55,4,0))</f>
        <v>70</v>
      </c>
      <c r="W33" s="16">
        <f>IF(ISNA(VLOOKUP(A33,'Données projet'!$A$35:$I$55,5,0)),0%,VLOOKUP(A33,'Données projet'!$A$35:$I$55,5,0)*VLOOKUP('Données projet'!$B$9,Paramètres!$A$1:$I$89,7,0))</f>
        <v>0.11000000000000001</v>
      </c>
      <c r="X33" s="16">
        <f>IF(ISNA(VLOOKUP(A33,'Données projet'!$A$35:$I$55,6,0)),0%,VLOOKUP(A33,'Données projet'!$A$35:$I$55,6,0)*VLOOKUP('Données projet'!$B$9,Paramètres!$A$1:$I$89,7,0))</f>
        <v>0.22000000000000003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4.1164621616744377</v>
      </c>
      <c r="AA33" s="21">
        <f>EXP(-LN(2)/25)*AA32+(1-EXP(-LN(2)/25))/(LN(2)/25)*Calculateur!V33*Calculateur!X33*VLOOKUP('Données projet'!$B$9,Paramètres!$A$1:$I$89,3,0)*0.475*44/12</f>
        <v>13.554725913952737</v>
      </c>
      <c r="AB33" s="21">
        <f>EXP(-LN(2)/2)*AB32+(1-EXP(-LN(2)/2))/(LN(2)/2)*V33*Y33*VLOOKUP('Données projet'!$B$9,Paramètres!$A$1:$I$89,3,0)*0.475*44/12</f>
        <v>0</v>
      </c>
      <c r="AC33" s="22">
        <f t="shared" si="3"/>
        <v>17.671188075627175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42</v>
      </c>
      <c r="AI33" s="13">
        <f>IF('Données projet'!$A$62&gt;35,AI32+AH33-AQ32,IF(A33&lt;'Données projet'!$A$62,$AF$205^A33,IF(A33='Données projet'!$A$62,'Données projet'!$B$62,AI32+AH33-AQ32)))</f>
        <v>345</v>
      </c>
      <c r="AJ33" s="13">
        <f>AI33*VLOOKUP('Données projet'!$B$10,Paramètres!$A$1:$I$89,3,0)*VLOOKUP('Données projet'!$B$10,Paramètres!$A$1:$I$89,5,0)</f>
        <v>161.45999999999998</v>
      </c>
      <c r="AK33" s="13">
        <f t="shared" si="35"/>
        <v>41.171648186302534</v>
      </c>
      <c r="AL33" s="20">
        <f t="shared" si="4"/>
        <v>352.9167872578102</v>
      </c>
      <c r="AM33" s="59">
        <f t="shared" si="5"/>
        <v>646.25012059114351</v>
      </c>
      <c r="AN33" s="59">
        <f ca="1">AVERAGE(OFFSET($AM$3,0,0,'Données projet'!$E$10+1,1))-AVERAGE(OFFSET($H$3,0,0,'Données projet'!$E$10+1,1))</f>
        <v>267.78121291362345</v>
      </c>
      <c r="AO33" s="59">
        <f t="shared" si="36"/>
        <v>320.1780590861174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2.1661030831237653</v>
      </c>
      <c r="AV33" s="21">
        <f>EXP(-LN(2)/25)*AV32+(1-EXP(-LN(2)/25))/(LN(2)/25)*Calculateur!AQ33*Calculateur!AS33*VLOOKUP('Données projet'!$B$10,Paramètres!$A$1:$I$89,3,0)*0.475*44/12</f>
        <v>9.7116571171300752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11.87776020025384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119</v>
      </c>
      <c r="BB33" s="12">
        <f>VLOOKUP(A33,'Données projet'!$A$87:$I$107,9,0)</f>
        <v>8</v>
      </c>
      <c r="BC33" s="12">
        <f t="array" ref="BC33">INDEX(BB:BB,MIN(IF(ISNUMBER(BB33:BB229),ROW(BB33:BB229),"")))</f>
        <v>8</v>
      </c>
      <c r="BD33" s="12">
        <f>IF('Données projet'!$A$88&gt;35,BD32+BC33-BL32,IF(A33&lt;'Données projet'!$A$88,$BA$205^A33,IF(A33='Données projet'!$A$88,'Données projet'!$B$88,BD32+BC33-BL32)))</f>
        <v>119</v>
      </c>
      <c r="BE33" s="13">
        <f>BD33*VLOOKUP('Données projet'!$B$11,Paramètres!$A$1:$I$89,3,0)*VLOOKUP('Données projet'!$B$11,Paramètres!$A$1:$I$89,5,0)</f>
        <v>103.9584</v>
      </c>
      <c r="BF33" s="13">
        <f t="shared" si="37"/>
        <v>27.902890560352166</v>
      </c>
      <c r="BG33" s="20">
        <f t="shared" si="7"/>
        <v>229.65841439261331</v>
      </c>
      <c r="BH33" s="59">
        <f t="shared" si="8"/>
        <v>522.99174772594665</v>
      </c>
      <c r="BI33" s="59">
        <f ca="1">AVERAGE(OFFSET($BH$3,0,0,'Données projet'!$E$11+1,1))-AVERAGE(OFFSET($H$3,0,0,'Données projet'!$E$11+1,1))</f>
        <v>212.82470567725971</v>
      </c>
      <c r="BJ33" s="59">
        <f t="shared" si="38"/>
        <v>196.91968622092054</v>
      </c>
      <c r="BK33" s="15">
        <f>IF(ISNA(VLOOKUP(A33,'Données projet'!$A$87:$I$107,3,0)),0,VLOOKUP(A33,'Données projet'!$A$87:$I$107,3,0))</f>
        <v>3</v>
      </c>
      <c r="BL33" s="15">
        <f>IF(ISNA(VLOOKUP(A33,'Données projet'!$A$87:$I$107,4,0)),0,VLOOKUP(A33,'Données projet'!$A$87:$I$107,4,0))</f>
        <v>20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>
        <f>EXP(-LN(2)/35)*BP32+(1-EXP(-LN(2)/35))/(LN(2)/35)*BL33*BM33*VLOOKUP('Données projet'!$B$11,Paramètres!$A$1:$I$89,3,0)*0.475*44/12</f>
        <v>0</v>
      </c>
      <c r="BQ33" s="21">
        <f>EXP(-LN(2)/25)*BQ32+(1-EXP(-LN(2)/25))/(LN(2)/25)*Calculateur!BL33*Calculateur!BN33*VLOOKUP('Données projet'!$B$11,Paramètres!$A$1:$I$89,3,0)*0.475*44/12</f>
        <v>0</v>
      </c>
      <c r="BR33" s="21">
        <f>EXP(-LN(2)/2)*BR32+(1-EXP(-LN(2)/2))/(LN(2)/2)*BL33*BO33*VLOOKUP('Données projet'!$B$11,Paramètres!$A$1:$I$89,3,0)*0.475*44/12</f>
        <v>0</v>
      </c>
      <c r="BS33" s="22">
        <f t="shared" si="9"/>
        <v>0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2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14.507999999999999</v>
      </c>
      <c r="D34" s="11">
        <f t="shared" si="32"/>
        <v>4.8972073577041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149.79458311210183</v>
      </c>
      <c r="H34" s="67">
        <f t="shared" si="1"/>
        <v>327.13073614800129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29</v>
      </c>
      <c r="N34" s="13">
        <f>IF('Données projet'!$A$36&gt;35,N33+M34-V33,IF(A34&lt;'Données projet'!$A$36,$K$205^A34,IF(A34='Données projet'!$A$36,'Données projet'!$B$36,N33+M34-V33)))</f>
        <v>302.00000000000011</v>
      </c>
      <c r="O34" s="13">
        <f>N34*VLOOKUP('Données projet'!$B$9,Paramètres!$A$1:$I$89,3,0)*VLOOKUP('Données projet'!$B$9,Paramètres!$A$1:$I$89,5,0)</f>
        <v>121.70600000000005</v>
      </c>
      <c r="P34" s="13">
        <f t="shared" si="33"/>
        <v>32.072568283661589</v>
      </c>
      <c r="Q34" s="20">
        <f t="shared" si="2"/>
        <v>267.8310064273773</v>
      </c>
      <c r="R34" s="59">
        <f t="shared" si="0"/>
        <v>561.16433976071062</v>
      </c>
      <c r="S34" s="59">
        <f ca="1">AVERAGE(OFFSET($R$3,0,0,'Données projet'!$E$9+1,1))-AVERAGE(OFFSET($H$3,0,0,'Données projet'!$E$9+1,1))</f>
        <v>321.12254860105566</v>
      </c>
      <c r="T34" s="59">
        <f t="shared" si="34"/>
        <v>270.52026164274571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4.0357408494780005</v>
      </c>
      <c r="AA34" s="21">
        <f>EXP(-LN(2)/25)*AA33+(1-EXP(-LN(2)/25))/(LN(2)/25)*Calculateur!V34*Calculateur!X34*VLOOKUP('Données projet'!$B$9,Paramètres!$A$1:$I$89,3,0)*0.475*44/12</f>
        <v>13.184071221023643</v>
      </c>
      <c r="AB34" s="21">
        <f>EXP(-LN(2)/2)*AB33+(1-EXP(-LN(2)/2))/(LN(2)/2)*V34*Y34*VLOOKUP('Données projet'!$B$9,Paramètres!$A$1:$I$89,3,0)*0.475*44/12</f>
        <v>0</v>
      </c>
      <c r="AC34" s="22">
        <f t="shared" si="3"/>
        <v>17.219812070501643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42</v>
      </c>
      <c r="AI34" s="13">
        <f>IF('Données projet'!$A$62&gt;35,AI33+AH34-AQ33,IF(A34&lt;'Données projet'!$A$62,$AF$205^A34,IF(A34='Données projet'!$A$62,'Données projet'!$B$62,AI33+AH34-AQ33)))</f>
        <v>387</v>
      </c>
      <c r="AJ34" s="13">
        <f>AI34*VLOOKUP('Données projet'!$B$10,Paramètres!$A$1:$I$89,3,0)*VLOOKUP('Données projet'!$B$10,Paramètres!$A$1:$I$89,5,0)</f>
        <v>181.11599999999999</v>
      </c>
      <c r="AK34" s="13">
        <f t="shared" si="35"/>
        <v>45.570386218758216</v>
      </c>
      <c r="AL34" s="20">
        <f t="shared" si="4"/>
        <v>394.81212266433721</v>
      </c>
      <c r="AM34" s="59">
        <f t="shared" si="5"/>
        <v>688.14545599767052</v>
      </c>
      <c r="AN34" s="59">
        <f ca="1">AVERAGE(OFFSET($AM$3,0,0,'Données projet'!$E$10+1,1))-AVERAGE(OFFSET($H$3,0,0,'Données projet'!$E$10+1,1))</f>
        <v>267.78121291362345</v>
      </c>
      <c r="AO34" s="59">
        <f t="shared" si="36"/>
        <v>320.1780590861174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2.1236271228561319</v>
      </c>
      <c r="AV34" s="21">
        <f>EXP(-LN(2)/25)*AV33+(1-EXP(-LN(2)/25))/(LN(2)/25)*Calculateur!AQ34*Calculateur!AS34*VLOOKUP('Données projet'!$B$10,Paramètres!$A$1:$I$89,3,0)*0.475*44/12</f>
        <v>9.4460913425483017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11.569718465404433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7.2</v>
      </c>
      <c r="BD34" s="12">
        <f>IF('Données projet'!$A$88&gt;35,BD33+BC34-BL33,IF(A34&lt;'Données projet'!$A$88,$BA$205^A34,IF(A34='Données projet'!$A$88,'Données projet'!$B$88,BD33+BC34-BL33)))</f>
        <v>106.2</v>
      </c>
      <c r="BE34" s="13">
        <f>BD34*VLOOKUP('Données projet'!$B$11,Paramètres!$A$1:$I$89,3,0)*VLOOKUP('Données projet'!$B$11,Paramètres!$A$1:$I$89,5,0)</f>
        <v>92.776320000000013</v>
      </c>
      <c r="BF34" s="13">
        <f t="shared" si="37"/>
        <v>25.233617967655977</v>
      </c>
      <c r="BG34" s="20">
        <f t="shared" si="7"/>
        <v>205.53397529366751</v>
      </c>
      <c r="BH34" s="59">
        <f t="shared" si="8"/>
        <v>498.86730862700085</v>
      </c>
      <c r="BI34" s="59">
        <f ca="1">AVERAGE(OFFSET($BH$3,0,0,'Données projet'!$E$11+1,1))-AVERAGE(OFFSET($H$3,0,0,'Données projet'!$E$11+1,1))</f>
        <v>212.82470567725971</v>
      </c>
      <c r="BJ34" s="59">
        <f t="shared" si="38"/>
        <v>196.91968622092054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0</v>
      </c>
      <c r="BQ34" s="21">
        <f>EXP(-LN(2)/25)*BQ33+(1-EXP(-LN(2)/25))/(LN(2)/25)*Calculateur!BL34*Calculateur!BN34*VLOOKUP('Données projet'!$B$11,Paramètres!$A$1:$I$89,3,0)*0.475*44/12</f>
        <v>0</v>
      </c>
      <c r="BR34" s="21">
        <f>EXP(-LN(2)/2)*BR33+(1-EXP(-LN(2)/2))/(LN(2)/2)*BL34*BO34*VLOOKUP('Données projet'!$B$11,Paramètres!$A$1:$I$89,3,0)*0.475*44/12</f>
        <v>0</v>
      </c>
      <c r="BS34" s="22">
        <f t="shared" si="9"/>
        <v>0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2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14.975999999999999</v>
      </c>
      <c r="D35" s="11">
        <f t="shared" si="32"/>
        <v>5.0365345962274297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154.48272319894858</v>
      </c>
      <c r="H35" s="67">
        <f t="shared" si="1"/>
        <v>328.18849775509608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29</v>
      </c>
      <c r="N35" s="13">
        <f>IF('Données projet'!$A$36&gt;35,N34+M35-V34,IF(A35&lt;'Données projet'!$A$36,$K$205^A35,IF(A35='Données projet'!$A$36,'Données projet'!$B$36,N34+M35-V34)))</f>
        <v>331.00000000000011</v>
      </c>
      <c r="O35" s="13">
        <f>N35*VLOOKUP('Données projet'!$B$9,Paramètres!$A$1:$I$89,3,0)*VLOOKUP('Données projet'!$B$9,Paramètres!$A$1:$I$89,5,0)</f>
        <v>133.39300000000003</v>
      </c>
      <c r="P35" s="13">
        <f t="shared" si="33"/>
        <v>34.779202475381169</v>
      </c>
      <c r="Q35" s="20">
        <f t="shared" ref="Q35:Q66" si="53">(O35+P35)*0.475*44/12</f>
        <v>292.8999193112889</v>
      </c>
      <c r="R35" s="59">
        <f t="shared" si="0"/>
        <v>586.23325264462221</v>
      </c>
      <c r="S35" s="59">
        <f ca="1">AVERAGE(OFFSET($R$3,0,0,'Données projet'!$E$9+1,1))-AVERAGE(OFFSET($H$3,0,0,'Données projet'!$E$9+1,1))</f>
        <v>321.12254860105566</v>
      </c>
      <c r="T35" s="59">
        <f t="shared" si="34"/>
        <v>270.52026164274571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3.9566024329785963</v>
      </c>
      <c r="AA35" s="21">
        <f>EXP(-LN(2)/25)*AA34+(1-EXP(-LN(2)/25))/(LN(2)/25)*Calculateur!V35*Calculateur!X35*VLOOKUP('Données projet'!$B$9,Paramètres!$A$1:$I$89,3,0)*0.475*44/12</f>
        <v>12.823552100164578</v>
      </c>
      <c r="AB35" s="21">
        <f>EXP(-LN(2)/2)*AB34+(1-EXP(-LN(2)/2))/(LN(2)/2)*V35*Y35*VLOOKUP('Données projet'!$B$9,Paramètres!$A$1:$I$89,3,0)*0.475*44/12</f>
        <v>0</v>
      </c>
      <c r="AC35" s="22">
        <f t="shared" si="3"/>
        <v>16.780154533143175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>
        <f>VLOOKUP(A35,'Données projet'!$A$61:$I$81,2,0)</f>
        <v>429</v>
      </c>
      <c r="AG35" s="12">
        <f>VLOOKUP(A35,'Données projet'!$A$61:$I$81,9,0)</f>
        <v>42</v>
      </c>
      <c r="AH35" s="12">
        <f t="array" ref="AH35">INDEX(AG:AG,MIN(IF(ISNUMBER(AG35:AG231),ROW(AG35:AG231),"")))</f>
        <v>42</v>
      </c>
      <c r="AI35" s="13">
        <f>IF('Données projet'!$A$62&gt;35,AI34+AH35-AQ34,IF(A35&lt;'Données projet'!$A$62,$AF$205^A35,IF(A35='Données projet'!$A$62,'Données projet'!$B$62,AI34+AH35-AQ34)))</f>
        <v>429</v>
      </c>
      <c r="AJ35" s="13">
        <f>AI35*VLOOKUP('Données projet'!$B$10,Paramètres!$A$1:$I$89,3,0)*VLOOKUP('Données projet'!$B$10,Paramètres!$A$1:$I$89,5,0)</f>
        <v>200.77199999999999</v>
      </c>
      <c r="AK35" s="13">
        <f t="shared" si="35"/>
        <v>49.913791898945412</v>
      </c>
      <c r="AL35" s="20">
        <f t="shared" si="4"/>
        <v>436.61108755732994</v>
      </c>
      <c r="AM35" s="59">
        <f t="shared" si="5"/>
        <v>729.9444208906632</v>
      </c>
      <c r="AN35" s="59">
        <f ca="1">AVERAGE(OFFSET($AM$3,0,0,'Données projet'!$E$10+1,1))-AVERAGE(OFFSET($H$3,0,0,'Données projet'!$E$10+1,1))</f>
        <v>267.78121291362345</v>
      </c>
      <c r="AO35" s="59">
        <f t="shared" si="36"/>
        <v>320.1780590861174</v>
      </c>
      <c r="AP35" s="15">
        <f>IF(ISNA(VLOOKUP(A35,'Données projet'!$A$61:$I$81,3,0)),0,VLOOKUP(A35,'Données projet'!$A$61:$I$81,3,0))</f>
        <v>4</v>
      </c>
      <c r="AQ35" s="15">
        <f>IF(ISNA(VLOOKUP(A35,'Données projet'!$A$61:$I$81,4,0)),0,VLOOKUP(A35,'Données projet'!$A$61:$I$81,4,0))</f>
        <v>72</v>
      </c>
      <c r="AR35" s="16">
        <f>IF(ISNA(VLOOKUP(A35,'Données projet'!$A$61:$I$81,5,0)),0%,VLOOKUP(A35,'Données projet'!$A$61:$I$81,5,0)*VLOOKUP('Données projet'!$B$10,Paramètres!$A$1:$I$89,7,0))</f>
        <v>0.11000000000000001</v>
      </c>
      <c r="AS35" s="16">
        <f>IF(ISNA(VLOOKUP(A35,'Données projet'!$A$61:$I$81,6,0)),0%,VLOOKUP(A35,'Données projet'!$A$61:$I$81,6,0)*VLOOKUP('Données projet'!$B$10,Paramètres!$A$1:$I$89,7,0))</f>
        <v>0.22000000000000003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6.9989748382155517</v>
      </c>
      <c r="AV35" s="21">
        <f>EXP(-LN(2)/25)*AV34+(1-EXP(-LN(2)/25))/(LN(2)/25)*Calculateur!AQ35*Calculateur!AS35*VLOOKUP('Données projet'!$B$10,Paramètres!$A$1:$I$89,3,0)*0.475*44/12</f>
        <v>18.983048841755828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25.98202367997138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7.2</v>
      </c>
      <c r="BD35" s="12">
        <f>IF('Données projet'!$A$88&gt;35,BD34+BC35-BL34,IF(A35&lt;'Données projet'!$A$88,$BA$205^A35,IF(A35='Données projet'!$A$88,'Données projet'!$B$88,BD34+BC35-BL34)))</f>
        <v>113.4</v>
      </c>
      <c r="BE35" s="13">
        <f>BD35*VLOOKUP('Données projet'!$B$11,Paramètres!$A$1:$I$89,3,0)*VLOOKUP('Données projet'!$B$11,Paramètres!$A$1:$I$89,5,0)</f>
        <v>99.066240000000022</v>
      </c>
      <c r="BF35" s="13">
        <f t="shared" si="37"/>
        <v>26.739420789378705</v>
      </c>
      <c r="BG35" s="20">
        <f t="shared" si="7"/>
        <v>219.11152587483457</v>
      </c>
      <c r="BH35" s="59">
        <f t="shared" si="8"/>
        <v>512.44485920816783</v>
      </c>
      <c r="BI35" s="59">
        <f ca="1">AVERAGE(OFFSET($BH$3,0,0,'Données projet'!$E$11+1,1))-AVERAGE(OFFSET($H$3,0,0,'Données projet'!$E$11+1,1))</f>
        <v>212.82470567725971</v>
      </c>
      <c r="BJ35" s="59">
        <f t="shared" si="38"/>
        <v>196.91968622092054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0</v>
      </c>
      <c r="BQ35" s="21">
        <f>EXP(-LN(2)/25)*BQ34+(1-EXP(-LN(2)/25))/(LN(2)/25)*Calculateur!BL35*Calculateur!BN35*VLOOKUP('Données projet'!$B$11,Paramètres!$A$1:$I$89,3,0)*0.475*44/12</f>
        <v>0</v>
      </c>
      <c r="BR35" s="21">
        <f>EXP(-LN(2)/2)*BR34+(1-EXP(-LN(2)/2))/(LN(2)/2)*BL35*BO35*VLOOKUP('Données projet'!$B$11,Paramètres!$A$1:$I$89,3,0)*0.475*44/12</f>
        <v>0</v>
      </c>
      <c r="BS35" s="22">
        <f t="shared" si="9"/>
        <v>0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25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15.443999999999999</v>
      </c>
      <c r="D36" s="11">
        <f t="shared" si="32"/>
        <v>5.1753558655448444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159.16695755859178</v>
      </c>
      <c r="H36" s="67">
        <f t="shared" si="1"/>
        <v>329.2453781324906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29</v>
      </c>
      <c r="N36" s="13">
        <f>IF('Données projet'!$A$36&gt;35,N35+M36-V35,IF(A36&lt;'Données projet'!$A$36,$K$205^A36,IF(A36='Données projet'!$A$36,'Données projet'!$B$36,N35+M36-V35)))</f>
        <v>360.00000000000011</v>
      </c>
      <c r="O36" s="13">
        <f>N36*VLOOKUP('Données projet'!$B$9,Paramètres!$A$1:$I$89,3,0)*VLOOKUP('Données projet'!$B$9,Paramètres!$A$1:$I$89,5,0)</f>
        <v>145.08000000000004</v>
      </c>
      <c r="P36" s="13">
        <f t="shared" si="33"/>
        <v>37.458337067672986</v>
      </c>
      <c r="Q36" s="20">
        <f t="shared" si="53"/>
        <v>317.9209370595305</v>
      </c>
      <c r="R36" s="59">
        <f t="shared" si="0"/>
        <v>611.25427039286387</v>
      </c>
      <c r="S36" s="59">
        <f ca="1">AVERAGE(OFFSET($R$3,0,0,'Données projet'!$E$9+1,1))-AVERAGE(OFFSET($H$3,0,0,'Données projet'!$E$9+1,1))</f>
        <v>321.12254860105566</v>
      </c>
      <c r="T36" s="59">
        <f t="shared" si="34"/>
        <v>270.52026164274571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3.8790158725570776</v>
      </c>
      <c r="AA36" s="21">
        <f>EXP(-LN(2)/25)*AA35+(1-EXP(-LN(2)/25))/(LN(2)/25)*Calculateur!V36*Calculateur!X36*VLOOKUP('Données projet'!$B$9,Paramètres!$A$1:$I$89,3,0)*0.475*44/12</f>
        <v>12.472891393624282</v>
      </c>
      <c r="AB36" s="21">
        <f>EXP(-LN(2)/2)*AB35+(1-EXP(-LN(2)/2))/(LN(2)/2)*V36*Y36*VLOOKUP('Données projet'!$B$9,Paramètres!$A$1:$I$89,3,0)*0.475*44/12</f>
        <v>0</v>
      </c>
      <c r="AC36" s="22">
        <f t="shared" si="3"/>
        <v>16.35190726618136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40.5</v>
      </c>
      <c r="AI36" s="13">
        <f>IF('Données projet'!$A$62&gt;35,AI35+AH36-AQ35,IF(A36&lt;'Données projet'!$A$62,$AF$205^A36,IF(A36='Données projet'!$A$62,'Données projet'!$B$62,AI35+AH36-AQ35)))</f>
        <v>397.5</v>
      </c>
      <c r="AJ36" s="13">
        <f>AI36*VLOOKUP('Données projet'!$B$10,Paramètres!$A$1:$I$89,3,0)*VLOOKUP('Données projet'!$B$10,Paramètres!$A$1:$I$89,5,0)</f>
        <v>186.03</v>
      </c>
      <c r="AK36" s="13">
        <f t="shared" si="35"/>
        <v>46.661166464968041</v>
      </c>
      <c r="AL36" s="20">
        <f t="shared" si="4"/>
        <v>405.27044825981937</v>
      </c>
      <c r="AM36" s="59">
        <f t="shared" si="5"/>
        <v>698.60378159315269</v>
      </c>
      <c r="AN36" s="59">
        <f ca="1">AVERAGE(OFFSET($AM$3,0,0,'Données projet'!$E$10+1,1))-AVERAGE(OFFSET($H$3,0,0,'Données projet'!$E$10+1,1))</f>
        <v>267.78121291362345</v>
      </c>
      <c r="AO36" s="59">
        <f t="shared" si="36"/>
        <v>320.1780590861174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6.8617292105912719</v>
      </c>
      <c r="AV36" s="21">
        <f>EXP(-LN(2)/25)*AV35+(1-EXP(-LN(2)/25))/(LN(2)/25)*Calculateur!AQ36*Calculateur!AS36*VLOOKUP('Données projet'!$B$10,Paramètres!$A$1:$I$89,3,0)*0.475*44/12</f>
        <v>18.463956372902864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25.325685583494135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7.2</v>
      </c>
      <c r="BD36" s="12">
        <f>IF('Données projet'!$A$88&gt;35,BD35+BC36-BL35,IF(A36&lt;'Données projet'!$A$88,$BA$205^A36,IF(A36='Données projet'!$A$88,'Données projet'!$B$88,BD35+BC36-BL35)))</f>
        <v>120.60000000000001</v>
      </c>
      <c r="BE36" s="13">
        <f>BD36*VLOOKUP('Données projet'!$B$11,Paramètres!$A$1:$I$89,3,0)*VLOOKUP('Données projet'!$B$11,Paramètres!$A$1:$I$89,5,0)</f>
        <v>105.35616000000003</v>
      </c>
      <c r="BF36" s="13">
        <f t="shared" si="37"/>
        <v>28.234128165723941</v>
      </c>
      <c r="BG36" s="20">
        <f t="shared" si="7"/>
        <v>232.66975188863589</v>
      </c>
      <c r="BH36" s="59">
        <f t="shared" si="8"/>
        <v>526.00308522196917</v>
      </c>
      <c r="BI36" s="59">
        <f ca="1">AVERAGE(OFFSET($BH$3,0,0,'Données projet'!$E$11+1,1))-AVERAGE(OFFSET($H$3,0,0,'Données projet'!$E$11+1,1))</f>
        <v>212.82470567725971</v>
      </c>
      <c r="BJ36" s="59">
        <f t="shared" si="38"/>
        <v>196.91968622092054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0</v>
      </c>
      <c r="BQ36" s="21">
        <f>EXP(-LN(2)/25)*BQ35+(1-EXP(-LN(2)/25))/(LN(2)/25)*Calculateur!BL36*Calculateur!BN36*VLOOKUP('Données projet'!$B$11,Paramètres!$A$1:$I$89,3,0)*0.475*44/12</f>
        <v>0</v>
      </c>
      <c r="BR36" s="21">
        <f>EXP(-LN(2)/2)*BR35+(1-EXP(-LN(2)/2))/(LN(2)/2)*BL36*BO36*VLOOKUP('Données projet'!$B$11,Paramètres!$A$1:$I$89,3,0)*0.475*44/12</f>
        <v>0</v>
      </c>
      <c r="BS36" s="22">
        <f t="shared" si="9"/>
        <v>0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25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15.911999999999999</v>
      </c>
      <c r="D37" s="11">
        <f t="shared" si="32"/>
        <v>5.3136882579005116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163.84741813116185</v>
      </c>
      <c r="H37" s="67">
        <f t="shared" si="1"/>
        <v>330.3014070491767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29</v>
      </c>
      <c r="N37" s="13">
        <f>IF('Données projet'!$A$36&gt;35,N36+M37-V36,IF(A37&lt;'Données projet'!$A$36,$K$205^A37,IF(A37='Données projet'!$A$36,'Données projet'!$B$36,N36+M37-V36)))</f>
        <v>389.00000000000011</v>
      </c>
      <c r="O37" s="13">
        <f>N37*VLOOKUP('Données projet'!$B$9,Paramètres!$A$1:$I$89,3,0)*VLOOKUP('Données projet'!$B$9,Paramètres!$A$1:$I$89,5,0)</f>
        <v>156.76700000000005</v>
      </c>
      <c r="P37" s="13">
        <f t="shared" si="33"/>
        <v>40.112439157917848</v>
      </c>
      <c r="Q37" s="20">
        <f t="shared" si="53"/>
        <v>342.8983565333736</v>
      </c>
      <c r="R37" s="59">
        <f t="shared" si="0"/>
        <v>636.23168986670692</v>
      </c>
      <c r="S37" s="59">
        <f ca="1">AVERAGE(OFFSET($R$3,0,0,'Données projet'!$E$9+1,1))-AVERAGE(OFFSET($H$3,0,0,'Données projet'!$E$9+1,1))</f>
        <v>321.12254860105566</v>
      </c>
      <c r="T37" s="59">
        <f t="shared" si="34"/>
        <v>270.52026164274571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3.8029507372622957</v>
      </c>
      <c r="AA37" s="21">
        <f>EXP(-LN(2)/25)*AA36+(1-EXP(-LN(2)/25))/(LN(2)/25)*Calculateur!V37*Calculateur!X37*VLOOKUP('Données projet'!$B$9,Paramètres!$A$1:$I$89,3,0)*0.475*44/12</f>
        <v>12.131819522544776</v>
      </c>
      <c r="AB37" s="21">
        <f>EXP(-LN(2)/2)*AB36+(1-EXP(-LN(2)/2))/(LN(2)/2)*V37*Y37*VLOOKUP('Données projet'!$B$9,Paramètres!$A$1:$I$89,3,0)*0.475*44/12</f>
        <v>0</v>
      </c>
      <c r="AC37" s="22">
        <f t="shared" si="3"/>
        <v>15.93477025980707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40.5</v>
      </c>
      <c r="AI37" s="13">
        <f>IF('Données projet'!$A$62&gt;35,AI36+AH37-AQ36,IF(A37&lt;'Données projet'!$A$62,$AF$205^A37,IF(A37='Données projet'!$A$62,'Données projet'!$B$62,AI36+AH37-AQ36)))</f>
        <v>438</v>
      </c>
      <c r="AJ37" s="13">
        <f>AI37*VLOOKUP('Données projet'!$B$10,Paramètres!$A$1:$I$89,3,0)*VLOOKUP('Données projet'!$B$10,Paramètres!$A$1:$I$89,5,0)</f>
        <v>204.98400000000001</v>
      </c>
      <c r="AK37" s="13">
        <f t="shared" si="35"/>
        <v>50.837926006791818</v>
      </c>
      <c r="AL37" s="20">
        <f t="shared" si="4"/>
        <v>445.55652112849572</v>
      </c>
      <c r="AM37" s="59">
        <f t="shared" si="5"/>
        <v>738.88985446182903</v>
      </c>
      <c r="AN37" s="59">
        <f ca="1">AVERAGE(OFFSET($AM$3,0,0,'Données projet'!$E$10+1,1))-AVERAGE(OFFSET($H$3,0,0,'Données projet'!$E$10+1,1))</f>
        <v>267.78121291362345</v>
      </c>
      <c r="AO37" s="59">
        <f t="shared" si="36"/>
        <v>320.1780590861174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6.7271748860131373</v>
      </c>
      <c r="AV37" s="21">
        <f>EXP(-LN(2)/25)*AV36+(1-EXP(-LN(2)/25))/(LN(2)/25)*Calculateur!AQ37*Calculateur!AS37*VLOOKUP('Données projet'!$B$10,Paramètres!$A$1:$I$89,3,0)*0.475*44/12</f>
        <v>17.95905851490857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24.686233400921708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7.2</v>
      </c>
      <c r="BD37" s="12">
        <f>IF('Données projet'!$A$88&gt;35,BD36+BC37-BL36,IF(A37&lt;'Données projet'!$A$88,$BA$205^A37,IF(A37='Données projet'!$A$88,'Données projet'!$B$88,BD36+BC37-BL36)))</f>
        <v>127.80000000000001</v>
      </c>
      <c r="BE37" s="13">
        <f>BD37*VLOOKUP('Données projet'!$B$11,Paramètres!$A$1:$I$89,3,0)*VLOOKUP('Données projet'!$B$11,Paramètres!$A$1:$I$89,5,0)</f>
        <v>111.64608000000003</v>
      </c>
      <c r="BF37" s="13">
        <f t="shared" si="37"/>
        <v>29.718477955114288</v>
      </c>
      <c r="BG37" s="20">
        <f t="shared" si="7"/>
        <v>246.20993843849078</v>
      </c>
      <c r="BH37" s="59">
        <f t="shared" si="8"/>
        <v>539.54327177182404</v>
      </c>
      <c r="BI37" s="59">
        <f ca="1">AVERAGE(OFFSET($BH$3,0,0,'Données projet'!$E$11+1,1))-AVERAGE(OFFSET($H$3,0,0,'Données projet'!$E$11+1,1))</f>
        <v>212.82470567725971</v>
      </c>
      <c r="BJ37" s="59">
        <f t="shared" si="38"/>
        <v>196.91968622092054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0</v>
      </c>
      <c r="BQ37" s="21">
        <f>EXP(-LN(2)/25)*BQ36+(1-EXP(-LN(2)/25))/(LN(2)/25)*Calculateur!BL37*Calculateur!BN37*VLOOKUP('Données projet'!$B$11,Paramètres!$A$1:$I$89,3,0)*0.475*44/12</f>
        <v>0</v>
      </c>
      <c r="BR37" s="21">
        <f>EXP(-LN(2)/2)*BR36+(1-EXP(-LN(2)/2))/(LN(2)/2)*BL37*BO37*VLOOKUP('Données projet'!$B$11,Paramètres!$A$1:$I$89,3,0)*0.475*44/12</f>
        <v>0</v>
      </c>
      <c r="BS37" s="22">
        <f t="shared" si="9"/>
        <v>0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25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16.38</v>
      </c>
      <c r="D38" s="11">
        <f t="shared" si="32"/>
        <v>5.4515478029518825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168.5242286543654</v>
      </c>
      <c r="H38" s="67">
        <f t="shared" si="1"/>
        <v>331.35661242347453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>
        <f>VLOOKUP(A38,'Données projet'!$A$35:$I$55,2,0)</f>
        <v>418</v>
      </c>
      <c r="L38" s="12">
        <f>VLOOKUP(A38,'Données projet'!$A$35:$I$55,9,0)</f>
        <v>29</v>
      </c>
      <c r="M38" s="12">
        <f t="array" ref="M38">INDEX(L:L,MIN(IF(ISNUMBER(L38:L234),ROW(L38:L234),"")))</f>
        <v>29</v>
      </c>
      <c r="N38" s="13">
        <f>IF('Données projet'!$A$36&gt;35,N37+M38-V37,IF(A38&lt;'Données projet'!$A$36,$K$205^A38,IF(A38='Données projet'!$A$36,'Données projet'!$B$36,N37+M38-V37)))</f>
        <v>418.00000000000011</v>
      </c>
      <c r="O38" s="13">
        <f>N38*VLOOKUP('Données projet'!$B$9,Paramètres!$A$1:$I$89,3,0)*VLOOKUP('Données projet'!$B$9,Paramètres!$A$1:$I$89,5,0)</f>
        <v>168.45400000000006</v>
      </c>
      <c r="P38" s="13">
        <f t="shared" si="33"/>
        <v>42.743587127049565</v>
      </c>
      <c r="Q38" s="20">
        <f t="shared" si="53"/>
        <v>367.83579757961144</v>
      </c>
      <c r="R38" s="59">
        <f t="shared" si="0"/>
        <v>661.16913091294475</v>
      </c>
      <c r="S38" s="59">
        <f ca="1">AVERAGE(OFFSET($R$3,0,0,'Données projet'!$E$9+1,1))-AVERAGE(OFFSET($H$3,0,0,'Données projet'!$E$9+1,1))</f>
        <v>321.12254860105566</v>
      </c>
      <c r="T38" s="59">
        <f t="shared" si="34"/>
        <v>270.52026164274571</v>
      </c>
      <c r="U38" s="15">
        <f>IF(ISNA(VLOOKUP(A38,'Données projet'!$A$35:$I$55,3,0)),0,VLOOKUP(A38,'Données projet'!$A$35:$I$55,3,0))</f>
        <v>4</v>
      </c>
      <c r="V38" s="15">
        <f>IF(ISNA(VLOOKUP(A38,'Données projet'!$A$35:$I$55,4,0)),0,VLOOKUP(A38,'Données projet'!$A$35:$I$55,4,0))</f>
        <v>70</v>
      </c>
      <c r="W38" s="16">
        <f>IF(ISNA(VLOOKUP(A38,'Données projet'!$A$35:$I$55,5,0)),0%,VLOOKUP(A38,'Données projet'!$A$35:$I$55,5,0)*VLOOKUP('Données projet'!$B$9,Paramètres!$A$1:$I$89,7,0))</f>
        <v>0.22000000000000003</v>
      </c>
      <c r="X38" s="16">
        <f>IF(ISNA(VLOOKUP(A38,'Données projet'!$A$35:$I$55,6,0)),0%,VLOOKUP(A38,'Données projet'!$A$35:$I$55,6,0)*VLOOKUP('Données projet'!$B$9,Paramètres!$A$1:$I$89,7,0))</f>
        <v>0.16500000000000001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11.961301516224369</v>
      </c>
      <c r="AA38" s="21">
        <f>EXP(-LN(2)/25)*AA37+(1-EXP(-LN(2)/25))/(LN(2)/25)*Calculateur!V38*Calculateur!X38*VLOOKUP('Données projet'!$B$9,Paramètres!$A$1:$I$89,3,0)*0.475*44/12</f>
        <v>17.950455402189437</v>
      </c>
      <c r="AB38" s="21">
        <f>EXP(-LN(2)/2)*AB37+(1-EXP(-LN(2)/2))/(LN(2)/2)*V38*Y38*VLOOKUP('Données projet'!$B$9,Paramètres!$A$1:$I$89,3,0)*0.475*44/12</f>
        <v>0</v>
      </c>
      <c r="AC38" s="22">
        <f t="shared" si="3"/>
        <v>29.911756918413808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40.5</v>
      </c>
      <c r="AI38" s="13">
        <f>IF('Données projet'!$A$62&gt;35,AI37+AH38-AQ37,IF(A38&lt;'Données projet'!$A$62,$AF$205^A38,IF(A38='Données projet'!$A$62,'Données projet'!$B$62,AI37+AH38-AQ37)))</f>
        <v>478.5</v>
      </c>
      <c r="AJ38" s="13">
        <f>AI38*VLOOKUP('Données projet'!$B$10,Paramètres!$A$1:$I$89,3,0)*VLOOKUP('Données projet'!$B$10,Paramètres!$A$1:$I$89,5,0)</f>
        <v>223.93799999999999</v>
      </c>
      <c r="AK38" s="13">
        <f t="shared" si="35"/>
        <v>54.969904783066404</v>
      </c>
      <c r="AL38" s="20">
        <f t="shared" si="4"/>
        <v>485.76460083050716</v>
      </c>
      <c r="AM38" s="59">
        <f t="shared" si="5"/>
        <v>779.09793416384048</v>
      </c>
      <c r="AN38" s="59">
        <f ca="1">AVERAGE(OFFSET($AM$3,0,0,'Données projet'!$E$10+1,1))-AVERAGE(OFFSET($H$3,0,0,'Données projet'!$E$10+1,1))</f>
        <v>267.78121291362345</v>
      </c>
      <c r="AO38" s="59">
        <f t="shared" si="36"/>
        <v>320.1780590861174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6.5952590896699457</v>
      </c>
      <c r="AV38" s="21">
        <f>EXP(-LN(2)/25)*AV37+(1-EXP(-LN(2)/25))/(LN(2)/25)*Calculateur!AQ38*Calculateur!AS38*VLOOKUP('Données projet'!$B$10,Paramètres!$A$1:$I$89,3,0)*0.475*44/12</f>
        <v>17.467967115392554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24.063226205062499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>
        <f>VLOOKUP(A38,'Données projet'!$A$87:$I$107,2,0)</f>
        <v>135</v>
      </c>
      <c r="BB38" s="12">
        <f>VLOOKUP(A38,'Données projet'!$A$87:$I$107,9,0)</f>
        <v>7.2</v>
      </c>
      <c r="BC38" s="12">
        <f t="array" ref="BC38">INDEX(BB:BB,MIN(IF(ISNUMBER(BB38:BB234),ROW(BB38:BB234),"")))</f>
        <v>7.2</v>
      </c>
      <c r="BD38" s="12">
        <f>IF('Données projet'!$A$88&gt;35,BD37+BC38-BL37,IF(A38&lt;'Données projet'!$A$88,$BA$205^A38,IF(A38='Données projet'!$A$88,'Données projet'!$B$88,BD37+BC38-BL37)))</f>
        <v>135</v>
      </c>
      <c r="BE38" s="13">
        <f>BD38*VLOOKUP('Données projet'!$B$11,Paramètres!$A$1:$I$89,3,0)*VLOOKUP('Données projet'!$B$11,Paramètres!$A$1:$I$89,5,0)</f>
        <v>117.93600000000002</v>
      </c>
      <c r="BF38" s="13">
        <f t="shared" si="37"/>
        <v>31.1931201812605</v>
      </c>
      <c r="BG38" s="20">
        <f t="shared" si="7"/>
        <v>259.73321764902875</v>
      </c>
      <c r="BH38" s="59">
        <f t="shared" si="8"/>
        <v>553.06655098236206</v>
      </c>
      <c r="BI38" s="59">
        <f ca="1">AVERAGE(OFFSET($BH$3,0,0,'Données projet'!$E$11+1,1))-AVERAGE(OFFSET($H$3,0,0,'Données projet'!$E$11+1,1))</f>
        <v>212.82470567725971</v>
      </c>
      <c r="BJ38" s="59">
        <f t="shared" si="38"/>
        <v>196.91968622092054</v>
      </c>
      <c r="BK38" s="15">
        <f>IF(ISNA(VLOOKUP(A38,'Données projet'!$A$87:$I$107,3,0)),0,VLOOKUP(A38,'Données projet'!$A$87:$I$107,3,0))</f>
        <v>4</v>
      </c>
      <c r="BL38" s="15">
        <f>IF(ISNA(VLOOKUP(A38,'Données projet'!$A$87:$I$107,4,0)),0,VLOOKUP(A38,'Données projet'!$A$87:$I$107,4,0))</f>
        <v>20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8.6000000000000007E-2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0</v>
      </c>
      <c r="BQ38" s="21">
        <f>EXP(-LN(2)/25)*BQ37+(1-EXP(-LN(2)/25))/(LN(2)/25)*Calculateur!BL38*Calculateur!BN38*VLOOKUP('Données projet'!$B$11,Paramètres!$A$1:$I$89,3,0)*0.475*44/12</f>
        <v>1.6545306792811878</v>
      </c>
      <c r="BR38" s="21">
        <f>EXP(-LN(2)/2)*BR37+(1-EXP(-LN(2)/2))/(LN(2)/2)*BL38*BO38*VLOOKUP('Données projet'!$B$11,Paramètres!$A$1:$I$89,3,0)*0.475*44/12</f>
        <v>0</v>
      </c>
      <c r="BS38" s="22">
        <f t="shared" si="9"/>
        <v>1.6545306792811878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25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16.847999999999999</v>
      </c>
      <c r="D39" s="11">
        <f t="shared" si="32"/>
        <v>5.5889495622773833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173.19750539301842</v>
      </c>
      <c r="H39" s="67">
        <f t="shared" si="1"/>
        <v>332.4110204876331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27.8</v>
      </c>
      <c r="N39" s="13">
        <f>IF('Données projet'!$A$36&gt;35,N38+M39-V38,IF(A39&lt;'Données projet'!$A$36,$K$205^A39,IF(A39='Données projet'!$A$36,'Données projet'!$B$36,N38+M39-V38)))</f>
        <v>375.80000000000013</v>
      </c>
      <c r="O39" s="13">
        <f>N39*VLOOKUP('Données projet'!$B$9,Paramètres!$A$1:$I$89,3,0)*VLOOKUP('Données projet'!$B$9,Paramètres!$A$1:$I$89,5,0)</f>
        <v>151.44740000000004</v>
      </c>
      <c r="P39" s="13">
        <f t="shared" si="33"/>
        <v>38.90732840217283</v>
      </c>
      <c r="Q39" s="20">
        <f t="shared" si="53"/>
        <v>331.53448530045102</v>
      </c>
      <c r="R39" s="59">
        <f t="shared" si="0"/>
        <v>624.86781863378428</v>
      </c>
      <c r="S39" s="59">
        <f ca="1">AVERAGE(OFFSET($R$3,0,0,'Données projet'!$E$9+1,1))-AVERAGE(OFFSET($H$3,0,0,'Données projet'!$E$9+1,1))</f>
        <v>321.12254860105566</v>
      </c>
      <c r="T39" s="59">
        <f t="shared" si="34"/>
        <v>270.52026164274571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11.726747689164746</v>
      </c>
      <c r="AA39" s="21">
        <f>EXP(-LN(2)/25)*AA38+(1-EXP(-LN(2)/25))/(LN(2)/25)*Calculateur!V39*Calculateur!X39*VLOOKUP('Données projet'!$B$9,Paramètres!$A$1:$I$89,3,0)*0.475*44/12</f>
        <v>17.459599255243145</v>
      </c>
      <c r="AB39" s="21">
        <f>EXP(-LN(2)/2)*AB38+(1-EXP(-LN(2)/2))/(LN(2)/2)*V39*Y39*VLOOKUP('Données projet'!$B$9,Paramètres!$A$1:$I$89,3,0)*0.475*44/12</f>
        <v>0</v>
      </c>
      <c r="AC39" s="22">
        <f t="shared" si="3"/>
        <v>29.186346944407891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>
        <f>VLOOKUP(A39,'Données projet'!$A$61:$I$81,2,0)</f>
        <v>519</v>
      </c>
      <c r="AG39" s="12">
        <f>VLOOKUP(A39,'Données projet'!$A$61:$I$81,9,0)</f>
        <v>40.5</v>
      </c>
      <c r="AH39" s="12">
        <f t="array" ref="AH39">INDEX(AG:AG,MIN(IF(ISNUMBER(AG39:AG235),ROW(AG39:AG235),"")))</f>
        <v>40.5</v>
      </c>
      <c r="AI39" s="13">
        <f>IF('Données projet'!$A$62&gt;35,AI38+AH39-AQ38,IF(A39&lt;'Données projet'!$A$62,$AF$205^A39,IF(A39='Données projet'!$A$62,'Données projet'!$B$62,AI38+AH39-AQ38)))</f>
        <v>519</v>
      </c>
      <c r="AJ39" s="13">
        <f>AI39*VLOOKUP('Données projet'!$B$10,Paramètres!$A$1:$I$89,3,0)*VLOOKUP('Données projet'!$B$10,Paramètres!$A$1:$I$89,5,0)</f>
        <v>242.89200000000002</v>
      </c>
      <c r="AK39" s="13">
        <f t="shared" si="35"/>
        <v>59.061323940051253</v>
      </c>
      <c r="AL39" s="20">
        <f t="shared" si="4"/>
        <v>525.90203919558928</v>
      </c>
      <c r="AM39" s="59">
        <f t="shared" si="5"/>
        <v>819.23537252892265</v>
      </c>
      <c r="AN39" s="59">
        <f ca="1">AVERAGE(OFFSET($AM$3,0,0,'Données projet'!$E$10+1,1))-AVERAGE(OFFSET($H$3,0,0,'Données projet'!$E$10+1,1))</f>
        <v>267.78121291362345</v>
      </c>
      <c r="AO39" s="59">
        <f t="shared" si="36"/>
        <v>320.1780590861174</v>
      </c>
      <c r="AP39" s="15">
        <f>IF(ISNA(VLOOKUP(A39,'Données projet'!$A$61:$I$81,3,0)),0,VLOOKUP(A39,'Données projet'!$A$61:$I$81,3,0))</f>
        <v>5</v>
      </c>
      <c r="AQ39" s="15">
        <f>IF(ISNA(VLOOKUP(A39,'Données projet'!$A$61:$I$81,4,0)),0,VLOOKUP(A39,'Données projet'!$A$61:$I$81,4,0))</f>
        <v>59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6.4659300816323526</v>
      </c>
      <c r="AV39" s="21">
        <f>EXP(-LN(2)/25)*AV38+(1-EXP(-LN(2)/25))/(LN(2)/25)*Calculateur!AQ39*Calculateur!AS39*VLOOKUP('Données projet'!$B$10,Paramètres!$A$1:$I$89,3,0)*0.475*44/12</f>
        <v>16.990304636021676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23.456234717654027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7</v>
      </c>
      <c r="BD39" s="12">
        <f>IF('Données projet'!$A$88&gt;35,BD38+BC39-BL38,IF(A39&lt;'Données projet'!$A$88,$BA$205^A39,IF(A39='Données projet'!$A$88,'Données projet'!$B$88,BD38+BC39-BL38)))</f>
        <v>122</v>
      </c>
      <c r="BE39" s="13">
        <f>BD39*VLOOKUP('Données projet'!$B$11,Paramètres!$A$1:$I$89,3,0)*VLOOKUP('Données projet'!$B$11,Paramètres!$A$1:$I$89,5,0)</f>
        <v>106.57920000000001</v>
      </c>
      <c r="BF39" s="13">
        <f t="shared" si="37"/>
        <v>28.523541515222938</v>
      </c>
      <c r="BG39" s="20">
        <f t="shared" si="7"/>
        <v>235.30394147234665</v>
      </c>
      <c r="BH39" s="59">
        <f t="shared" si="8"/>
        <v>528.63727480567991</v>
      </c>
      <c r="BI39" s="59">
        <f ca="1">AVERAGE(OFFSET($BH$3,0,0,'Données projet'!$E$11+1,1))-AVERAGE(OFFSET($H$3,0,0,'Données projet'!$E$11+1,1))</f>
        <v>212.82470567725971</v>
      </c>
      <c r="BJ39" s="59">
        <f t="shared" si="38"/>
        <v>196.91968622092054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0</v>
      </c>
      <c r="BQ39" s="21">
        <f>EXP(-LN(2)/25)*BQ38+(1-EXP(-LN(2)/25))/(LN(2)/25)*Calculateur!BL39*Calculateur!BN39*VLOOKUP('Données projet'!$B$11,Paramètres!$A$1:$I$89,3,0)*0.475*44/12</f>
        <v>1.6092874508482569</v>
      </c>
      <c r="BR39" s="21">
        <f>EXP(-LN(2)/2)*BR38+(1-EXP(-LN(2)/2))/(LN(2)/2)*BL39*BO39*VLOOKUP('Données projet'!$B$11,Paramètres!$A$1:$I$89,3,0)*0.475*44/12</f>
        <v>0</v>
      </c>
      <c r="BS39" s="22">
        <f t="shared" si="9"/>
        <v>1.6092874508482569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25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17.315999999999999</v>
      </c>
      <c r="D40" s="11">
        <f t="shared" si="32"/>
        <v>5.7259077130880893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177.86735778524135</v>
      </c>
      <c r="H40" s="67">
        <f t="shared" si="1"/>
        <v>333.46465593362842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27.8</v>
      </c>
      <c r="N40" s="13">
        <f>IF('Données projet'!$A$36&gt;35,N39+M40-V39,IF(A40&lt;'Données projet'!$A$36,$K$205^A40,IF(A40='Données projet'!$A$36,'Données projet'!$B$36,N39+M40-V39)))</f>
        <v>403.60000000000014</v>
      </c>
      <c r="O40" s="13">
        <f>N40*VLOOKUP('Données projet'!$B$9,Paramètres!$A$1:$I$89,3,0)*VLOOKUP('Données projet'!$B$9,Paramètres!$A$1:$I$89,5,0)</f>
        <v>162.65080000000006</v>
      </c>
      <c r="P40" s="13">
        <f t="shared" si="33"/>
        <v>41.439837761751669</v>
      </c>
      <c r="Q40" s="20">
        <f t="shared" si="53"/>
        <v>355.45786076838431</v>
      </c>
      <c r="R40" s="59">
        <f t="shared" si="0"/>
        <v>648.79119410171756</v>
      </c>
      <c r="S40" s="59">
        <f ca="1">AVERAGE(OFFSET($R$3,0,0,'Données projet'!$E$9+1,1))-AVERAGE(OFFSET($H$3,0,0,'Données projet'!$E$9+1,1))</f>
        <v>321.12254860105566</v>
      </c>
      <c r="T40" s="59">
        <f t="shared" si="34"/>
        <v>270.52026164274571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11.496793319590054</v>
      </c>
      <c r="AA40" s="21">
        <f>EXP(-LN(2)/25)*AA39+(1-EXP(-LN(2)/25))/(LN(2)/25)*Calculateur!V40*Calculateur!X40*VLOOKUP('Données projet'!$B$9,Paramètres!$A$1:$I$89,3,0)*0.475*44/12</f>
        <v>16.982165595448102</v>
      </c>
      <c r="AB40" s="21">
        <f>EXP(-LN(2)/2)*AB39+(1-EXP(-LN(2)/2))/(LN(2)/2)*V40*Y40*VLOOKUP('Données projet'!$B$9,Paramètres!$A$1:$I$89,3,0)*0.475*44/12</f>
        <v>0</v>
      </c>
      <c r="AC40" s="22">
        <f t="shared" si="3"/>
        <v>28.478958915038156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36.75</v>
      </c>
      <c r="AI40" s="13">
        <f>IF('Données projet'!$A$62&gt;35,AI39+AH40-AQ39,IF(A40&lt;'Données projet'!$A$62,$AF$205^A40,IF(A40='Données projet'!$A$62,'Données projet'!$B$62,AI39+AH40-AQ39)))</f>
        <v>496.75</v>
      </c>
      <c r="AJ40" s="13">
        <f>AI40*VLOOKUP('Données projet'!$B$10,Paramètres!$A$1:$I$89,3,0)*VLOOKUP('Données projet'!$B$10,Paramètres!$A$1:$I$89,5,0)</f>
        <v>232.47899999999998</v>
      </c>
      <c r="AK40" s="13">
        <f t="shared" si="35"/>
        <v>56.818364390033999</v>
      </c>
      <c r="AL40" s="20">
        <f t="shared" si="4"/>
        <v>503.85957631264245</v>
      </c>
      <c r="AM40" s="59">
        <f t="shared" si="5"/>
        <v>797.19290964597576</v>
      </c>
      <c r="AN40" s="59">
        <f ca="1">AVERAGE(OFFSET($AM$3,0,0,'Données projet'!$E$10+1,1))-AVERAGE(OFFSET($H$3,0,0,'Données projet'!$E$10+1,1))</f>
        <v>267.78121291362345</v>
      </c>
      <c r="AO40" s="59">
        <f t="shared" si="36"/>
        <v>320.1780590861174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6.3391371365594713</v>
      </c>
      <c r="AV40" s="21">
        <f>EXP(-LN(2)/25)*AV39+(1-EXP(-LN(2)/25))/(LN(2)/25)*Calculateur!AQ40*Calculateur!AS40*VLOOKUP('Données projet'!$B$10,Paramètres!$A$1:$I$89,3,0)*0.475*44/12</f>
        <v>16.525703862268376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22.864840998827848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7</v>
      </c>
      <c r="BD40" s="12">
        <f>IF('Données projet'!$A$88&gt;35,BD39+BC40-BL39,IF(A40&lt;'Données projet'!$A$88,$BA$205^A40,IF(A40='Données projet'!$A$88,'Données projet'!$B$88,BD39+BC40-BL39)))</f>
        <v>129</v>
      </c>
      <c r="BE40" s="13">
        <f>BD40*VLOOKUP('Données projet'!$B$11,Paramètres!$A$1:$I$89,3,0)*VLOOKUP('Données projet'!$B$11,Paramètres!$A$1:$I$89,5,0)</f>
        <v>112.69440000000002</v>
      </c>
      <c r="BF40" s="13">
        <f t="shared" si="37"/>
        <v>29.964909381330632</v>
      </c>
      <c r="BG40" s="20">
        <f t="shared" si="7"/>
        <v>248.46496383915087</v>
      </c>
      <c r="BH40" s="59">
        <f t="shared" si="8"/>
        <v>541.79829717248413</v>
      </c>
      <c r="BI40" s="59">
        <f ca="1">AVERAGE(OFFSET($BH$3,0,0,'Données projet'!$E$11+1,1))-AVERAGE(OFFSET($H$3,0,0,'Données projet'!$E$11+1,1))</f>
        <v>212.82470567725971</v>
      </c>
      <c r="BJ40" s="59">
        <f t="shared" si="38"/>
        <v>196.91968622092054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0</v>
      </c>
      <c r="BQ40" s="21">
        <f>EXP(-LN(2)/25)*BQ39+(1-EXP(-LN(2)/25))/(LN(2)/25)*Calculateur!BL40*Calculateur!BN40*VLOOKUP('Données projet'!$B$11,Paramètres!$A$1:$I$89,3,0)*0.475*44/12</f>
        <v>1.5652814008760623</v>
      </c>
      <c r="BR40" s="21">
        <f>EXP(-LN(2)/2)*BR39+(1-EXP(-LN(2)/2))/(LN(2)/2)*BL40*BO40*VLOOKUP('Données projet'!$B$11,Paramètres!$A$1:$I$89,3,0)*0.475*44/12</f>
        <v>0</v>
      </c>
      <c r="BS40" s="22">
        <f t="shared" si="9"/>
        <v>1.5652814008760623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25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17.783999999999999</v>
      </c>
      <c r="D41" s="11">
        <f t="shared" si="32"/>
        <v>5.862435622634961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182.5338890168313</v>
      </c>
      <c r="H41" s="67">
        <f t="shared" si="1"/>
        <v>334.51754204275585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27.8</v>
      </c>
      <c r="N41" s="13">
        <f>IF('Données projet'!$A$36&gt;35,N40+M41-V40,IF(A41&lt;'Données projet'!$A$36,$K$205^A41,IF(A41='Données projet'!$A$36,'Données projet'!$B$36,N40+M41-V40)))</f>
        <v>431.40000000000015</v>
      </c>
      <c r="O41" s="13">
        <f>N41*VLOOKUP('Données projet'!$B$9,Paramètres!$A$1:$I$89,3,0)*VLOOKUP('Données projet'!$B$9,Paramètres!$A$1:$I$89,5,0)</f>
        <v>173.85420000000005</v>
      </c>
      <c r="P41" s="13">
        <f t="shared" si="33"/>
        <v>43.952106662721832</v>
      </c>
      <c r="Q41" s="20">
        <f t="shared" si="53"/>
        <v>379.34598410424059</v>
      </c>
      <c r="R41" s="59">
        <f t="shared" si="0"/>
        <v>672.6793174375739</v>
      </c>
      <c r="S41" s="59">
        <f ca="1">AVERAGE(OFFSET($R$3,0,0,'Données projet'!$E$9+1,1))-AVERAGE(OFFSET($H$3,0,0,'Données projet'!$E$9+1,1))</f>
        <v>321.12254860105566</v>
      </c>
      <c r="T41" s="59">
        <f t="shared" si="34"/>
        <v>270.52026164274571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11.271348214944407</v>
      </c>
      <c r="AA41" s="21">
        <f>EXP(-LN(2)/25)*AA40+(1-EXP(-LN(2)/25))/(LN(2)/25)*Calculateur!V41*Calculateur!X41*VLOOKUP('Données projet'!$B$9,Paramètres!$A$1:$I$89,3,0)*0.475*44/12</f>
        <v>16.517787384187297</v>
      </c>
      <c r="AB41" s="21">
        <f>EXP(-LN(2)/2)*AB40+(1-EXP(-LN(2)/2))/(LN(2)/2)*V41*Y41*VLOOKUP('Données projet'!$B$9,Paramètres!$A$1:$I$89,3,0)*0.475*44/12</f>
        <v>0</v>
      </c>
      <c r="AC41" s="22">
        <f t="shared" si="3"/>
        <v>27.789135599131704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36.75</v>
      </c>
      <c r="AI41" s="13">
        <f>IF('Données projet'!$A$62&gt;35,AI40+AH41-AQ40,IF(A41&lt;'Données projet'!$A$62,$AF$205^A41,IF(A41='Données projet'!$A$62,'Données projet'!$B$62,AI40+AH41-AQ40)))</f>
        <v>533.5</v>
      </c>
      <c r="AJ41" s="13">
        <f>AI41*VLOOKUP('Données projet'!$B$10,Paramètres!$A$1:$I$89,3,0)*VLOOKUP('Données projet'!$B$10,Paramètres!$A$1:$I$89,5,0)</f>
        <v>249.678</v>
      </c>
      <c r="AK41" s="13">
        <f t="shared" si="35"/>
        <v>60.516984227464135</v>
      </c>
      <c r="AL41" s="20">
        <f t="shared" si="4"/>
        <v>540.25626419616674</v>
      </c>
      <c r="AM41" s="59">
        <f t="shared" si="5"/>
        <v>833.5895975295</v>
      </c>
      <c r="AN41" s="59">
        <f ca="1">AVERAGE(OFFSET($AM$3,0,0,'Données projet'!$E$10+1,1))-AVERAGE(OFFSET($H$3,0,0,'Données projet'!$E$10+1,1))</f>
        <v>267.78121291362345</v>
      </c>
      <c r="AO41" s="59">
        <f t="shared" si="36"/>
        <v>320.1780590861174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6.2148305238034087</v>
      </c>
      <c r="AV41" s="21">
        <f>EXP(-LN(2)/25)*AV40+(1-EXP(-LN(2)/25))/(LN(2)/25)*Calculateur!AQ41*Calculateur!AS41*VLOOKUP('Données projet'!$B$10,Paramètres!$A$1:$I$89,3,0)*0.475*44/12</f>
        <v>16.073807621105651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22.288638144909058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7</v>
      </c>
      <c r="BD41" s="12">
        <f>IF('Données projet'!$A$88&gt;35,BD40+BC41-BL40,IF(A41&lt;'Données projet'!$A$88,$BA$205^A41,IF(A41='Données projet'!$A$88,'Données projet'!$B$88,BD40+BC41-BL40)))</f>
        <v>136</v>
      </c>
      <c r="BE41" s="13">
        <f>BD41*VLOOKUP('Données projet'!$B$11,Paramètres!$A$1:$I$89,3,0)*VLOOKUP('Données projet'!$B$11,Paramètres!$A$1:$I$89,5,0)</f>
        <v>118.80960000000002</v>
      </c>
      <c r="BF41" s="13">
        <f t="shared" si="37"/>
        <v>31.39719715333722</v>
      </c>
      <c r="BG41" s="20">
        <f t="shared" si="7"/>
        <v>261.61017170872901</v>
      </c>
      <c r="BH41" s="59">
        <f t="shared" si="8"/>
        <v>554.94350504206227</v>
      </c>
      <c r="BI41" s="59">
        <f ca="1">AVERAGE(OFFSET($BH$3,0,0,'Données projet'!$E$11+1,1))-AVERAGE(OFFSET($H$3,0,0,'Données projet'!$E$11+1,1))</f>
        <v>212.82470567725971</v>
      </c>
      <c r="BJ41" s="59">
        <f t="shared" si="38"/>
        <v>196.91968622092054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0</v>
      </c>
      <c r="BQ41" s="21">
        <f>EXP(-LN(2)/25)*BQ40+(1-EXP(-LN(2)/25))/(LN(2)/25)*Calculateur!BL41*Calculateur!BN41*VLOOKUP('Données projet'!$B$11,Paramètres!$A$1:$I$89,3,0)*0.475*44/12</f>
        <v>1.5224786986545349</v>
      </c>
      <c r="BR41" s="21">
        <f>EXP(-LN(2)/2)*BR40+(1-EXP(-LN(2)/2))/(LN(2)/2)*BL41*BO41*VLOOKUP('Données projet'!$B$11,Paramètres!$A$1:$I$89,3,0)*0.475*44/12</f>
        <v>0</v>
      </c>
      <c r="BS41" s="22">
        <f t="shared" si="9"/>
        <v>1.5224786986545349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25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18.251999999999999</v>
      </c>
      <c r="D42" s="11">
        <f t="shared" si="32"/>
        <v>5.9985459145634135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187.19719653347192</v>
      </c>
      <c r="H42" s="67">
        <f t="shared" si="1"/>
        <v>335.56970080119794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27.8</v>
      </c>
      <c r="N42" s="13">
        <f>IF('Données projet'!$A$36&gt;35,N41+M42-V41,IF(A42&lt;'Données projet'!$A$36,$K$205^A42,IF(A42='Données projet'!$A$36,'Données projet'!$B$36,N41+M42-V41)))</f>
        <v>459.20000000000016</v>
      </c>
      <c r="O42" s="13">
        <f>N42*VLOOKUP('Données projet'!$B$9,Paramètres!$A$1:$I$89,3,0)*VLOOKUP('Données projet'!$B$9,Paramètres!$A$1:$I$89,5,0)</f>
        <v>185.05760000000009</v>
      </c>
      <c r="P42" s="13">
        <f t="shared" si="33"/>
        <v>46.445587878276164</v>
      </c>
      <c r="Q42" s="20">
        <f t="shared" si="53"/>
        <v>403.20138555466451</v>
      </c>
      <c r="R42" s="59">
        <f t="shared" si="0"/>
        <v>696.53471888799777</v>
      </c>
      <c r="S42" s="59">
        <f ca="1">AVERAGE(OFFSET($R$3,0,0,'Données projet'!$E$9+1,1))-AVERAGE(OFFSET($H$3,0,0,'Données projet'!$E$9+1,1))</f>
        <v>321.12254860105566</v>
      </c>
      <c r="T42" s="59">
        <f t="shared" si="34"/>
        <v>270.52026164274571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11.050323951292924</v>
      </c>
      <c r="AA42" s="21">
        <f>EXP(-LN(2)/25)*AA41+(1-EXP(-LN(2)/25))/(LN(2)/25)*Calculateur!V42*Calculateur!X42*VLOOKUP('Données projet'!$B$9,Paramètres!$A$1:$I$89,3,0)*0.475*44/12</f>
        <v>16.066107619534009</v>
      </c>
      <c r="AB42" s="21">
        <f>EXP(-LN(2)/2)*AB41+(1-EXP(-LN(2)/2))/(LN(2)/2)*V42*Y42*VLOOKUP('Données projet'!$B$9,Paramètres!$A$1:$I$89,3,0)*0.475*44/12</f>
        <v>0</v>
      </c>
      <c r="AC42" s="22">
        <f t="shared" si="3"/>
        <v>27.116431570826933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36.75</v>
      </c>
      <c r="AI42" s="13">
        <f>IF('Données projet'!$A$62&gt;35,AI41+AH42-AQ41,IF(A42&lt;'Données projet'!$A$62,$AF$205^A42,IF(A42='Données projet'!$A$62,'Données projet'!$B$62,AI41+AH42-AQ41)))</f>
        <v>570.25</v>
      </c>
      <c r="AJ42" s="13">
        <f>AI42*VLOOKUP('Données projet'!$B$10,Paramètres!$A$1:$I$89,3,0)*VLOOKUP('Données projet'!$B$10,Paramètres!$A$1:$I$89,5,0)</f>
        <v>266.87700000000001</v>
      </c>
      <c r="AK42" s="13">
        <f t="shared" si="35"/>
        <v>64.186041766452092</v>
      </c>
      <c r="AL42" s="20">
        <f t="shared" si="4"/>
        <v>576.601464409904</v>
      </c>
      <c r="AM42" s="59">
        <f t="shared" si="5"/>
        <v>869.93479774323737</v>
      </c>
      <c r="AN42" s="59">
        <f ca="1">AVERAGE(OFFSET($AM$3,0,0,'Données projet'!$E$10+1,1))-AVERAGE(OFFSET($H$3,0,0,'Données projet'!$E$10+1,1))</f>
        <v>267.78121291362345</v>
      </c>
      <c r="AO42" s="59">
        <f t="shared" si="36"/>
        <v>320.1780590861174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6.0929614879039455</v>
      </c>
      <c r="AV42" s="21">
        <f>EXP(-LN(2)/25)*AV41+(1-EXP(-LN(2)/25))/(LN(2)/25)*Calculateur!AQ42*Calculateur!AS42*VLOOKUP('Données projet'!$B$10,Paramètres!$A$1:$I$89,3,0)*0.475*44/12</f>
        <v>15.63426850642171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21.727229994325654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7</v>
      </c>
      <c r="BD42" s="12">
        <f>IF('Données projet'!$A$88&gt;35,BD41+BC42-BL41,IF(A42&lt;'Données projet'!$A$88,$BA$205^A42,IF(A42='Données projet'!$A$88,'Données projet'!$B$88,BD41+BC42-BL41)))</f>
        <v>143</v>
      </c>
      <c r="BE42" s="13">
        <f>BD42*VLOOKUP('Données projet'!$B$11,Paramètres!$A$1:$I$89,3,0)*VLOOKUP('Données projet'!$B$11,Paramètres!$A$1:$I$89,5,0)</f>
        <v>124.92480000000002</v>
      </c>
      <c r="BF42" s="13">
        <f t="shared" si="37"/>
        <v>32.820925500842712</v>
      </c>
      <c r="BG42" s="20">
        <f t="shared" si="7"/>
        <v>274.74047191396772</v>
      </c>
      <c r="BH42" s="59">
        <f t="shared" si="8"/>
        <v>568.07380524730104</v>
      </c>
      <c r="BI42" s="59">
        <f ca="1">AVERAGE(OFFSET($BH$3,0,0,'Données projet'!$E$11+1,1))-AVERAGE(OFFSET($H$3,0,0,'Données projet'!$E$11+1,1))</f>
        <v>212.82470567725971</v>
      </c>
      <c r="BJ42" s="59">
        <f t="shared" si="38"/>
        <v>196.91968622092054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0</v>
      </c>
      <c r="BQ42" s="21">
        <f>EXP(-LN(2)/25)*BQ41+(1-EXP(-LN(2)/25))/(LN(2)/25)*Calculateur!BL42*Calculateur!BN42*VLOOKUP('Données projet'!$B$11,Paramètres!$A$1:$I$89,3,0)*0.475*44/12</f>
        <v>1.4808464385761515</v>
      </c>
      <c r="BR42" s="21">
        <f>EXP(-LN(2)/2)*BR41+(1-EXP(-LN(2)/2))/(LN(2)/2)*BL42*BO42*VLOOKUP('Données projet'!$B$11,Paramètres!$A$1:$I$89,3,0)*0.475*44/12</f>
        <v>0</v>
      </c>
      <c r="BS42" s="22">
        <f t="shared" si="9"/>
        <v>1.4808464385761515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25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18.72</v>
      </c>
      <c r="D43" s="11">
        <f t="shared" si="32"/>
        <v>6.1342505282708037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191.85737249893251</v>
      </c>
      <c r="H43" s="67">
        <f t="shared" si="1"/>
        <v>336.62115300340497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>
        <f>VLOOKUP(A43,'Données projet'!$A$35:$I$55,2,0)</f>
        <v>487</v>
      </c>
      <c r="L43" s="12">
        <f>VLOOKUP(A43,'Données projet'!$A$35:$I$55,9,0)</f>
        <v>27.8</v>
      </c>
      <c r="M43" s="12">
        <f t="array" ref="M43">INDEX(L:L,MIN(IF(ISNUMBER(L43:L239),ROW(L43:L239),"")))</f>
        <v>27.8</v>
      </c>
      <c r="N43" s="13">
        <f>IF('Données projet'!$A$36&gt;35,N42+M43-V42,IF(A43&lt;'Données projet'!$A$36,$K$205^A43,IF(A43='Données projet'!$A$36,'Données projet'!$B$36,N42+M43-V42)))</f>
        <v>487.00000000000017</v>
      </c>
      <c r="O43" s="13">
        <f>N43*VLOOKUP('Données projet'!$B$9,Paramètres!$A$1:$I$89,3,0)*VLOOKUP('Données projet'!$B$9,Paramètres!$A$1:$I$89,5,0)</f>
        <v>196.26100000000008</v>
      </c>
      <c r="P43" s="13">
        <f t="shared" si="33"/>
        <v>48.921548340754839</v>
      </c>
      <c r="Q43" s="20">
        <f t="shared" si="53"/>
        <v>427.02627169348148</v>
      </c>
      <c r="R43" s="59">
        <f t="shared" si="0"/>
        <v>720.35960502681473</v>
      </c>
      <c r="S43" s="59">
        <f ca="1">AVERAGE(OFFSET($R$3,0,0,'Données projet'!$E$9+1,1))-AVERAGE(OFFSET($H$3,0,0,'Données projet'!$E$9+1,1))</f>
        <v>321.12254860105566</v>
      </c>
      <c r="T43" s="59">
        <f t="shared" si="34"/>
        <v>270.52026164274571</v>
      </c>
      <c r="U43" s="15">
        <f>IF(ISNA(VLOOKUP(A43,'Données projet'!$A$35:$I$55,3,0)),0,VLOOKUP(A43,'Données projet'!$A$35:$I$55,3,0))</f>
        <v>5</v>
      </c>
      <c r="V43" s="15">
        <f>IF(ISNA(VLOOKUP(A43,'Données projet'!$A$35:$I$55,4,0)),0,VLOOKUP(A43,'Données projet'!$A$35:$I$55,4,0))</f>
        <v>70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10.833633838640157</v>
      </c>
      <c r="AA43" s="21">
        <f>EXP(-LN(2)/25)*AA42+(1-EXP(-LN(2)/25))/(LN(2)/25)*Calculateur!V43*Calculateur!X43*VLOOKUP('Données projet'!$B$9,Paramètres!$A$1:$I$89,3,0)*0.475*44/12</f>
        <v>15.62677906179797</v>
      </c>
      <c r="AB43" s="21">
        <f>EXP(-LN(2)/2)*AB42+(1-EXP(-LN(2)/2))/(LN(2)/2)*V43*Y43*VLOOKUP('Données projet'!$B$9,Paramètres!$A$1:$I$89,3,0)*0.475*44/12</f>
        <v>0</v>
      </c>
      <c r="AC43" s="22">
        <f t="shared" si="3"/>
        <v>26.460412900438129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607</v>
      </c>
      <c r="AG43" s="12">
        <f>VLOOKUP(A43,'Données projet'!$A$61:$I$81,9,0)</f>
        <v>36.75</v>
      </c>
      <c r="AH43" s="12">
        <f t="array" ref="AH43">INDEX(AG:AG,MIN(IF(ISNUMBER(AG43:AG239),ROW(AG43:AG239),"")))</f>
        <v>36.75</v>
      </c>
      <c r="AI43" s="13">
        <f>IF('Données projet'!$A$62&gt;35,AI42+AH43-AQ42,IF(A43&lt;'Données projet'!$A$62,$AF$205^A43,IF(A43='Données projet'!$A$62,'Données projet'!$B$62,AI42+AH43-AQ42)))</f>
        <v>607</v>
      </c>
      <c r="AJ43" s="13">
        <f>AI43*VLOOKUP('Données projet'!$B$10,Paramètres!$A$1:$I$89,3,0)*VLOOKUP('Données projet'!$B$10,Paramètres!$A$1:$I$89,5,0)</f>
        <v>284.07599999999996</v>
      </c>
      <c r="AK43" s="13">
        <f t="shared" si="35"/>
        <v>67.827658995553833</v>
      </c>
      <c r="AL43" s="20">
        <f t="shared" si="4"/>
        <v>612.89887275058948</v>
      </c>
      <c r="AM43" s="59">
        <f t="shared" si="5"/>
        <v>906.23220608392285</v>
      </c>
      <c r="AN43" s="59">
        <f ca="1">AVERAGE(OFFSET($AM$3,0,0,'Données projet'!$E$10+1,1))-AVERAGE(OFFSET($H$3,0,0,'Données projet'!$E$10+1,1))</f>
        <v>267.78121291362345</v>
      </c>
      <c r="AO43" s="59">
        <f t="shared" si="36"/>
        <v>320.1780590861174</v>
      </c>
      <c r="AP43" s="15">
        <f>IF(ISNA(VLOOKUP(A43,'Données projet'!$A$61:$I$81,3,0)),0,VLOOKUP(A43,'Données projet'!$A$61:$I$81,3,0))</f>
        <v>6</v>
      </c>
      <c r="AQ43" s="15">
        <f>IF(ISNA(VLOOKUP(A43,'Données projet'!$A$61:$I$81,4,0)),0,VLOOKUP(A43,'Données projet'!$A$61:$I$81,4,0))</f>
        <v>55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5.9734822294656986</v>
      </c>
      <c r="AV43" s="21">
        <f>EXP(-LN(2)/25)*AV42+(1-EXP(-LN(2)/25))/(LN(2)/25)*Calculateur!AQ43*Calculateur!AS43*VLOOKUP('Données projet'!$B$10,Paramètres!$A$1:$I$89,3,0)*0.475*44/12</f>
        <v>15.20674861194316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21.180230841408857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>
        <f>VLOOKUP(A43,'Données projet'!$A$87:$I$107,2,0)</f>
        <v>150</v>
      </c>
      <c r="BB43" s="12">
        <f>VLOOKUP(A43,'Données projet'!$A$87:$I$107,9,0)</f>
        <v>7</v>
      </c>
      <c r="BC43" s="12">
        <f t="array" ref="BC43">INDEX(BB:BB,MIN(IF(ISNUMBER(BB43:BB239),ROW(BB43:BB239),"")))</f>
        <v>7</v>
      </c>
      <c r="BD43" s="12">
        <f>IF('Données projet'!$A$88&gt;35,BD42+BC43-BL42,IF(A43&lt;'Données projet'!$A$88,$BA$205^A43,IF(A43='Données projet'!$A$88,'Données projet'!$B$88,BD42+BC43-BL42)))</f>
        <v>150</v>
      </c>
      <c r="BE43" s="13">
        <f>BD43*VLOOKUP('Données projet'!$B$11,Paramètres!$A$1:$I$89,3,0)*VLOOKUP('Données projet'!$B$11,Paramètres!$A$1:$I$89,5,0)</f>
        <v>131.04000000000002</v>
      </c>
      <c r="BF43" s="13">
        <f t="shared" si="37"/>
        <v>34.236561238949918</v>
      </c>
      <c r="BG43" s="20">
        <f t="shared" si="7"/>
        <v>287.85667749117118</v>
      </c>
      <c r="BH43" s="59">
        <f t="shared" si="8"/>
        <v>581.1900108245045</v>
      </c>
      <c r="BI43" s="59">
        <f ca="1">AVERAGE(OFFSET($BH$3,0,0,'Données projet'!$E$11+1,1))-AVERAGE(OFFSET($H$3,0,0,'Données projet'!$E$11+1,1))</f>
        <v>212.82470567725971</v>
      </c>
      <c r="BJ43" s="59">
        <f t="shared" si="38"/>
        <v>196.91968622092054</v>
      </c>
      <c r="BK43" s="15">
        <f>IF(ISNA(VLOOKUP(A43,'Données projet'!$A$87:$I$107,3,0)),0,VLOOKUP(A43,'Données projet'!$A$87:$I$107,3,0))</f>
        <v>5</v>
      </c>
      <c r="BL43" s="15">
        <f>IF(ISNA(VLOOKUP(A43,'Données projet'!$A$87:$I$107,4,0)),0,VLOOKUP(A43,'Données projet'!$A$87:$I$107,4,0))</f>
        <v>20</v>
      </c>
      <c r="BM43" s="16">
        <f>IF(ISNA(VLOOKUP(A43,'Données projet'!$A$87:$I$107,5,0)),0%,VLOOKUP(A43,'Données projet'!$A$87:$I$107,5,0)*VLOOKUP('Données projet'!$B$11,Paramètres!$A$1:$I$89,7,0))</f>
        <v>4.3000000000000003E-2</v>
      </c>
      <c r="BN43" s="16">
        <f>IF(ISNA(VLOOKUP(A43,'Données projet'!$A$87:$I$107,6,0)),0%,VLOOKUP(A43,'Données projet'!$A$87:$I$107,6,0)*VLOOKUP('Données projet'!$B$11,Paramètres!$A$1:$I$89,7,0))</f>
        <v>8.6000000000000007E-2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0.83053547426158747</v>
      </c>
      <c r="BQ43" s="21">
        <f>EXP(-LN(2)/25)*BQ42+(1-EXP(-LN(2)/25))/(LN(2)/25)*Calculateur!BL43*Calculateur!BN43*VLOOKUP('Données projet'!$B$11,Paramètres!$A$1:$I$89,3,0)*0.475*44/12</f>
        <v>3.0948832941201445</v>
      </c>
      <c r="BR43" s="21">
        <f>EXP(-LN(2)/2)*BR42+(1-EXP(-LN(2)/2))/(LN(2)/2)*BL43*BO43*VLOOKUP('Données projet'!$B$11,Paramètres!$A$1:$I$89,3,0)*0.475*44/12</f>
        <v>0</v>
      </c>
      <c r="BS43" s="22">
        <f t="shared" si="9"/>
        <v>3.9254187683817321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25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19.187999999999999</v>
      </c>
      <c r="D44" s="11">
        <f t="shared" si="32"/>
        <v>6.2695607721610704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196.51450420615564</v>
      </c>
      <c r="H44" s="67">
        <f t="shared" si="1"/>
        <v>337.6719183448472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26.2</v>
      </c>
      <c r="N44" s="13">
        <f>IF('Données projet'!$A$36&gt;35,N43+M44-V43,IF(A44&lt;'Données projet'!$A$36,$K$205^A44,IF(A44='Données projet'!$A$36,'Données projet'!$B$36,N43+M44-V43)))</f>
        <v>443.20000000000016</v>
      </c>
      <c r="O44" s="13">
        <f>N44*VLOOKUP('Données projet'!$B$9,Paramètres!$A$1:$I$89,3,0)*VLOOKUP('Données projet'!$B$9,Paramètres!$A$1:$I$89,5,0)</f>
        <v>178.60960000000009</v>
      </c>
      <c r="P44" s="13">
        <f t="shared" si="33"/>
        <v>45.012708314782529</v>
      </c>
      <c r="Q44" s="20">
        <f t="shared" si="53"/>
        <v>389.47552031491313</v>
      </c>
      <c r="R44" s="59">
        <f t="shared" si="0"/>
        <v>682.80885364824644</v>
      </c>
      <c r="S44" s="59">
        <f ca="1">AVERAGE(OFFSET($R$3,0,0,'Données projet'!$E$9+1,1))-AVERAGE(OFFSET($H$3,0,0,'Données projet'!$E$9+1,1))</f>
        <v>321.12254860105566</v>
      </c>
      <c r="T44" s="59">
        <f t="shared" si="34"/>
        <v>270.52026164274571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10.621192886928593</v>
      </c>
      <c r="AA44" s="21">
        <f>EXP(-LN(2)/25)*AA43+(1-EXP(-LN(2)/25))/(LN(2)/25)*Calculateur!V44*Calculateur!X44*VLOOKUP('Données projet'!$B$9,Paramètres!$A$1:$I$89,3,0)*0.475*44/12</f>
        <v>15.199463966576509</v>
      </c>
      <c r="AB44" s="21">
        <f>EXP(-LN(2)/2)*AB43+(1-EXP(-LN(2)/2))/(LN(2)/2)*V44*Y44*VLOOKUP('Données projet'!$B$9,Paramètres!$A$1:$I$89,3,0)*0.475*44/12</f>
        <v>0</v>
      </c>
      <c r="AC44" s="22">
        <f t="shared" si="3"/>
        <v>25.820656853505103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31.8</v>
      </c>
      <c r="AI44" s="13">
        <f>IF('Données projet'!$A$62&gt;35,AI43+AH44-AQ43,IF(A44&lt;'Données projet'!$A$62,$AF$205^A44,IF(A44='Données projet'!$A$62,'Données projet'!$B$62,AI43+AH44-AQ43)))</f>
        <v>583.79999999999995</v>
      </c>
      <c r="AJ44" s="13">
        <f>AI44*VLOOKUP('Données projet'!$B$10,Paramètres!$A$1:$I$89,3,0)*VLOOKUP('Données projet'!$B$10,Paramètres!$A$1:$I$89,5,0)</f>
        <v>273.21839999999997</v>
      </c>
      <c r="AK44" s="13">
        <f t="shared" si="35"/>
        <v>65.531823238554821</v>
      </c>
      <c r="AL44" s="20">
        <f t="shared" si="4"/>
        <v>589.98997214048279</v>
      </c>
      <c r="AM44" s="59">
        <f t="shared" si="5"/>
        <v>883.32330547381616</v>
      </c>
      <c r="AN44" s="59">
        <f ca="1">AVERAGE(OFFSET($AM$3,0,0,'Données projet'!$E$10+1,1))-AVERAGE(OFFSET($H$3,0,0,'Données projet'!$E$10+1,1))</f>
        <v>267.78121291362345</v>
      </c>
      <c r="AO44" s="59">
        <f t="shared" si="36"/>
        <v>320.1780590861174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5.8563458864102742</v>
      </c>
      <c r="AV44" s="21">
        <f>EXP(-LN(2)/25)*AV43+(1-EXP(-LN(2)/25))/(LN(2)/25)*Calculateur!AQ44*Calculateur!AS44*VLOOKUP('Données projet'!$B$10,Paramètres!$A$1:$I$89,3,0)*0.475*44/12</f>
        <v>14.790919271461421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20.647265157871693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6.4</v>
      </c>
      <c r="BD44" s="12">
        <f>IF('Données projet'!$A$88&gt;35,BD43+BC44-BL43,IF(A44&lt;'Données projet'!$A$88,$BA$205^A44,IF(A44='Données projet'!$A$88,'Données projet'!$B$88,BD43+BC44-BL43)))</f>
        <v>136.4</v>
      </c>
      <c r="BE44" s="13">
        <f>BD44*VLOOKUP('Données projet'!$B$11,Paramètres!$A$1:$I$89,3,0)*VLOOKUP('Données projet'!$B$11,Paramètres!$A$1:$I$89,5,0)</f>
        <v>119.15904000000003</v>
      </c>
      <c r="BF44" s="13">
        <f t="shared" si="37"/>
        <v>31.478778976043767</v>
      </c>
      <c r="BG44" s="20">
        <f t="shared" si="7"/>
        <v>262.36086804994295</v>
      </c>
      <c r="BH44" s="59">
        <f t="shared" si="8"/>
        <v>555.69420138327632</v>
      </c>
      <c r="BI44" s="59">
        <f ca="1">AVERAGE(OFFSET($BH$3,0,0,'Données projet'!$E$11+1,1))-AVERAGE(OFFSET($H$3,0,0,'Données projet'!$E$11+1,1))</f>
        <v>212.82470567725971</v>
      </c>
      <c r="BJ44" s="59">
        <f t="shared" si="38"/>
        <v>196.91968622092054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0.81424918018793679</v>
      </c>
      <c r="BQ44" s="21">
        <f>EXP(-LN(2)/25)*BQ43+(1-EXP(-LN(2)/25))/(LN(2)/25)*Calculateur!BL44*Calculateur!BN44*VLOOKUP('Données projet'!$B$11,Paramètres!$A$1:$I$89,3,0)*0.475*44/12</f>
        <v>3.0102535476895902</v>
      </c>
      <c r="BR44" s="21">
        <f>EXP(-LN(2)/2)*BR43+(1-EXP(-LN(2)/2))/(LN(2)/2)*BL44*BO44*VLOOKUP('Données projet'!$B$11,Paramètres!$A$1:$I$89,3,0)*0.475*44/12</f>
        <v>0</v>
      </c>
      <c r="BS44" s="22">
        <f t="shared" si="9"/>
        <v>3.824502727877527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25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19.655999999999999</v>
      </c>
      <c r="D45" s="11">
        <f t="shared" si="32"/>
        <v>6.4044873715575275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201.16867444711076</v>
      </c>
      <c r="H45" s="67">
        <f t="shared" si="1"/>
        <v>338.72201550546265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26.2</v>
      </c>
      <c r="N45" s="13">
        <f>IF('Données projet'!$A$36&gt;35,N44+M45-V44,IF(A45&lt;'Données projet'!$A$36,$K$205^A45,IF(A45='Données projet'!$A$36,'Données projet'!$B$36,N44+M45-V44)))</f>
        <v>469.40000000000015</v>
      </c>
      <c r="O45" s="13">
        <f>N45*VLOOKUP('Données projet'!$B$9,Paramètres!$A$1:$I$89,3,0)*VLOOKUP('Données projet'!$B$9,Paramètres!$A$1:$I$89,5,0)</f>
        <v>189.16820000000007</v>
      </c>
      <c r="P45" s="13">
        <f t="shared" si="33"/>
        <v>47.356006748480397</v>
      </c>
      <c r="Q45" s="20">
        <f t="shared" si="53"/>
        <v>411.94632675360344</v>
      </c>
      <c r="R45" s="59">
        <f t="shared" si="0"/>
        <v>705.2796600869367</v>
      </c>
      <c r="S45" s="59">
        <f ca="1">AVERAGE(OFFSET($R$3,0,0,'Données projet'!$E$9+1,1))-AVERAGE(OFFSET($H$3,0,0,'Données projet'!$E$9+1,1))</f>
        <v>321.12254860105566</v>
      </c>
      <c r="T45" s="59">
        <f t="shared" si="34"/>
        <v>270.52026164274571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10.412917772703906</v>
      </c>
      <c r="AA45" s="21">
        <f>EXP(-LN(2)/25)*AA44+(1-EXP(-LN(2)/25))/(LN(2)/25)*Calculateur!V45*Calculateur!X45*VLOOKUP('Données projet'!$B$9,Paramètres!$A$1:$I$89,3,0)*0.475*44/12</f>
        <v>14.783833825105404</v>
      </c>
      <c r="AB45" s="21">
        <f>EXP(-LN(2)/2)*AB44+(1-EXP(-LN(2)/2))/(LN(2)/2)*V45*Y45*VLOOKUP('Données projet'!$B$9,Paramètres!$A$1:$I$89,3,0)*0.475*44/12</f>
        <v>0</v>
      </c>
      <c r="AC45" s="22">
        <f t="shared" si="3"/>
        <v>25.19675159780931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31.8</v>
      </c>
      <c r="AI45" s="13">
        <f>IF('Données projet'!$A$62&gt;35,AI44+AH45-AQ44,IF(A45&lt;'Données projet'!$A$62,$AF$205^A45,IF(A45='Données projet'!$A$62,'Données projet'!$B$62,AI44+AH45-AQ44)))</f>
        <v>615.59999999999991</v>
      </c>
      <c r="AJ45" s="13">
        <f>AI45*VLOOKUP('Données projet'!$B$10,Paramètres!$A$1:$I$89,3,0)*VLOOKUP('Données projet'!$B$10,Paramètres!$A$1:$I$89,5,0)</f>
        <v>288.10079999999994</v>
      </c>
      <c r="AK45" s="13">
        <f t="shared" si="35"/>
        <v>68.67608879299398</v>
      </c>
      <c r="AL45" s="20">
        <f t="shared" si="4"/>
        <v>621.38641464779766</v>
      </c>
      <c r="AM45" s="59">
        <f t="shared" si="5"/>
        <v>914.71974798113092</v>
      </c>
      <c r="AN45" s="59">
        <f ca="1">AVERAGE(OFFSET($AM$3,0,0,'Données projet'!$E$10+1,1))-AVERAGE(OFFSET($H$3,0,0,'Données projet'!$E$10+1,1))</f>
        <v>267.78121291362345</v>
      </c>
      <c r="AO45" s="59">
        <f t="shared" si="36"/>
        <v>320.1780590861174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5.7415065155960523</v>
      </c>
      <c r="AV45" s="21">
        <f>EXP(-LN(2)/25)*AV44+(1-EXP(-LN(2)/25))/(LN(2)/25)*Calculateur!AQ45*Calculateur!AS45*VLOOKUP('Données projet'!$B$10,Paramètres!$A$1:$I$89,3,0)*0.475*44/12</f>
        <v>14.386460806162669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20.127967321758721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6.4</v>
      </c>
      <c r="BD45" s="12">
        <f>IF('Données projet'!$A$88&gt;35,BD44+BC45-BL44,IF(A45&lt;'Données projet'!$A$88,$BA$205^A45,IF(A45='Données projet'!$A$88,'Données projet'!$B$88,BD44+BC45-BL44)))</f>
        <v>142.80000000000001</v>
      </c>
      <c r="BE45" s="13">
        <f>BD45*VLOOKUP('Données projet'!$B$11,Paramètres!$A$1:$I$89,3,0)*VLOOKUP('Données projet'!$B$11,Paramètres!$A$1:$I$89,5,0)</f>
        <v>124.75008000000003</v>
      </c>
      <c r="BF45" s="13">
        <f t="shared" si="37"/>
        <v>32.780361960132396</v>
      </c>
      <c r="BG45" s="20">
        <f t="shared" si="7"/>
        <v>274.36551974723062</v>
      </c>
      <c r="BH45" s="59">
        <f t="shared" si="8"/>
        <v>567.69885308056394</v>
      </c>
      <c r="BI45" s="59">
        <f ca="1">AVERAGE(OFFSET($BH$3,0,0,'Données projet'!$E$11+1,1))-AVERAGE(OFFSET($H$3,0,0,'Données projet'!$E$11+1,1))</f>
        <v>212.82470567725971</v>
      </c>
      <c r="BJ45" s="59">
        <f t="shared" si="38"/>
        <v>196.91968622092054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0.79828225040741185</v>
      </c>
      <c r="BQ45" s="21">
        <f>EXP(-LN(2)/25)*BQ44+(1-EXP(-LN(2)/25))/(LN(2)/25)*Calculateur!BL45*Calculateur!BN45*VLOOKUP('Données projet'!$B$11,Paramètres!$A$1:$I$89,3,0)*0.475*44/12</f>
        <v>2.9279380061256641</v>
      </c>
      <c r="BR45" s="21">
        <f>EXP(-LN(2)/2)*BR44+(1-EXP(-LN(2)/2))/(LN(2)/2)*BL45*BO45*VLOOKUP('Données projet'!$B$11,Paramètres!$A$1:$I$89,3,0)*0.475*44/12</f>
        <v>0</v>
      </c>
      <c r="BS45" s="22">
        <f t="shared" si="9"/>
        <v>3.7262202565330762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25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20.123999999999999</v>
      </c>
      <c r="D46" s="11">
        <f t="shared" si="32"/>
        <v>6.539040511923969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205.81996184643063</v>
      </c>
      <c r="H46" s="67">
        <f t="shared" si="1"/>
        <v>339.77146222493423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26.2</v>
      </c>
      <c r="N46" s="13">
        <f>IF('Données projet'!$A$36&gt;35,N45+M46-V45,IF(A46&lt;'Données projet'!$A$36,$K$205^A46,IF(A46='Données projet'!$A$36,'Données projet'!$B$36,N45+M46-V45)))</f>
        <v>495.60000000000014</v>
      </c>
      <c r="O46" s="13">
        <f>N46*VLOOKUP('Données projet'!$B$9,Paramètres!$A$1:$I$89,3,0)*VLOOKUP('Données projet'!$B$9,Paramètres!$A$1:$I$89,5,0)</f>
        <v>199.72680000000008</v>
      </c>
      <c r="P46" s="13">
        <f t="shared" si="33"/>
        <v>49.684121858557667</v>
      </c>
      <c r="Q46" s="20">
        <f t="shared" si="53"/>
        <v>434.39068890365473</v>
      </c>
      <c r="R46" s="59">
        <f t="shared" si="0"/>
        <v>727.72402223698805</v>
      </c>
      <c r="S46" s="59">
        <f ca="1">AVERAGE(OFFSET($R$3,0,0,'Données projet'!$E$9+1,1))-AVERAGE(OFFSET($H$3,0,0,'Données projet'!$E$9+1,1))</f>
        <v>321.12254860105566</v>
      </c>
      <c r="T46" s="59">
        <f t="shared" si="34"/>
        <v>270.52026164274571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10.208726806433891</v>
      </c>
      <c r="AA46" s="21">
        <f>EXP(-LN(2)/25)*AA45+(1-EXP(-LN(2)/25))/(LN(2)/25)*Calculateur!V46*Calculateur!X46*VLOOKUP('Données projet'!$B$9,Paramètres!$A$1:$I$89,3,0)*0.475*44/12</f>
        <v>14.379569111709865</v>
      </c>
      <c r="AB46" s="21">
        <f>EXP(-LN(2)/2)*AB45+(1-EXP(-LN(2)/2))/(LN(2)/2)*V46*Y46*VLOOKUP('Données projet'!$B$9,Paramètres!$A$1:$I$89,3,0)*0.475*44/12</f>
        <v>0</v>
      </c>
      <c r="AC46" s="22">
        <f t="shared" si="3"/>
        <v>24.588295918143757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31.8</v>
      </c>
      <c r="AI46" s="13">
        <f>IF('Données projet'!$A$62&gt;35,AI45+AH46-AQ45,IF(A46&lt;'Données projet'!$A$62,$AF$205^A46,IF(A46='Données projet'!$A$62,'Données projet'!$B$62,AI45+AH46-AQ45)))</f>
        <v>647.39999999999986</v>
      </c>
      <c r="AJ46" s="13">
        <f>AI46*VLOOKUP('Données projet'!$B$10,Paramètres!$A$1:$I$89,3,0)*VLOOKUP('Données projet'!$B$10,Paramètres!$A$1:$I$89,5,0)</f>
        <v>302.98319999999995</v>
      </c>
      <c r="AK46" s="13">
        <f t="shared" si="35"/>
        <v>71.801496173397709</v>
      </c>
      <c r="AL46" s="20">
        <f t="shared" si="4"/>
        <v>652.75001250200091</v>
      </c>
      <c r="AM46" s="59">
        <f t="shared" si="5"/>
        <v>946.08334583533428</v>
      </c>
      <c r="AN46" s="59">
        <f ca="1">AVERAGE(OFFSET($AM$3,0,0,'Données projet'!$E$10+1,1))-AVERAGE(OFFSET($H$3,0,0,'Données projet'!$E$10+1,1))</f>
        <v>267.78121291362345</v>
      </c>
      <c r="AO46" s="59">
        <f t="shared" si="36"/>
        <v>320.1780590861174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5.6289190747983975</v>
      </c>
      <c r="AV46" s="21">
        <f>EXP(-LN(2)/25)*AV45+(1-EXP(-LN(2)/25))/(LN(2)/25)*Calculateur!AQ46*Calculateur!AS46*VLOOKUP('Données projet'!$B$10,Paramètres!$A$1:$I$89,3,0)*0.475*44/12</f>
        <v>13.993062278867058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19.621981353665454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6.4</v>
      </c>
      <c r="BD46" s="12">
        <f>IF('Données projet'!$A$88&gt;35,BD45+BC46-BL45,IF(A46&lt;'Données projet'!$A$88,$BA$205^A46,IF(A46='Données projet'!$A$88,'Données projet'!$B$88,BD45+BC46-BL45)))</f>
        <v>149.20000000000002</v>
      </c>
      <c r="BE46" s="13">
        <f>BD46*VLOOKUP('Données projet'!$B$11,Paramètres!$A$1:$I$89,3,0)*VLOOKUP('Données projet'!$B$11,Paramètres!$A$1:$I$89,5,0)</f>
        <v>130.34112000000005</v>
      </c>
      <c r="BF46" s="13">
        <f t="shared" si="37"/>
        <v>34.075170122989917</v>
      </c>
      <c r="BG46" s="20">
        <f t="shared" si="7"/>
        <v>286.35837196420749</v>
      </c>
      <c r="BH46" s="59">
        <f t="shared" si="8"/>
        <v>579.69170529754081</v>
      </c>
      <c r="BI46" s="59">
        <f ca="1">AVERAGE(OFFSET($BH$3,0,0,'Données projet'!$E$11+1,1))-AVERAGE(OFFSET($H$3,0,0,'Données projet'!$E$11+1,1))</f>
        <v>212.82470567725971</v>
      </c>
      <c r="BJ46" s="59">
        <f t="shared" si="38"/>
        <v>196.91968622092054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0.78262842238101749</v>
      </c>
      <c r="BQ46" s="21">
        <f>EXP(-LN(2)/25)*BQ45+(1-EXP(-LN(2)/25))/(LN(2)/25)*Calculateur!BL46*Calculateur!BN46*VLOOKUP('Données projet'!$B$11,Paramètres!$A$1:$I$89,3,0)*0.475*44/12</f>
        <v>2.8478733873745901</v>
      </c>
      <c r="BR46" s="21">
        <f>EXP(-LN(2)/2)*BR45+(1-EXP(-LN(2)/2))/(LN(2)/2)*BL46*BO46*VLOOKUP('Données projet'!$B$11,Paramètres!$A$1:$I$89,3,0)*0.475*44/12</f>
        <v>0</v>
      </c>
      <c r="BS46" s="22">
        <f t="shared" si="9"/>
        <v>3.6305018097556077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25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20.591999999999999</v>
      </c>
      <c r="D47" s="11">
        <f t="shared" si="32"/>
        <v>6.6732298779519512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210.46844116313787</v>
      </c>
      <c r="H47" s="67">
        <f t="shared" si="1"/>
        <v>340.8202753707663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26.2</v>
      </c>
      <c r="N47" s="13">
        <f>IF('Données projet'!$A$36&gt;35,N46+M47-V46,IF(A47&lt;'Données projet'!$A$36,$K$205^A47,IF(A47='Données projet'!$A$36,'Données projet'!$B$36,N46+M47-V46)))</f>
        <v>521.80000000000018</v>
      </c>
      <c r="O47" s="13">
        <f>N47*VLOOKUP('Données projet'!$B$9,Paramètres!$A$1:$I$89,3,0)*VLOOKUP('Données projet'!$B$9,Paramètres!$A$1:$I$89,5,0)</f>
        <v>210.2854000000001</v>
      </c>
      <c r="P47" s="13">
        <f t="shared" si="33"/>
        <v>51.997947848331201</v>
      </c>
      <c r="Q47" s="20">
        <f t="shared" si="53"/>
        <v>456.81016416917691</v>
      </c>
      <c r="R47" s="59">
        <f t="shared" si="0"/>
        <v>750.14349750251017</v>
      </c>
      <c r="S47" s="59">
        <f ca="1">AVERAGE(OFFSET($R$3,0,0,'Données projet'!$E$9+1,1))-AVERAGE(OFFSET($H$3,0,0,'Données projet'!$E$9+1,1))</f>
        <v>321.12254860105566</v>
      </c>
      <c r="T47" s="59">
        <f t="shared" si="34"/>
        <v>270.52026164274571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10.008539900468238</v>
      </c>
      <c r="AA47" s="21">
        <f>EXP(-LN(2)/25)*AA46+(1-EXP(-LN(2)/25))/(LN(2)/25)*Calculateur!V47*Calculateur!X47*VLOOKUP('Données projet'!$B$9,Paramètres!$A$1:$I$89,3,0)*0.475*44/12</f>
        <v>13.986359038161483</v>
      </c>
      <c r="AB47" s="21">
        <f>EXP(-LN(2)/2)*AB46+(1-EXP(-LN(2)/2))/(LN(2)/2)*V47*Y47*VLOOKUP('Données projet'!$B$9,Paramètres!$A$1:$I$89,3,0)*0.475*44/12</f>
        <v>0</v>
      </c>
      <c r="AC47" s="22">
        <f t="shared" si="3"/>
        <v>23.994898938629721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31.8</v>
      </c>
      <c r="AI47" s="13">
        <f>IF('Données projet'!$A$62&gt;35,AI46+AH47-AQ46,IF(A47&lt;'Données projet'!$A$62,$AF$205^A47,IF(A47='Données projet'!$A$62,'Données projet'!$B$62,AI46+AH47-AQ46)))</f>
        <v>679.19999999999982</v>
      </c>
      <c r="AJ47" s="13">
        <f>AI47*VLOOKUP('Données projet'!$B$10,Paramètres!$A$1:$I$89,3,0)*VLOOKUP('Données projet'!$B$10,Paramètres!$A$1:$I$89,5,0)</f>
        <v>317.86559999999992</v>
      </c>
      <c r="AK47" s="13">
        <f t="shared" si="35"/>
        <v>74.909077405723679</v>
      </c>
      <c r="AL47" s="20">
        <f t="shared" si="4"/>
        <v>684.0825631483018</v>
      </c>
      <c r="AM47" s="59">
        <f t="shared" si="5"/>
        <v>977.41589648163517</v>
      </c>
      <c r="AN47" s="59">
        <f ca="1">AVERAGE(OFFSET($AM$3,0,0,'Données projet'!$E$10+1,1))-AVERAGE(OFFSET($H$3,0,0,'Données projet'!$E$10+1,1))</f>
        <v>267.78121291362345</v>
      </c>
      <c r="AO47" s="59">
        <f t="shared" si="36"/>
        <v>320.1780590861174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5.5185394050432262</v>
      </c>
      <c r="AV47" s="21">
        <f>EXP(-LN(2)/25)*AV46+(1-EXP(-LN(2)/25))/(LN(2)/25)*Calculateur!AQ47*Calculateur!AS47*VLOOKUP('Données projet'!$B$10,Paramètres!$A$1:$I$89,3,0)*0.475*44/12</f>
        <v>13.610421254988275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19.128960660031503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6.4</v>
      </c>
      <c r="BD47" s="12">
        <f>IF('Données projet'!$A$88&gt;35,BD46+BC47-BL46,IF(A47&lt;'Données projet'!$A$88,$BA$205^A47,IF(A47='Données projet'!$A$88,'Données projet'!$B$88,BD46+BC47-BL46)))</f>
        <v>155.60000000000002</v>
      </c>
      <c r="BE47" s="13">
        <f>BD47*VLOOKUP('Données projet'!$B$11,Paramètres!$A$1:$I$89,3,0)*VLOOKUP('Données projet'!$B$11,Paramètres!$A$1:$I$89,5,0)</f>
        <v>135.93216000000004</v>
      </c>
      <c r="BF47" s="13">
        <f t="shared" si="37"/>
        <v>35.36352729450968</v>
      </c>
      <c r="BG47" s="20">
        <f t="shared" si="7"/>
        <v>298.33998870460442</v>
      </c>
      <c r="BH47" s="59">
        <f t="shared" si="8"/>
        <v>591.67332203793774</v>
      </c>
      <c r="BI47" s="59">
        <f ca="1">AVERAGE(OFFSET($BH$3,0,0,'Données projet'!$E$11+1,1))-AVERAGE(OFFSET($H$3,0,0,'Données projet'!$E$11+1,1))</f>
        <v>212.82470567725971</v>
      </c>
      <c r="BJ47" s="59">
        <f t="shared" si="38"/>
        <v>196.91968622092054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0.76728155637432838</v>
      </c>
      <c r="BQ47" s="21">
        <f>EXP(-LN(2)/25)*BQ46+(1-EXP(-LN(2)/25))/(LN(2)/25)*Calculateur!BL47*Calculateur!BN47*VLOOKUP('Données projet'!$B$11,Paramètres!$A$1:$I$89,3,0)*0.475*44/12</f>
        <v>2.7699981398336795</v>
      </c>
      <c r="BR47" s="21">
        <f>EXP(-LN(2)/2)*BR46+(1-EXP(-LN(2)/2))/(LN(2)/2)*BL47*BO47*VLOOKUP('Données projet'!$B$11,Paramètres!$A$1:$I$89,3,0)*0.475*44/12</f>
        <v>0</v>
      </c>
      <c r="BS47" s="22">
        <f t="shared" si="9"/>
        <v>3.537279696208008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25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21.06</v>
      </c>
      <c r="D48" s="11">
        <f t="shared" si="32"/>
        <v>6.8070646889944983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215.11418356416803</v>
      </c>
      <c r="H48" s="67">
        <f t="shared" si="1"/>
        <v>341.86847099999875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>
        <f>VLOOKUP(A48,'Données projet'!$A$35:$I$55,2,0)</f>
        <v>548</v>
      </c>
      <c r="L48" s="12">
        <f>VLOOKUP(A48,'Données projet'!$A$35:$I$55,9,0)</f>
        <v>26.2</v>
      </c>
      <c r="M48" s="12">
        <f t="array" ref="M48">INDEX(L:L,MIN(IF(ISNUMBER(L48:L244),ROW(L48:L244),"")))</f>
        <v>26.2</v>
      </c>
      <c r="N48" s="13">
        <f>IF('Données projet'!$A$36&gt;35,N47+M48-V47,IF(A48&lt;'Données projet'!$A$36,$K$205^A48,IF(A48='Données projet'!$A$36,'Données projet'!$B$36,N47+M48-V47)))</f>
        <v>548.00000000000023</v>
      </c>
      <c r="O48" s="13">
        <f>N48*VLOOKUP('Données projet'!$B$9,Paramètres!$A$1:$I$89,3,0)*VLOOKUP('Données projet'!$B$9,Paramètres!$A$1:$I$89,5,0)</f>
        <v>220.84400000000011</v>
      </c>
      <c r="P48" s="13">
        <f t="shared" si="33"/>
        <v>54.298284051266002</v>
      </c>
      <c r="Q48" s="20">
        <f t="shared" si="53"/>
        <v>479.20614472262179</v>
      </c>
      <c r="R48" s="59">
        <f t="shared" si="0"/>
        <v>772.5394780559551</v>
      </c>
      <c r="S48" s="59">
        <f ca="1">AVERAGE(OFFSET($R$3,0,0,'Données projet'!$E$9+1,1))-AVERAGE(OFFSET($H$3,0,0,'Données projet'!$E$9+1,1))</f>
        <v>321.12254860105566</v>
      </c>
      <c r="T48" s="59">
        <f t="shared" si="34"/>
        <v>270.52026164274571</v>
      </c>
      <c r="U48" s="15">
        <f>IF(ISNA(VLOOKUP(A48,'Données projet'!$A$35:$I$55,3,0)),0,VLOOKUP(A48,'Données projet'!$A$35:$I$55,3,0))</f>
        <v>6</v>
      </c>
      <c r="V48" s="15">
        <f>IF(ISNA(VLOOKUP(A48,'Données projet'!$A$35:$I$55,4,0)),0,VLOOKUP(A48,'Données projet'!$A$35:$I$55,4,0))</f>
        <v>70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9.8122785376266144</v>
      </c>
      <c r="AA48" s="21">
        <f>EXP(-LN(2)/25)*AA47+(1-EXP(-LN(2)/25))/(LN(2)/25)*Calculateur!V48*Calculateur!X48*VLOOKUP('Données projet'!$B$9,Paramètres!$A$1:$I$89,3,0)*0.475*44/12</f>
        <v>13.603901314752301</v>
      </c>
      <c r="AB48" s="21">
        <f>EXP(-LN(2)/2)*AB47+(1-EXP(-LN(2)/2))/(LN(2)/2)*V48*Y48*VLOOKUP('Données projet'!$B$9,Paramètres!$A$1:$I$89,3,0)*0.475*44/12</f>
        <v>0</v>
      </c>
      <c r="AC48" s="22">
        <f t="shared" si="3"/>
        <v>23.416179852378917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>
        <f>VLOOKUP(A48,'Données projet'!$A$61:$I$81,2,0)</f>
        <v>711</v>
      </c>
      <c r="AG48" s="12">
        <f>VLOOKUP(A48,'Données projet'!$A$61:$I$81,9,0)</f>
        <v>31.8</v>
      </c>
      <c r="AH48" s="12">
        <f t="array" ref="AH48">INDEX(AG:AG,MIN(IF(ISNUMBER(AG48:AG244),ROW(AG48:AG244),"")))</f>
        <v>31.8</v>
      </c>
      <c r="AI48" s="13">
        <f>IF('Données projet'!$A$62&gt;35,AI47+AH48-AQ47,IF(A48&lt;'Données projet'!$A$62,$AF$205^A48,IF(A48='Données projet'!$A$62,'Données projet'!$B$62,AI47+AH48-AQ47)))</f>
        <v>710.99999999999977</v>
      </c>
      <c r="AJ48" s="13">
        <f>AI48*VLOOKUP('Données projet'!$B$10,Paramètres!$A$1:$I$89,3,0)*VLOOKUP('Données projet'!$B$10,Paramètres!$A$1:$I$89,5,0)</f>
        <v>332.74799999999993</v>
      </c>
      <c r="AK48" s="13">
        <f t="shared" si="35"/>
        <v>77.999762416165765</v>
      </c>
      <c r="AL48" s="20">
        <f t="shared" si="4"/>
        <v>715.38568620815522</v>
      </c>
      <c r="AM48" s="59">
        <f t="shared" si="5"/>
        <v>1008.7190195414885</v>
      </c>
      <c r="AN48" s="59">
        <f ca="1">AVERAGE(OFFSET($AM$3,0,0,'Données projet'!$E$10+1,1))-AVERAGE(OFFSET($H$3,0,0,'Données projet'!$E$10+1,1))</f>
        <v>267.78121291362345</v>
      </c>
      <c r="AO48" s="59">
        <f t="shared" si="36"/>
        <v>320.1780590861174</v>
      </c>
      <c r="AP48" s="15">
        <f>IF(ISNA(VLOOKUP(A48,'Données projet'!$A$61:$I$81,3,0)),0,VLOOKUP(A48,'Données projet'!$A$61:$I$81,3,0))</f>
        <v>7</v>
      </c>
      <c r="AQ48" s="15">
        <f>IF(ISNA(VLOOKUP(A48,'Données projet'!$A$61:$I$81,4,0)),0,VLOOKUP(A48,'Données projet'!$A$61:$I$81,4,0))</f>
        <v>62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5.4103242132870033</v>
      </c>
      <c r="AV48" s="21">
        <f>EXP(-LN(2)/25)*AV47+(1-EXP(-LN(2)/25))/(LN(2)/25)*Calculateur!AQ48*Calculateur!AS48*VLOOKUP('Données projet'!$B$10,Paramètres!$A$1:$I$89,3,0)*0.475*44/12</f>
        <v>13.238243570029674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18.648567783316679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>
        <f>VLOOKUP(A48,'Données projet'!$A$87:$I$107,2,0)</f>
        <v>162</v>
      </c>
      <c r="BB48" s="12">
        <f>VLOOKUP(A48,'Données projet'!$A$87:$I$107,9,0)</f>
        <v>6.4</v>
      </c>
      <c r="BC48" s="12">
        <f t="array" ref="BC48">INDEX(BB:BB,MIN(IF(ISNUMBER(BB48:BB244),ROW(BB48:BB244),"")))</f>
        <v>6.4</v>
      </c>
      <c r="BD48" s="12">
        <f>IF('Données projet'!$A$88&gt;35,BD47+BC48-BL47,IF(A48&lt;'Données projet'!$A$88,$BA$205^A48,IF(A48='Données projet'!$A$88,'Données projet'!$B$88,BD47+BC48-BL47)))</f>
        <v>162.00000000000003</v>
      </c>
      <c r="BE48" s="13">
        <f>BD48*VLOOKUP('Données projet'!$B$11,Paramètres!$A$1:$I$89,3,0)*VLOOKUP('Données projet'!$B$11,Paramètres!$A$1:$I$89,5,0)</f>
        <v>141.52320000000006</v>
      </c>
      <c r="BF48" s="13">
        <f t="shared" si="37"/>
        <v>36.645729158274158</v>
      </c>
      <c r="BG48" s="20">
        <f t="shared" si="7"/>
        <v>310.31088495066086</v>
      </c>
      <c r="BH48" s="59">
        <f t="shared" si="8"/>
        <v>603.64421828399418</v>
      </c>
      <c r="BI48" s="59">
        <f ca="1">AVERAGE(OFFSET($BH$3,0,0,'Données projet'!$E$11+1,1))-AVERAGE(OFFSET($H$3,0,0,'Données projet'!$E$11+1,1))</f>
        <v>212.82470567725971</v>
      </c>
      <c r="BJ48" s="59">
        <f t="shared" si="38"/>
        <v>196.91968622092054</v>
      </c>
      <c r="BK48" s="15">
        <f>IF(ISNA(VLOOKUP(A48,'Données projet'!$A$87:$I$107,3,0)),0,VLOOKUP(A48,'Données projet'!$A$87:$I$107,3,0))</f>
        <v>6</v>
      </c>
      <c r="BL48" s="15">
        <f>IF(ISNA(VLOOKUP(A48,'Données projet'!$A$87:$I$107,4,0)),0,VLOOKUP(A48,'Données projet'!$A$87:$I$107,4,0))</f>
        <v>19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0.75223563304936647</v>
      </c>
      <c r="BQ48" s="21">
        <f>EXP(-LN(2)/25)*BQ47+(1-EXP(-LN(2)/25))/(LN(2)/25)*Calculateur!BL48*Calculateur!BN48*VLOOKUP('Données projet'!$B$11,Paramètres!$A$1:$I$89,3,0)*0.475*44/12</f>
        <v>2.694252395032056</v>
      </c>
      <c r="BR48" s="21">
        <f>EXP(-LN(2)/2)*BR47+(1-EXP(-LN(2)/2))/(LN(2)/2)*BL48*BO48*VLOOKUP('Données projet'!$B$11,Paramètres!$A$1:$I$89,3,0)*0.475*44/12</f>
        <v>0</v>
      </c>
      <c r="BS48" s="22">
        <f t="shared" si="9"/>
        <v>3.4464880280814225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25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49" s="11">
        <f t="shared" si="32"/>
        <v>6.9405537312613585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219.75725687289471</v>
      </c>
      <c r="H49" s="67">
        <f t="shared" si="1"/>
        <v>342.91606441528018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24.6</v>
      </c>
      <c r="N49" s="13">
        <f>IF('Données projet'!$A$36&gt;35,N48+M49-V48,IF(A49&lt;'Données projet'!$A$36,$K$205^A49,IF(A49='Données projet'!$A$36,'Données projet'!$B$36,N48+M49-V48)))</f>
        <v>502.60000000000025</v>
      </c>
      <c r="O49" s="13">
        <f>N49*VLOOKUP('Données projet'!$B$9,Paramètres!$A$1:$I$89,3,0)*VLOOKUP('Données projet'!$B$9,Paramètres!$A$1:$I$89,5,0)</f>
        <v>202.54780000000011</v>
      </c>
      <c r="P49" s="13">
        <f t="shared" si="33"/>
        <v>50.30368386889981</v>
      </c>
      <c r="Q49" s="20">
        <f t="shared" si="53"/>
        <v>440.38300107166737</v>
      </c>
      <c r="R49" s="59">
        <f t="shared" si="0"/>
        <v>733.71633440500068</v>
      </c>
      <c r="S49" s="59">
        <f ca="1">AVERAGE(OFFSET($R$3,0,0,'Données projet'!$E$9+1,1))-AVERAGE(OFFSET($H$3,0,0,'Données projet'!$E$9+1,1))</f>
        <v>321.12254860105566</v>
      </c>
      <c r="T49" s="59">
        <f t="shared" si="34"/>
        <v>270.52026164274571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9.6198657404027053</v>
      </c>
      <c r="AA49" s="21">
        <f>EXP(-LN(2)/25)*AA48+(1-EXP(-LN(2)/25))/(LN(2)/25)*Calculateur!V49*Calculateur!X49*VLOOKUP('Données projet'!$B$9,Paramètres!$A$1:$I$89,3,0)*0.475*44/12</f>
        <v>13.231901917902322</v>
      </c>
      <c r="AB49" s="21">
        <f>EXP(-LN(2)/2)*AB48+(1-EXP(-LN(2)/2))/(LN(2)/2)*V49*Y49*VLOOKUP('Données projet'!$B$9,Paramètres!$A$1:$I$89,3,0)*0.475*44/12</f>
        <v>0</v>
      </c>
      <c r="AC49" s="22">
        <f t="shared" si="3"/>
        <v>22.851767658305029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26.4</v>
      </c>
      <c r="AI49" s="13">
        <f>IF('Données projet'!$A$62&gt;35,AI48+AH49-AQ48,IF(A49&lt;'Données projet'!$A$62,$AF$205^A49,IF(A49='Données projet'!$A$62,'Données projet'!$B$62,AI48+AH49-AQ48)))</f>
        <v>675.39999999999975</v>
      </c>
      <c r="AJ49" s="13">
        <f>AI49*VLOOKUP('Données projet'!$B$10,Paramètres!$A$1:$I$89,3,0)*VLOOKUP('Données projet'!$B$10,Paramètres!$A$1:$I$89,5,0)</f>
        <v>316.08719999999988</v>
      </c>
      <c r="AK49" s="13">
        <f t="shared" si="35"/>
        <v>74.538637503173462</v>
      </c>
      <c r="AL49" s="20">
        <f t="shared" si="4"/>
        <v>680.34000031802691</v>
      </c>
      <c r="AM49" s="59">
        <f t="shared" si="5"/>
        <v>973.67333365136028</v>
      </c>
      <c r="AN49" s="59">
        <f ca="1">AVERAGE(OFFSET($AM$3,0,0,'Données projet'!$E$10+1,1))-AVERAGE(OFFSET($H$3,0,0,'Données projet'!$E$10+1,1))</f>
        <v>267.78121291362345</v>
      </c>
      <c r="AO49" s="59">
        <f t="shared" si="36"/>
        <v>320.1780590861174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5.3042310554363699</v>
      </c>
      <c r="AV49" s="21">
        <f>EXP(-LN(2)/25)*AV48+(1-EXP(-LN(2)/25))/(LN(2)/25)*Calculateur!AQ49*Calculateur!AS49*VLOOKUP('Données projet'!$B$10,Paramètres!$A$1:$I$89,3,0)*0.475*44/12</f>
        <v>12.87624310343824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18.18047415887461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6</v>
      </c>
      <c r="BD49" s="12">
        <f>IF('Données projet'!$A$88&gt;35,BD48+BC49-BL48,IF(A49&lt;'Données projet'!$A$88,$BA$205^A49,IF(A49='Données projet'!$A$88,'Données projet'!$B$88,BD48+BC49-BL48)))</f>
        <v>149.00000000000003</v>
      </c>
      <c r="BE49" s="13">
        <f>BD49*VLOOKUP('Données projet'!$B$11,Paramètres!$A$1:$I$89,3,0)*VLOOKUP('Données projet'!$B$11,Paramètres!$A$1:$I$89,5,0)</f>
        <v>130.16640000000004</v>
      </c>
      <c r="BF49" s="13">
        <f t="shared" si="37"/>
        <v>34.034806623706302</v>
      </c>
      <c r="BG49" s="20">
        <f t="shared" si="7"/>
        <v>285.98376820295522</v>
      </c>
      <c r="BH49" s="59">
        <f t="shared" si="8"/>
        <v>579.31710153628853</v>
      </c>
      <c r="BI49" s="59">
        <f ca="1">AVERAGE(OFFSET($BH$3,0,0,'Données projet'!$E$11+1,1))-AVERAGE(OFFSET($H$3,0,0,'Données projet'!$E$11+1,1))</f>
        <v>212.82470567725971</v>
      </c>
      <c r="BJ49" s="59">
        <f t="shared" si="38"/>
        <v>196.91968622092054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0.73748475110370004</v>
      </c>
      <c r="BQ49" s="21">
        <f>EXP(-LN(2)/25)*BQ48+(1-EXP(-LN(2)/25))/(LN(2)/25)*Calculateur!BL49*Calculateur!BN49*VLOOKUP('Données projet'!$B$11,Paramètres!$A$1:$I$89,3,0)*0.475*44/12</f>
        <v>2.6205779216053289</v>
      </c>
      <c r="BR49" s="21">
        <f>EXP(-LN(2)/2)*BR48+(1-EXP(-LN(2)/2))/(LN(2)/2)*BL49*BO49*VLOOKUP('Données projet'!$B$11,Paramètres!$A$1:$I$89,3,0)*0.475*44/12</f>
        <v>0</v>
      </c>
      <c r="BS49" s="22">
        <f t="shared" si="9"/>
        <v>3.3580626727090288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25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21.995999999999999</v>
      </c>
      <c r="D50" s="11">
        <f t="shared" si="32"/>
        <v>7.0737053871356732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224.39772579543327</v>
      </c>
      <c r="H50" s="67">
        <f t="shared" si="1"/>
        <v>343.96307021592793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24.6</v>
      </c>
      <c r="N50" s="13">
        <f>IF('Données projet'!$A$36&gt;35,N49+M50-V49,IF(A50&lt;'Données projet'!$A$36,$K$205^A50,IF(A50='Données projet'!$A$36,'Données projet'!$B$36,N49+M50-V49)))</f>
        <v>527.20000000000027</v>
      </c>
      <c r="O50" s="13">
        <f>N50*VLOOKUP('Données projet'!$B$9,Paramètres!$A$1:$I$89,3,0)*VLOOKUP('Données projet'!$B$9,Paramètres!$A$1:$I$89,5,0)</f>
        <v>212.46160000000009</v>
      </c>
      <c r="P50" s="13">
        <f t="shared" si="33"/>
        <v>52.473141844135753</v>
      </c>
      <c r="Q50" s="20">
        <f t="shared" si="53"/>
        <v>461.42800871186984</v>
      </c>
      <c r="R50" s="59">
        <f t="shared" si="0"/>
        <v>754.76134204520315</v>
      </c>
      <c r="S50" s="59">
        <f ca="1">AVERAGE(OFFSET($R$3,0,0,'Données projet'!$E$9+1,1))-AVERAGE(OFFSET($H$3,0,0,'Données projet'!$E$9+1,1))</f>
        <v>321.12254860105566</v>
      </c>
      <c r="T50" s="59">
        <f t="shared" si="34"/>
        <v>270.52026164274571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9.4312260407721382</v>
      </c>
      <c r="AA50" s="21">
        <f>EXP(-LN(2)/25)*AA49+(1-EXP(-LN(2)/25))/(LN(2)/25)*Calculateur!V50*Calculateur!X50*VLOOKUP('Données projet'!$B$9,Paramètres!$A$1:$I$89,3,0)*0.475*44/12</f>
        <v>12.870074864121802</v>
      </c>
      <c r="AB50" s="21">
        <f>EXP(-LN(2)/2)*AB49+(1-EXP(-LN(2)/2))/(LN(2)/2)*V50*Y50*VLOOKUP('Données projet'!$B$9,Paramètres!$A$1:$I$89,3,0)*0.475*44/12</f>
        <v>0</v>
      </c>
      <c r="AC50" s="22">
        <f t="shared" si="3"/>
        <v>22.301300904893942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26.4</v>
      </c>
      <c r="AI50" s="13">
        <f>IF('Données projet'!$A$62&gt;35,AI49+AH50-AQ49,IF(A50&lt;'Données projet'!$A$62,$AF$205^A50,IF(A50='Données projet'!$A$62,'Données projet'!$B$62,AI49+AH50-AQ49)))</f>
        <v>701.79999999999973</v>
      </c>
      <c r="AJ50" s="13">
        <f>AI50*VLOOKUP('Données projet'!$B$10,Paramètres!$A$1:$I$89,3,0)*VLOOKUP('Données projet'!$B$10,Paramètres!$A$1:$I$89,5,0)</f>
        <v>328.44239999999985</v>
      </c>
      <c r="AK50" s="13">
        <f t="shared" si="35"/>
        <v>77.107288085743335</v>
      </c>
      <c r="AL50" s="20">
        <f t="shared" si="4"/>
        <v>706.33237341600261</v>
      </c>
      <c r="AM50" s="59">
        <f t="shared" si="5"/>
        <v>999.66570674933587</v>
      </c>
      <c r="AN50" s="59">
        <f ca="1">AVERAGE(OFFSET($AM$3,0,0,'Données projet'!$E$10+1,1))-AVERAGE(OFFSET($H$3,0,0,'Données projet'!$E$10+1,1))</f>
        <v>267.78121291362345</v>
      </c>
      <c r="AO50" s="59">
        <f t="shared" si="36"/>
        <v>320.1780590861174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5.2002183197007508</v>
      </c>
      <c r="AV50" s="21">
        <f>EXP(-LN(2)/25)*AV49+(1-EXP(-LN(2)/25))/(LN(2)/25)*Calculateur!AQ50*Calculateur!AS50*VLOOKUP('Données projet'!$B$10,Paramètres!$A$1:$I$89,3,0)*0.475*44/12</f>
        <v>12.524141558642526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17.724359878343279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6</v>
      </c>
      <c r="BD50" s="12">
        <f>IF('Données projet'!$A$88&gt;35,BD49+BC50-BL49,IF(A50&lt;'Données projet'!$A$88,$BA$205^A50,IF(A50='Données projet'!$A$88,'Données projet'!$B$88,BD49+BC50-BL49)))</f>
        <v>155.00000000000003</v>
      </c>
      <c r="BE50" s="13">
        <f>BD50*VLOOKUP('Données projet'!$B$11,Paramètres!$A$1:$I$89,3,0)*VLOOKUP('Données projet'!$B$11,Paramètres!$A$1:$I$89,5,0)</f>
        <v>135.40800000000004</v>
      </c>
      <c r="BF50" s="13">
        <f t="shared" si="37"/>
        <v>35.243009677478732</v>
      </c>
      <c r="BG50" s="20">
        <f t="shared" si="7"/>
        <v>297.21717518827558</v>
      </c>
      <c r="BH50" s="59">
        <f t="shared" si="8"/>
        <v>590.55050852160889</v>
      </c>
      <c r="BI50" s="59">
        <f ca="1">AVERAGE(OFFSET($BH$3,0,0,'Données projet'!$E$11+1,1))-AVERAGE(OFFSET($H$3,0,0,'Données projet'!$E$11+1,1))</f>
        <v>212.82470567725971</v>
      </c>
      <c r="BJ50" s="59">
        <f t="shared" si="38"/>
        <v>196.91968622092054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0.72302312495583854</v>
      </c>
      <c r="BQ50" s="21">
        <f>EXP(-LN(2)/25)*BQ49+(1-EXP(-LN(2)/25))/(LN(2)/25)*Calculateur!BL50*Calculateur!BN50*VLOOKUP('Données projet'!$B$11,Paramètres!$A$1:$I$89,3,0)*0.475*44/12</f>
        <v>2.5489180805288276</v>
      </c>
      <c r="BR50" s="21">
        <f>EXP(-LN(2)/2)*BR49+(1-EXP(-LN(2)/2))/(LN(2)/2)*BL50*BO50*VLOOKUP('Données projet'!$B$11,Paramètres!$A$1:$I$89,3,0)*0.475*44/12</f>
        <v>0</v>
      </c>
      <c r="BS50" s="22">
        <f t="shared" si="9"/>
        <v>3.2719412054846662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25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22.463999999999999</v>
      </c>
      <c r="D51" s="11">
        <f t="shared" si="32"/>
        <v>7.2065276619252296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229.03565212714213</v>
      </c>
      <c r="H51" s="67">
        <f t="shared" si="1"/>
        <v>345.00950234451977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24.6</v>
      </c>
      <c r="N51" s="13">
        <f>IF('Données projet'!$A$36&gt;35,N50+M51-V50,IF(A51&lt;'Données projet'!$A$36,$K$205^A51,IF(A51='Données projet'!$A$36,'Données projet'!$B$36,N50+M51-V50)))</f>
        <v>551.8000000000003</v>
      </c>
      <c r="O51" s="13">
        <f>N51*VLOOKUP('Données projet'!$B$9,Paramètres!$A$1:$I$89,3,0)*VLOOKUP('Données projet'!$B$9,Paramètres!$A$1:$I$89,5,0)</f>
        <v>222.3754000000001</v>
      </c>
      <c r="P51" s="13">
        <f t="shared" si="33"/>
        <v>54.630844038461554</v>
      </c>
      <c r="Q51" s="20">
        <f t="shared" si="53"/>
        <v>482.45254170032075</v>
      </c>
      <c r="R51" s="59">
        <f t="shared" si="0"/>
        <v>775.78587503365407</v>
      </c>
      <c r="S51" s="59">
        <f ca="1">AVERAGE(OFFSET($R$3,0,0,'Données projet'!$E$9+1,1))-AVERAGE(OFFSET($H$3,0,0,'Données projet'!$E$9+1,1))</f>
        <v>321.12254860105566</v>
      </c>
      <c r="T51" s="59">
        <f t="shared" si="34"/>
        <v>270.52026164274571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9.2462854505924721</v>
      </c>
      <c r="AA51" s="21">
        <f>EXP(-LN(2)/25)*AA50+(1-EXP(-LN(2)/25))/(LN(2)/25)*Calculateur!V51*Calculateur!X51*VLOOKUP('Données projet'!$B$9,Paramètres!$A$1:$I$89,3,0)*0.475*44/12</f>
        <v>12.51814199015457</v>
      </c>
      <c r="AB51" s="21">
        <f>EXP(-LN(2)/2)*AB50+(1-EXP(-LN(2)/2))/(LN(2)/2)*V51*Y51*VLOOKUP('Données projet'!$B$9,Paramètres!$A$1:$I$89,3,0)*0.475*44/12</f>
        <v>0</v>
      </c>
      <c r="AC51" s="22">
        <f t="shared" si="3"/>
        <v>21.764427440747042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26.4</v>
      </c>
      <c r="AI51" s="13">
        <f>IF('Données projet'!$A$62&gt;35,AI50+AH51-AQ50,IF(A51&lt;'Données projet'!$A$62,$AF$205^A51,IF(A51='Données projet'!$A$62,'Données projet'!$B$62,AI50+AH51-AQ50)))</f>
        <v>728.1999999999997</v>
      </c>
      <c r="AJ51" s="13">
        <f>AI51*VLOOKUP('Données projet'!$B$10,Paramètres!$A$1:$I$89,3,0)*VLOOKUP('Données projet'!$B$10,Paramètres!$A$1:$I$89,5,0)</f>
        <v>340.79759999999987</v>
      </c>
      <c r="AK51" s="13">
        <f t="shared" si="35"/>
        <v>79.664713152566151</v>
      </c>
      <c r="AL51" s="20">
        <f t="shared" si="4"/>
        <v>732.30519540738578</v>
      </c>
      <c r="AM51" s="59">
        <f t="shared" si="5"/>
        <v>1025.638528740719</v>
      </c>
      <c r="AN51" s="59">
        <f ca="1">AVERAGE(OFFSET($AM$3,0,0,'Données projet'!$E$10+1,1))-AVERAGE(OFFSET($H$3,0,0,'Données projet'!$E$10+1,1))</f>
        <v>267.78121291362345</v>
      </c>
      <c r="AO51" s="59">
        <f t="shared" si="36"/>
        <v>320.1780590861174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5.0982452102714024</v>
      </c>
      <c r="AV51" s="21">
        <f>EXP(-LN(2)/25)*AV50+(1-EXP(-LN(2)/25))/(LN(2)/25)*Calculateur!AQ51*Calculateur!AS51*VLOOKUP('Données projet'!$B$10,Paramètres!$A$1:$I$89,3,0)*0.475*44/12</f>
        <v>12.181668249105465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17.279913459376868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6</v>
      </c>
      <c r="BD51" s="12">
        <f>IF('Données projet'!$A$88&gt;35,BD50+BC51-BL50,IF(A51&lt;'Données projet'!$A$88,$BA$205^A51,IF(A51='Données projet'!$A$88,'Données projet'!$B$88,BD50+BC51-BL50)))</f>
        <v>161.00000000000003</v>
      </c>
      <c r="BE51" s="13">
        <f>BD51*VLOOKUP('Données projet'!$B$11,Paramètres!$A$1:$I$89,3,0)*VLOOKUP('Données projet'!$B$11,Paramètres!$A$1:$I$89,5,0)</f>
        <v>140.64960000000005</v>
      </c>
      <c r="BF51" s="13">
        <f t="shared" si="37"/>
        <v>36.445779615258637</v>
      </c>
      <c r="BG51" s="20">
        <f t="shared" si="7"/>
        <v>308.44111949657554</v>
      </c>
      <c r="BH51" s="59">
        <f t="shared" si="8"/>
        <v>601.7744528299088</v>
      </c>
      <c r="BI51" s="59">
        <f ca="1">AVERAGE(OFFSET($BH$3,0,0,'Données projet'!$E$11+1,1))-AVERAGE(OFFSET($H$3,0,0,'Données projet'!$E$11+1,1))</f>
        <v>212.82470567725971</v>
      </c>
      <c r="BJ51" s="59">
        <f t="shared" si="38"/>
        <v>196.91968622092054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0.70884508247601563</v>
      </c>
      <c r="BQ51" s="21">
        <f>EXP(-LN(2)/25)*BQ50+(1-EXP(-LN(2)/25))/(LN(2)/25)*Calculateur!BL51*Calculateur!BN51*VLOOKUP('Données projet'!$B$11,Paramètres!$A$1:$I$89,3,0)*0.475*44/12</f>
        <v>2.4792177815749907</v>
      </c>
      <c r="BR51" s="21">
        <f>EXP(-LN(2)/2)*BR50+(1-EXP(-LN(2)/2))/(LN(2)/2)*BL51*BO51*VLOOKUP('Données projet'!$B$11,Paramètres!$A$1:$I$89,3,0)*0.475*44/12</f>
        <v>0</v>
      </c>
      <c r="BS51" s="22">
        <f t="shared" si="9"/>
        <v>3.1880628640510063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25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22.931999999999999</v>
      </c>
      <c r="D52" s="11">
        <f t="shared" si="32"/>
        <v>7.3390282083215084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233.67109494142917</v>
      </c>
      <c r="H52" s="67">
        <f t="shared" si="1"/>
        <v>346.05537412949326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24.6</v>
      </c>
      <c r="N52" s="13">
        <f>IF('Données projet'!$A$36&gt;35,N51+M52-V51,IF(A52&lt;'Données projet'!$A$36,$K$205^A52,IF(A52='Données projet'!$A$36,'Données projet'!$B$36,N51+M52-V51)))</f>
        <v>576.40000000000032</v>
      </c>
      <c r="O52" s="13">
        <f>N52*VLOOKUP('Données projet'!$B$9,Paramètres!$A$1:$I$89,3,0)*VLOOKUP('Données projet'!$B$9,Paramètres!$A$1:$I$89,5,0)</f>
        <v>232.28920000000016</v>
      </c>
      <c r="P52" s="13">
        <f t="shared" si="33"/>
        <v>56.777374424265382</v>
      </c>
      <c r="Q52" s="20">
        <f t="shared" si="53"/>
        <v>503.45761712226249</v>
      </c>
      <c r="R52" s="59">
        <f t="shared" si="0"/>
        <v>796.79095045559575</v>
      </c>
      <c r="S52" s="59">
        <f ca="1">AVERAGE(OFFSET($R$3,0,0,'Données projet'!$E$9+1,1))-AVERAGE(OFFSET($H$3,0,0,'Données projet'!$E$9+1,1))</f>
        <v>321.12254860105566</v>
      </c>
      <c r="T52" s="59">
        <f t="shared" si="34"/>
        <v>270.52026164274571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9.0649714325836062</v>
      </c>
      <c r="AA52" s="21">
        <f>EXP(-LN(2)/25)*AA51+(1-EXP(-LN(2)/25))/(LN(2)/25)*Calculateur!V52*Calculateur!X52*VLOOKUP('Données projet'!$B$9,Paramètres!$A$1:$I$89,3,0)*0.475*44/12</f>
        <v>12.175832739133316</v>
      </c>
      <c r="AB52" s="21">
        <f>EXP(-LN(2)/2)*AB51+(1-EXP(-LN(2)/2))/(LN(2)/2)*V52*Y52*VLOOKUP('Données projet'!$B$9,Paramètres!$A$1:$I$89,3,0)*0.475*44/12</f>
        <v>0</v>
      </c>
      <c r="AC52" s="22">
        <f t="shared" si="3"/>
        <v>21.240804171716924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26.4</v>
      </c>
      <c r="AI52" s="13">
        <f>IF('Données projet'!$A$62&gt;35,AI51+AH52-AQ51,IF(A52&lt;'Données projet'!$A$62,$AF$205^A52,IF(A52='Données projet'!$A$62,'Données projet'!$B$62,AI51+AH52-AQ51)))</f>
        <v>754.59999999999968</v>
      </c>
      <c r="AJ52" s="13">
        <f>AI52*VLOOKUP('Données projet'!$B$10,Paramètres!$A$1:$I$89,3,0)*VLOOKUP('Données projet'!$B$10,Paramètres!$A$1:$I$89,5,0)</f>
        <v>353.1527999999999</v>
      </c>
      <c r="AK52" s="13">
        <f t="shared" si="35"/>
        <v>82.211366286790636</v>
      </c>
      <c r="AL52" s="20">
        <f t="shared" si="4"/>
        <v>758.25925628282687</v>
      </c>
      <c r="AM52" s="59">
        <f t="shared" si="5"/>
        <v>1051.5925896161602</v>
      </c>
      <c r="AN52" s="59">
        <f ca="1">AVERAGE(OFFSET($AM$3,0,0,'Données projet'!$E$10+1,1))-AVERAGE(OFFSET($H$3,0,0,'Données projet'!$E$10+1,1))</f>
        <v>267.78121291362345</v>
      </c>
      <c r="AO52" s="59">
        <f t="shared" si="36"/>
        <v>320.1780590861174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4.9982717313205089</v>
      </c>
      <c r="AV52" s="21">
        <f>EXP(-LN(2)/25)*AV51+(1-EXP(-LN(2)/25))/(LN(2)/25)*Calculateur!AQ52*Calculateur!AS52*VLOOKUP('Données projet'!$B$10,Paramètres!$A$1:$I$89,3,0)*0.475*44/12</f>
        <v>11.848559890227584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16.846831621548091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6</v>
      </c>
      <c r="BD52" s="12">
        <f>IF('Données projet'!$A$88&gt;35,BD51+BC52-BL51,IF(A52&lt;'Données projet'!$A$88,$BA$205^A52,IF(A52='Données projet'!$A$88,'Données projet'!$B$88,BD51+BC52-BL51)))</f>
        <v>167.00000000000003</v>
      </c>
      <c r="BE52" s="13">
        <f>BD52*VLOOKUP('Données projet'!$B$11,Paramètres!$A$1:$I$89,3,0)*VLOOKUP('Données projet'!$B$11,Paramètres!$A$1:$I$89,5,0)</f>
        <v>145.89120000000005</v>
      </c>
      <c r="BF52" s="13">
        <f t="shared" si="37"/>
        <v>37.643342098399685</v>
      </c>
      <c r="BG52" s="20">
        <f t="shared" si="7"/>
        <v>319.65599415471291</v>
      </c>
      <c r="BH52" s="59">
        <f t="shared" si="8"/>
        <v>612.98932748804623</v>
      </c>
      <c r="BI52" s="59">
        <f ca="1">AVERAGE(OFFSET($BH$3,0,0,'Données projet'!$E$11+1,1))-AVERAGE(OFFSET($H$3,0,0,'Données projet'!$E$11+1,1))</f>
        <v>212.82470567725971</v>
      </c>
      <c r="BJ52" s="59">
        <f t="shared" si="38"/>
        <v>196.91968622092054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0.69494506276146994</v>
      </c>
      <c r="BQ52" s="21">
        <f>EXP(-LN(2)/25)*BQ51+(1-EXP(-LN(2)/25))/(LN(2)/25)*Calculateur!BL52*Calculateur!BN52*VLOOKUP('Données projet'!$B$11,Paramètres!$A$1:$I$89,3,0)*0.475*44/12</f>
        <v>2.4114234409614257</v>
      </c>
      <c r="BR52" s="21">
        <f>EXP(-LN(2)/2)*BR51+(1-EXP(-LN(2)/2))/(LN(2)/2)*BL52*BO52*VLOOKUP('Données projet'!$B$11,Paramètres!$A$1:$I$89,3,0)*0.475*44/12</f>
        <v>0</v>
      </c>
      <c r="BS52" s="22">
        <f t="shared" si="9"/>
        <v>3.1063685037228956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25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</v>
      </c>
      <c r="D53" s="11">
        <f t="shared" si="32"/>
        <v>7.4712143488056828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238.30411076271048</v>
      </c>
      <c r="H53" s="67">
        <f t="shared" si="1"/>
        <v>347.10069832416985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>
        <f>VLOOKUP(A53,'Données projet'!$A$35:$I$55,2,0)</f>
        <v>601</v>
      </c>
      <c r="L53" s="12">
        <f>VLOOKUP(A53,'Données projet'!$A$35:$I$55,9,0)</f>
        <v>24.6</v>
      </c>
      <c r="M53" s="12">
        <f t="array" ref="M53">INDEX(L:L,MIN(IF(ISNUMBER(L53:L249),ROW(L53:L249),"")))</f>
        <v>24.6</v>
      </c>
      <c r="N53" s="13">
        <f>IF('Données projet'!$A$36&gt;35,N52+M53-V52,IF(A53&lt;'Données projet'!$A$36,$K$205^A53,IF(A53='Données projet'!$A$36,'Données projet'!$B$36,N52+M53-V52)))</f>
        <v>601.00000000000034</v>
      </c>
      <c r="O53" s="13">
        <f>N53*VLOOKUP('Données projet'!$B$9,Paramètres!$A$1:$I$89,3,0)*VLOOKUP('Données projet'!$B$9,Paramètres!$A$1:$I$89,5,0)</f>
        <v>242.20300000000015</v>
      </c>
      <c r="P53" s="13">
        <f t="shared" si="33"/>
        <v>58.91326430821686</v>
      </c>
      <c r="Q53" s="20">
        <f t="shared" si="53"/>
        <v>524.44416033681125</v>
      </c>
      <c r="R53" s="59">
        <f t="shared" si="0"/>
        <v>817.77749367014462</v>
      </c>
      <c r="S53" s="59">
        <f ca="1">AVERAGE(OFFSET($R$3,0,0,'Données projet'!$E$9+1,1))-AVERAGE(OFFSET($H$3,0,0,'Données projet'!$E$9+1,1))</f>
        <v>321.12254860105566</v>
      </c>
      <c r="T53" s="59">
        <f t="shared" si="34"/>
        <v>270.52026164274571</v>
      </c>
      <c r="U53" s="15">
        <f>IF(ISNA(VLOOKUP(A53,'Données projet'!$A$35:$I$55,3,0)),0,VLOOKUP(A53,'Données projet'!$A$35:$I$55,3,0))</f>
        <v>7</v>
      </c>
      <c r="V53" s="15">
        <f>IF(ISNA(VLOOKUP(A53,'Données projet'!$A$35:$I$55,4,0)),0,VLOOKUP(A53,'Données projet'!$A$35:$I$55,4,0))</f>
        <v>70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8.8872128718772636</v>
      </c>
      <c r="AA53" s="21">
        <f>EXP(-LN(2)/25)*AA52+(1-EXP(-LN(2)/25))/(LN(2)/25)*Calculateur!V53*Calculateur!X53*VLOOKUP('Données projet'!$B$9,Paramètres!$A$1:$I$89,3,0)*0.475*44/12</f>
        <v>11.8428839525825</v>
      </c>
      <c r="AB53" s="21">
        <f>EXP(-LN(2)/2)*AB52+(1-EXP(-LN(2)/2))/(LN(2)/2)*V53*Y53*VLOOKUP('Données projet'!$B$9,Paramètres!$A$1:$I$89,3,0)*0.475*44/12</f>
        <v>0</v>
      </c>
      <c r="AC53" s="22">
        <f t="shared" si="3"/>
        <v>20.730096824459764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781</v>
      </c>
      <c r="AG53" s="12">
        <f>VLOOKUP(A53,'Données projet'!$A$61:$I$81,9,0)</f>
        <v>26.4</v>
      </c>
      <c r="AH53" s="12">
        <f t="array" ref="AH53">INDEX(AG:AG,MIN(IF(ISNUMBER(AG53:AG249),ROW(AG53:AG249),"")))</f>
        <v>26.4</v>
      </c>
      <c r="AI53" s="13">
        <f>IF('Données projet'!$A$62&gt;35,AI52+AH53-AQ52,IF(A53&lt;'Données projet'!$A$62,$AF$205^A53,IF(A53='Données projet'!$A$62,'Données projet'!$B$62,AI52+AH53-AQ52)))</f>
        <v>780.99999999999966</v>
      </c>
      <c r="AJ53" s="13">
        <f>AI53*VLOOKUP('Données projet'!$B$10,Paramètres!$A$1:$I$89,3,0)*VLOOKUP('Données projet'!$B$10,Paramètres!$A$1:$I$89,5,0)</f>
        <v>365.50799999999981</v>
      </c>
      <c r="AK53" s="13">
        <f t="shared" si="35"/>
        <v>84.747667534292106</v>
      </c>
      <c r="AL53" s="20">
        <f t="shared" si="4"/>
        <v>784.19528762222501</v>
      </c>
      <c r="AM53" s="59">
        <f t="shared" si="5"/>
        <v>1077.5286209555584</v>
      </c>
      <c r="AN53" s="59">
        <f ca="1">AVERAGE(OFFSET($AM$3,0,0,'Données projet'!$E$10+1,1))-AVERAGE(OFFSET($H$3,0,0,'Données projet'!$E$10+1,1))</f>
        <v>267.78121291362345</v>
      </c>
      <c r="AO53" s="59">
        <f t="shared" si="36"/>
        <v>320.1780590861174</v>
      </c>
      <c r="AP53" s="15" t="str">
        <f>IF(ISNA(VLOOKUP(A53,'Données projet'!$A$61:$I$81,3,0)),0,VLOOKUP(A53,'Données projet'!$A$61:$I$81,3,0))</f>
        <v>CR</v>
      </c>
      <c r="AQ53" s="15">
        <f>IF(ISNA(VLOOKUP(A53,'Données projet'!$A$61:$I$81,4,0)),0,VLOOKUP(A53,'Données projet'!$A$61:$I$81,4,0))</f>
        <v>781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4.9002586713140408</v>
      </c>
      <c r="AV53" s="21">
        <f>EXP(-LN(2)/25)*AV52+(1-EXP(-LN(2)/25))/(LN(2)/25)*Calculateur!AQ53*Calculateur!AS53*VLOOKUP('Données projet'!$B$10,Paramètres!$A$1:$I$89,3,0)*0.475*44/12</f>
        <v>11.524560396940625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16.424819068254667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>
        <f>VLOOKUP(A53,'Données projet'!$A$87:$I$107,2,0)</f>
        <v>173</v>
      </c>
      <c r="BB53" s="12">
        <f>VLOOKUP(A53,'Données projet'!$A$87:$I$107,9,0)</f>
        <v>6</v>
      </c>
      <c r="BC53" s="12">
        <f t="array" ref="BC53">INDEX(BB:BB,MIN(IF(ISNUMBER(BB53:BB249),ROW(BB53:BB249),"")))</f>
        <v>6</v>
      </c>
      <c r="BD53" s="12">
        <f>IF('Données projet'!$A$88&gt;35,BD52+BC53-BL52,IF(A53&lt;'Données projet'!$A$88,$BA$205^A53,IF(A53='Données projet'!$A$88,'Données projet'!$B$88,BD52+BC53-BL52)))</f>
        <v>173.00000000000003</v>
      </c>
      <c r="BE53" s="13">
        <f>BD53*VLOOKUP('Données projet'!$B$11,Paramètres!$A$1:$I$89,3,0)*VLOOKUP('Données projet'!$B$11,Paramètres!$A$1:$I$89,5,0)</f>
        <v>151.13280000000003</v>
      </c>
      <c r="BF53" s="13">
        <f t="shared" si="37"/>
        <v>38.835905653934425</v>
      </c>
      <c r="BG53" s="20">
        <f t="shared" si="7"/>
        <v>330.86216234726913</v>
      </c>
      <c r="BH53" s="59">
        <f t="shared" si="8"/>
        <v>624.19549568060245</v>
      </c>
      <c r="BI53" s="59">
        <f ca="1">AVERAGE(OFFSET($BH$3,0,0,'Données projet'!$E$11+1,1))-AVERAGE(OFFSET($H$3,0,0,'Données projet'!$E$11+1,1))</f>
        <v>212.82470567725971</v>
      </c>
      <c r="BJ53" s="59">
        <f t="shared" si="38"/>
        <v>196.91968622092054</v>
      </c>
      <c r="BK53" s="15">
        <f>IF(ISNA(VLOOKUP(A53,'Données projet'!$A$87:$I$107,3,0)),0,VLOOKUP(A53,'Données projet'!$A$87:$I$107,3,0))</f>
        <v>7</v>
      </c>
      <c r="BL53" s="15">
        <f>IF(ISNA(VLOOKUP(A53,'Données projet'!$A$87:$I$107,4,0)),0,VLOOKUP(A53,'Données projet'!$A$87:$I$107,4,0))</f>
        <v>18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0.68131761395535162</v>
      </c>
      <c r="BQ53" s="21">
        <f>EXP(-LN(2)/25)*BQ52+(1-EXP(-LN(2)/25))/(LN(2)/25)*Calculateur!BL53*Calculateur!BN53*VLOOKUP('Données projet'!$B$11,Paramètres!$A$1:$I$89,3,0)*0.475*44/12</f>
        <v>2.3454829401570882</v>
      </c>
      <c r="BR53" s="21">
        <f>EXP(-LN(2)/2)*BR52+(1-EXP(-LN(2)/2))/(LN(2)/2)*BL53*BO53*VLOOKUP('Données projet'!$B$11,Paramètres!$A$1:$I$89,3,0)*0.475*44/12</f>
        <v>0</v>
      </c>
      <c r="BS53" s="22">
        <f t="shared" si="9"/>
        <v>3.0268005541124401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25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23.867999999999999</v>
      </c>
      <c r="D54" s="11">
        <f t="shared" si="32"/>
        <v>7.6030930962115368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242.93475372514169</v>
      </c>
      <c r="H54" s="67">
        <f t="shared" si="1"/>
        <v>348.14548714256841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23</v>
      </c>
      <c r="N54" s="13">
        <f>IF('Données projet'!$A$36&gt;35,N53+M54-V53,IF(A54&lt;'Données projet'!$A$36,$K$205^A54,IF(A54='Données projet'!$A$36,'Données projet'!$B$36,N53+M54-V53)))</f>
        <v>554.00000000000034</v>
      </c>
      <c r="O54" s="13">
        <f>N54*VLOOKUP('Données projet'!$B$9,Paramètres!$A$1:$I$89,3,0)*VLOOKUP('Données projet'!$B$9,Paramètres!$A$1:$I$89,5,0)</f>
        <v>223.26200000000014</v>
      </c>
      <c r="P54" s="13">
        <f t="shared" si="33"/>
        <v>54.823256841257262</v>
      </c>
      <c r="Q54" s="20">
        <f t="shared" si="53"/>
        <v>484.33182233185659</v>
      </c>
      <c r="R54" s="59">
        <f t="shared" si="0"/>
        <v>777.6651556651899</v>
      </c>
      <c r="S54" s="59">
        <f ca="1">AVERAGE(OFFSET($R$3,0,0,'Données projet'!$E$9+1,1))-AVERAGE(OFFSET($H$3,0,0,'Données projet'!$E$9+1,1))</f>
        <v>321.12254860105566</v>
      </c>
      <c r="T54" s="59">
        <f t="shared" si="34"/>
        <v>270.52026164274571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8.7129400481243557</v>
      </c>
      <c r="AA54" s="21">
        <f>EXP(-LN(2)/25)*AA53+(1-EXP(-LN(2)/25))/(LN(2)/25)*Calculateur!V54*Calculateur!X54*VLOOKUP('Données projet'!$B$9,Paramètres!$A$1:$I$89,3,0)*0.475*44/12</f>
        <v>11.519039668108933</v>
      </c>
      <c r="AB54" s="21">
        <f>EXP(-LN(2)/2)*AB53+(1-EXP(-LN(2)/2))/(LN(2)/2)*V54*Y54*VLOOKUP('Données projet'!$B$9,Paramètres!$A$1:$I$89,3,0)*0.475*44/12</f>
        <v>0</v>
      </c>
      <c r="AC54" s="22">
        <f t="shared" si="3"/>
        <v>20.23197971623329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0</v>
      </c>
      <c r="AI54" s="13">
        <f>IF('Données projet'!$A$62&gt;35,AI53+AH54-AQ53,IF(A54&lt;'Données projet'!$A$62,$AF$205^A54,IF(A54='Données projet'!$A$62,'Données projet'!$B$62,AI53+AH54-AQ53)))</f>
        <v>-3.4106051316484809E-13</v>
      </c>
      <c r="AJ54" s="13">
        <f>AI54*VLOOKUP('Données projet'!$B$10,Paramètres!$A$1:$I$89,3,0)*VLOOKUP('Données projet'!$B$10,Paramètres!$A$1:$I$89,5,0)</f>
        <v>-1.5961632016114892E-13</v>
      </c>
      <c r="AK54" s="13" t="e">
        <f t="shared" si="35"/>
        <v>#NUM!</v>
      </c>
      <c r="AL54" s="20" t="e">
        <f t="shared" si="4"/>
        <v>#NUM!</v>
      </c>
      <c r="AM54" s="59" t="e">
        <f t="shared" si="5"/>
        <v>#NUM!</v>
      </c>
      <c r="AN54" s="59">
        <f ca="1">AVERAGE(OFFSET($AM$3,0,0,'Données projet'!$E$10+1,1))-AVERAGE(OFFSET($H$3,0,0,'Données projet'!$E$10+1,1))</f>
        <v>267.78121291362345</v>
      </c>
      <c r="AO54" s="59">
        <f t="shared" si="36"/>
        <v>320.1780590861174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4.8041675876322367</v>
      </c>
      <c r="AV54" s="21">
        <f>EXP(-LN(2)/25)*AV53+(1-EXP(-LN(2)/25))/(LN(2)/25)*Calculateur!AQ54*Calculateur!AS54*VLOOKUP('Données projet'!$B$10,Paramètres!$A$1:$I$89,3,0)*0.475*44/12</f>
        <v>11.209420686835992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16.01358827446823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5.2</v>
      </c>
      <c r="BD54" s="12">
        <f>IF('Données projet'!$A$88&gt;35,BD53+BC54-BL53,IF(A54&lt;'Données projet'!$A$88,$BA$205^A54,IF(A54='Données projet'!$A$88,'Données projet'!$B$88,BD53+BC54-BL53)))</f>
        <v>160.20000000000002</v>
      </c>
      <c r="BE54" s="13">
        <f>BD54*VLOOKUP('Données projet'!$B$11,Paramètres!$A$1:$I$89,3,0)*VLOOKUP('Données projet'!$B$11,Paramètres!$A$1:$I$89,5,0)</f>
        <v>139.95072000000002</v>
      </c>
      <c r="BF54" s="13">
        <f t="shared" si="37"/>
        <v>36.285715907711918</v>
      </c>
      <c r="BG54" s="20">
        <f t="shared" si="7"/>
        <v>306.94512587259828</v>
      </c>
      <c r="BH54" s="59">
        <f t="shared" si="8"/>
        <v>600.27845920593154</v>
      </c>
      <c r="BI54" s="59">
        <f ca="1">AVERAGE(OFFSET($BH$3,0,0,'Données projet'!$E$11+1,1))-AVERAGE(OFFSET($H$3,0,0,'Données projet'!$E$11+1,1))</f>
        <v>212.82470567725971</v>
      </c>
      <c r="BJ54" s="59">
        <f t="shared" si="38"/>
        <v>196.91968622092054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0.66795739110839825</v>
      </c>
      <c r="BQ54" s="21">
        <f>EXP(-LN(2)/25)*BQ53+(1-EXP(-LN(2)/25))/(LN(2)/25)*Calculateur!BL54*Calculateur!BN54*VLOOKUP('Données projet'!$B$11,Paramètres!$A$1:$I$89,3,0)*0.475*44/12</f>
        <v>2.2813455858149054</v>
      </c>
      <c r="BR54" s="21">
        <f>EXP(-LN(2)/2)*BR53+(1-EXP(-LN(2)/2))/(LN(2)/2)*BL54*BO54*VLOOKUP('Données projet'!$B$11,Paramètres!$A$1:$I$89,3,0)*0.475*44/12</f>
        <v>0</v>
      </c>
      <c r="BS54" s="22">
        <f t="shared" si="9"/>
        <v>2.9493029769233035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25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24.335999999999999</v>
      </c>
      <c r="D55" s="11">
        <f t="shared" si="32"/>
        <v>7.7346711726299766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247.56307571854714</v>
      </c>
      <c r="H55" s="67">
        <f t="shared" si="1"/>
        <v>349.18975229233052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23</v>
      </c>
      <c r="N55" s="13">
        <f>IF('Données projet'!$A$36&gt;35,N54+M55-V54,IF(A55&lt;'Données projet'!$A$36,$K$205^A55,IF(A55='Données projet'!$A$36,'Données projet'!$B$36,N54+M55-V54)))</f>
        <v>577.00000000000034</v>
      </c>
      <c r="O55" s="13">
        <f>N55*VLOOKUP('Données projet'!$B$9,Paramètres!$A$1:$I$89,3,0)*VLOOKUP('Données projet'!$B$9,Paramètres!$A$1:$I$89,5,0)</f>
        <v>232.53100000000015</v>
      </c>
      <c r="P55" s="13">
        <f t="shared" si="33"/>
        <v>56.829593837725618</v>
      </c>
      <c r="Q55" s="20">
        <f t="shared" si="53"/>
        <v>503.96970093403905</v>
      </c>
      <c r="R55" s="59">
        <f t="shared" si="0"/>
        <v>797.30303426737237</v>
      </c>
      <c r="S55" s="59">
        <f ca="1">AVERAGE(OFFSET($R$3,0,0,'Données projet'!$E$9+1,1))-AVERAGE(OFFSET($H$3,0,0,'Données projet'!$E$9+1,1))</f>
        <v>321.12254860105566</v>
      </c>
      <c r="T55" s="59">
        <f t="shared" si="34"/>
        <v>270.52026164274571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8.5420846081493167</v>
      </c>
      <c r="AA55" s="21">
        <f>EXP(-LN(2)/25)*AA54+(1-EXP(-LN(2)/25))/(LN(2)/25)*Calculateur!V55*Calculateur!X55*VLOOKUP('Données projet'!$B$9,Paramètres!$A$1:$I$89,3,0)*0.475*44/12</f>
        <v>11.204050922624525</v>
      </c>
      <c r="AB55" s="21">
        <f>EXP(-LN(2)/2)*AB54+(1-EXP(-LN(2)/2))/(LN(2)/2)*V55*Y55*VLOOKUP('Données projet'!$B$9,Paramètres!$A$1:$I$89,3,0)*0.475*44/12</f>
        <v>0</v>
      </c>
      <c r="AC55" s="22">
        <f t="shared" si="3"/>
        <v>19.746135530773842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0</v>
      </c>
      <c r="AI55" s="13">
        <f>IF('Données projet'!$A$62&gt;35,AI54+AH55-AQ54,IF(A55&lt;'Données projet'!$A$62,$AF$205^A55,IF(A55='Données projet'!$A$62,'Données projet'!$B$62,AI54+AH55-AQ54)))</f>
        <v>-3.4106051316484809E-13</v>
      </c>
      <c r="AJ55" s="13">
        <f>AI55*VLOOKUP('Données projet'!$B$10,Paramètres!$A$1:$I$89,3,0)*VLOOKUP('Données projet'!$B$10,Paramètres!$A$1:$I$89,5,0)</f>
        <v>-1.5961632016114892E-13</v>
      </c>
      <c r="AK55" s="13" t="e">
        <f t="shared" si="35"/>
        <v>#NUM!</v>
      </c>
      <c r="AL55" s="20" t="e">
        <f t="shared" si="4"/>
        <v>#NUM!</v>
      </c>
      <c r="AM55" s="59" t="e">
        <f t="shared" si="5"/>
        <v>#NUM!</v>
      </c>
      <c r="AN55" s="59">
        <f ca="1">AVERAGE(OFFSET($AM$3,0,0,'Données projet'!$E$10+1,1))-AVERAGE(OFFSET($H$3,0,0,'Données projet'!$E$10+1,1))</f>
        <v>267.78121291362345</v>
      </c>
      <c r="AO55" s="59">
        <f t="shared" si="36"/>
        <v>320.1780590861174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4.7099607914916586</v>
      </c>
      <c r="AV55" s="21">
        <f>EXP(-LN(2)/25)*AV54+(1-EXP(-LN(2)/25))/(LN(2)/25)*Calculateur!AQ55*Calculateur!AS55*VLOOKUP('Données projet'!$B$10,Paramètres!$A$1:$I$89,3,0)*0.475*44/12</f>
        <v>10.902898488676648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15.612859280168307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5.2</v>
      </c>
      <c r="BD55" s="12">
        <f>IF('Données projet'!$A$88&gt;35,BD54+BC55-BL54,IF(A55&lt;'Données projet'!$A$88,$BA$205^A55,IF(A55='Données projet'!$A$88,'Données projet'!$B$88,BD54+BC55-BL54)))</f>
        <v>165.4</v>
      </c>
      <c r="BE55" s="13">
        <f>BD55*VLOOKUP('Données projet'!$B$11,Paramètres!$A$1:$I$89,3,0)*VLOOKUP('Données projet'!$B$11,Paramètres!$A$1:$I$89,5,0)</f>
        <v>144.49344000000002</v>
      </c>
      <c r="BF55" s="13">
        <f t="shared" si="37"/>
        <v>37.324489208332842</v>
      </c>
      <c r="BG55" s="20">
        <f t="shared" si="7"/>
        <v>316.66622670451306</v>
      </c>
      <c r="BH55" s="59">
        <f t="shared" si="8"/>
        <v>609.99956003784632</v>
      </c>
      <c r="BI55" s="59">
        <f ca="1">AVERAGE(OFFSET($BH$3,0,0,'Données projet'!$E$11+1,1))-AVERAGE(OFFSET($H$3,0,0,'Données projet'!$E$11+1,1))</f>
        <v>212.82470567725971</v>
      </c>
      <c r="BJ55" s="59">
        <f t="shared" si="38"/>
        <v>196.91968622092054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0.65485915408254236</v>
      </c>
      <c r="BQ55" s="21">
        <f>EXP(-LN(2)/25)*BQ54+(1-EXP(-LN(2)/25))/(LN(2)/25)*Calculateur!BL55*Calculateur!BN55*VLOOKUP('Données projet'!$B$11,Paramètres!$A$1:$I$89,3,0)*0.475*44/12</f>
        <v>2.2189620708000466</v>
      </c>
      <c r="BR55" s="21">
        <f>EXP(-LN(2)/2)*BR54+(1-EXP(-LN(2)/2))/(LN(2)/2)*BL55*BO55*VLOOKUP('Données projet'!$B$11,Paramètres!$A$1:$I$89,3,0)*0.475*44/12</f>
        <v>0</v>
      </c>
      <c r="BS55" s="22">
        <f t="shared" si="9"/>
        <v>2.873821224882589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25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24.803999999999998</v>
      </c>
      <c r="D56" s="11">
        <f t="shared" si="32"/>
        <v>7.8659550268183116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252.18912652280798</v>
      </c>
      <c r="H56" s="67">
        <f t="shared" si="1"/>
        <v>350.23350500504188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23</v>
      </c>
      <c r="N56" s="13">
        <f>IF('Données projet'!$A$36&gt;35,N55+M56-V55,IF(A56&lt;'Données projet'!$A$36,$K$205^A56,IF(A56='Données projet'!$A$36,'Données projet'!$B$36,N55+M56-V55)))</f>
        <v>600.00000000000034</v>
      </c>
      <c r="O56" s="13">
        <f>N56*VLOOKUP('Données projet'!$B$9,Paramètres!$A$1:$I$89,3,0)*VLOOKUP('Données projet'!$B$9,Paramètres!$A$1:$I$89,5,0)</f>
        <v>241.80000000000015</v>
      </c>
      <c r="P56" s="13">
        <f t="shared" si="33"/>
        <v>58.826640673484889</v>
      </c>
      <c r="Q56" s="20">
        <f t="shared" si="53"/>
        <v>523.59139917298637</v>
      </c>
      <c r="R56" s="59">
        <f t="shared" si="0"/>
        <v>816.92473250631974</v>
      </c>
      <c r="S56" s="59">
        <f ca="1">AVERAGE(OFFSET($R$3,0,0,'Données projet'!$E$9+1,1))-AVERAGE(OFFSET($H$3,0,0,'Données projet'!$E$9+1,1))</f>
        <v>321.12254860105566</v>
      </c>
      <c r="T56" s="59">
        <f t="shared" si="34"/>
        <v>270.52026164274571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8.3745795391406599</v>
      </c>
      <c r="AA56" s="21">
        <f>EXP(-LN(2)/25)*AA55+(1-EXP(-LN(2)/25))/(LN(2)/25)*Calculateur!V56*Calculateur!X56*VLOOKUP('Données projet'!$B$9,Paramètres!$A$1:$I$89,3,0)*0.475*44/12</f>
        <v>10.897675560949926</v>
      </c>
      <c r="AB56" s="21">
        <f>EXP(-LN(2)/2)*AB55+(1-EXP(-LN(2)/2))/(LN(2)/2)*V56*Y56*VLOOKUP('Données projet'!$B$9,Paramètres!$A$1:$I$89,3,0)*0.475*44/12</f>
        <v>0</v>
      </c>
      <c r="AC56" s="22">
        <f t="shared" si="3"/>
        <v>19.272255100090586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0</v>
      </c>
      <c r="AI56" s="13">
        <f>IF('Données projet'!$A$62&gt;35,AI55+AH56-AQ55,IF(A56&lt;'Données projet'!$A$62,$AF$205^A56,IF(A56='Données projet'!$A$62,'Données projet'!$B$62,AI55+AH56-AQ55)))</f>
        <v>-3.4106051316484809E-13</v>
      </c>
      <c r="AJ56" s="13">
        <f>AI56*VLOOKUP('Données projet'!$B$10,Paramètres!$A$1:$I$89,3,0)*VLOOKUP('Données projet'!$B$10,Paramètres!$A$1:$I$89,5,0)</f>
        <v>-1.5961632016114892E-13</v>
      </c>
      <c r="AK56" s="13" t="e">
        <f t="shared" si="35"/>
        <v>#NUM!</v>
      </c>
      <c r="AL56" s="20" t="e">
        <f t="shared" si="4"/>
        <v>#NUM!</v>
      </c>
      <c r="AM56" s="59" t="e">
        <f t="shared" si="5"/>
        <v>#NUM!</v>
      </c>
      <c r="AN56" s="59">
        <f ca="1">AVERAGE(OFFSET($AM$3,0,0,'Données projet'!$E$10+1,1))-AVERAGE(OFFSET($H$3,0,0,'Données projet'!$E$10+1,1))</f>
        <v>267.78121291362345</v>
      </c>
      <c r="AO56" s="59">
        <f t="shared" si="36"/>
        <v>320.1780590861174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4.6176013331629253</v>
      </c>
      <c r="AV56" s="21">
        <f>EXP(-LN(2)/25)*AV55+(1-EXP(-LN(2)/25))/(LN(2)/25)*Calculateur!AQ56*Calculateur!AS56*VLOOKUP('Données projet'!$B$10,Paramètres!$A$1:$I$89,3,0)*0.475*44/12</f>
        <v>10.604758156145273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15.222359489308198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5.2</v>
      </c>
      <c r="BD56" s="12">
        <f>IF('Données projet'!$A$88&gt;35,BD55+BC56-BL55,IF(A56&lt;'Données projet'!$A$88,$BA$205^A56,IF(A56='Données projet'!$A$88,'Données projet'!$B$88,BD55+BC56-BL55)))</f>
        <v>170.6</v>
      </c>
      <c r="BE56" s="13">
        <f>BD56*VLOOKUP('Données projet'!$B$11,Paramètres!$A$1:$I$89,3,0)*VLOOKUP('Données projet'!$B$11,Paramètres!$A$1:$I$89,5,0)</f>
        <v>149.03616</v>
      </c>
      <c r="BF56" s="13">
        <f t="shared" si="37"/>
        <v>38.35946741279561</v>
      </c>
      <c r="BG56" s="20">
        <f t="shared" si="7"/>
        <v>326.38071774395229</v>
      </c>
      <c r="BH56" s="59">
        <f t="shared" si="8"/>
        <v>619.7140510772856</v>
      </c>
      <c r="BI56" s="59">
        <f ca="1">AVERAGE(OFFSET($BH$3,0,0,'Données projet'!$E$11+1,1))-AVERAGE(OFFSET($H$3,0,0,'Données projet'!$E$11+1,1))</f>
        <v>212.82470567725971</v>
      </c>
      <c r="BJ56" s="59">
        <f t="shared" si="38"/>
        <v>196.91968622092054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0.64201776549562783</v>
      </c>
      <c r="BQ56" s="21">
        <f>EXP(-LN(2)/25)*BQ55+(1-EXP(-LN(2)/25))/(LN(2)/25)*Calculateur!BL56*Calculateur!BN56*VLOOKUP('Données projet'!$B$11,Paramètres!$A$1:$I$89,3,0)*0.475*44/12</f>
        <v>2.1582844362838753</v>
      </c>
      <c r="BR56" s="21">
        <f>EXP(-LN(2)/2)*BR55+(1-EXP(-LN(2)/2))/(LN(2)/2)*BL56*BO56*VLOOKUP('Données projet'!$B$11,Paramètres!$A$1:$I$89,3,0)*0.475*44/12</f>
        <v>0</v>
      </c>
      <c r="BS56" s="22">
        <f t="shared" si="9"/>
        <v>2.8003022017795032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25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25.271999999999998</v>
      </c>
      <c r="D57" s="11">
        <f t="shared" si="32"/>
        <v>7.996950850258413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256.81295393181932</v>
      </c>
      <c r="H57" s="67">
        <f t="shared" si="1"/>
        <v>351.27675606420007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23</v>
      </c>
      <c r="N57" s="13">
        <f>IF('Données projet'!$A$36&gt;35,N56+M57-V56,IF(A57&lt;'Données projet'!$A$36,$K$205^A57,IF(A57='Données projet'!$A$36,'Données projet'!$B$36,N56+M57-V56)))</f>
        <v>623.00000000000034</v>
      </c>
      <c r="O57" s="13">
        <f>N57*VLOOKUP('Données projet'!$B$9,Paramètres!$A$1:$I$89,3,0)*VLOOKUP('Données projet'!$B$9,Paramètres!$A$1:$I$89,5,0)</f>
        <v>251.06900000000016</v>
      </c>
      <c r="P57" s="13">
        <f t="shared" si="33"/>
        <v>60.81479423630261</v>
      </c>
      <c r="Q57" s="20">
        <f t="shared" si="53"/>
        <v>543.19760829489394</v>
      </c>
      <c r="R57" s="59">
        <f t="shared" si="0"/>
        <v>836.53094162822731</v>
      </c>
      <c r="S57" s="59">
        <f ca="1">AVERAGE(OFFSET($R$3,0,0,'Données projet'!$E$9+1,1))-AVERAGE(OFFSET($H$3,0,0,'Données projet'!$E$9+1,1))</f>
        <v>321.12254860105566</v>
      </c>
      <c r="T57" s="59">
        <f t="shared" si="34"/>
        <v>270.52026164274571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8.2103591423672579</v>
      </c>
      <c r="AA57" s="21">
        <f>EXP(-LN(2)/25)*AA56+(1-EXP(-LN(2)/25))/(LN(2)/25)*Calculateur!V57*Calculateur!X57*VLOOKUP('Données projet'!$B$9,Paramètres!$A$1:$I$89,3,0)*0.475*44/12</f>
        <v>10.599678049651899</v>
      </c>
      <c r="AB57" s="21">
        <f>EXP(-LN(2)/2)*AB56+(1-EXP(-LN(2)/2))/(LN(2)/2)*V57*Y57*VLOOKUP('Données projet'!$B$9,Paramètres!$A$1:$I$89,3,0)*0.475*44/12</f>
        <v>0</v>
      </c>
      <c r="AC57" s="22">
        <f t="shared" si="3"/>
        <v>18.810037192019159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0</v>
      </c>
      <c r="AI57" s="13">
        <f>IF('Données projet'!$A$62&gt;35,AI56+AH57-AQ56,IF(A57&lt;'Données projet'!$A$62,$AF$205^A57,IF(A57='Données projet'!$A$62,'Données projet'!$B$62,AI56+AH57-AQ56)))</f>
        <v>-3.4106051316484809E-13</v>
      </c>
      <c r="AJ57" s="13">
        <f>AI57*VLOOKUP('Données projet'!$B$10,Paramètres!$A$1:$I$89,3,0)*VLOOKUP('Données projet'!$B$10,Paramètres!$A$1:$I$89,5,0)</f>
        <v>-1.5961632016114892E-13</v>
      </c>
      <c r="AK57" s="13" t="e">
        <f t="shared" si="35"/>
        <v>#NUM!</v>
      </c>
      <c r="AL57" s="20" t="e">
        <f t="shared" si="4"/>
        <v>#NUM!</v>
      </c>
      <c r="AM57" s="59" t="e">
        <f t="shared" si="5"/>
        <v>#NUM!</v>
      </c>
      <c r="AN57" s="59">
        <f ca="1">AVERAGE(OFFSET($AM$3,0,0,'Données projet'!$E$10+1,1))-AVERAGE(OFFSET($H$3,0,0,'Données projet'!$E$10+1,1))</f>
        <v>267.78121291362345</v>
      </c>
      <c r="AO57" s="59">
        <f t="shared" si="36"/>
        <v>320.1780590861174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4.527052987478311</v>
      </c>
      <c r="AV57" s="21">
        <f>EXP(-LN(2)/25)*AV56+(1-EXP(-LN(2)/25))/(LN(2)/25)*Calculateur!AQ57*Calculateur!AS57*VLOOKUP('Données projet'!$B$10,Paramètres!$A$1:$I$89,3,0)*0.475*44/12</f>
        <v>10.314770486685486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14.841823474163796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5.2</v>
      </c>
      <c r="BD57" s="12">
        <f>IF('Données projet'!$A$88&gt;35,BD56+BC57-BL56,IF(A57&lt;'Données projet'!$A$88,$BA$205^A57,IF(A57='Données projet'!$A$88,'Données projet'!$B$88,BD56+BC57-BL56)))</f>
        <v>175.79999999999998</v>
      </c>
      <c r="BE57" s="13">
        <f>BD57*VLOOKUP('Données projet'!$B$11,Paramètres!$A$1:$I$89,3,0)*VLOOKUP('Données projet'!$B$11,Paramètres!$A$1:$I$89,5,0)</f>
        <v>153.57888</v>
      </c>
      <c r="BF57" s="13">
        <f t="shared" si="37"/>
        <v>39.390779474606148</v>
      </c>
      <c r="BG57" s="20">
        <f t="shared" si="7"/>
        <v>336.08882358493901</v>
      </c>
      <c r="BH57" s="59">
        <f t="shared" si="8"/>
        <v>629.42215691827232</v>
      </c>
      <c r="BI57" s="59">
        <f ca="1">AVERAGE(OFFSET($BH$3,0,0,'Données projet'!$E$11+1,1))-AVERAGE(OFFSET($H$3,0,0,'Données projet'!$E$11+1,1))</f>
        <v>212.82470567725971</v>
      </c>
      <c r="BJ57" s="59">
        <f t="shared" si="38"/>
        <v>196.91968622092054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0.62942818870642903</v>
      </c>
      <c r="BQ57" s="21">
        <f>EXP(-LN(2)/25)*BQ56+(1-EXP(-LN(2)/25))/(LN(2)/25)*Calculateur!BL57*Calculateur!BN57*VLOOKUP('Données projet'!$B$11,Paramètres!$A$1:$I$89,3,0)*0.475*44/12</f>
        <v>2.099266034874447</v>
      </c>
      <c r="BR57" s="21">
        <f>EXP(-LN(2)/2)*BR56+(1-EXP(-LN(2)/2))/(LN(2)/2)*BL57*BO57*VLOOKUP('Données projet'!$B$11,Paramètres!$A$1:$I$89,3,0)*0.475*44/12</f>
        <v>0</v>
      </c>
      <c r="BS57" s="22">
        <f t="shared" si="9"/>
        <v>2.728694223580876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25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25.74</v>
      </c>
      <c r="D58" s="11">
        <f t="shared" si="32"/>
        <v>8.1276645919917723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261.43460386800666</v>
      </c>
      <c r="H58" s="67">
        <f t="shared" si="1"/>
        <v>352.31951583105229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>
        <f>VLOOKUP(A58,'Données projet'!$A$35:$I$55,2,0)</f>
        <v>646</v>
      </c>
      <c r="L58" s="12">
        <f>VLOOKUP(A58,'Données projet'!$A$35:$I$55,9,0)</f>
        <v>23</v>
      </c>
      <c r="M58" s="12">
        <f t="array" ref="M58">INDEX(L:L,MIN(IF(ISNUMBER(L58:L254),ROW(L58:L254),"")))</f>
        <v>23</v>
      </c>
      <c r="N58" s="13">
        <f>IF('Données projet'!$A$36&gt;35,N57+M58-V57,IF(A58&lt;'Données projet'!$A$36,$K$205^A58,IF(A58='Données projet'!$A$36,'Données projet'!$B$36,N57+M58-V57)))</f>
        <v>646.00000000000034</v>
      </c>
      <c r="O58" s="13">
        <f>N58*VLOOKUP('Données projet'!$B$9,Paramètres!$A$1:$I$89,3,0)*VLOOKUP('Données projet'!$B$9,Paramètres!$A$1:$I$89,5,0)</f>
        <v>260.33800000000014</v>
      </c>
      <c r="P58" s="13">
        <f t="shared" si="33"/>
        <v>62.794420448761521</v>
      </c>
      <c r="Q58" s="20">
        <f t="shared" si="53"/>
        <v>562.7889656149265</v>
      </c>
      <c r="R58" s="59">
        <f t="shared" si="0"/>
        <v>856.12229894825987</v>
      </c>
      <c r="S58" s="59">
        <f ca="1">AVERAGE(OFFSET($R$3,0,0,'Données projet'!$E$9+1,1))-AVERAGE(OFFSET($H$3,0,0,'Données projet'!$E$9+1,1))</f>
        <v>321.12254860105566</v>
      </c>
      <c r="T58" s="59">
        <f t="shared" si="34"/>
        <v>270.52026164274571</v>
      </c>
      <c r="U58" s="15">
        <f>IF(ISNA(VLOOKUP(A58,'Données projet'!$A$35:$I$55,3,0)),0,VLOOKUP(A58,'Données projet'!$A$35:$I$55,3,0))</f>
        <v>8</v>
      </c>
      <c r="V58" s="15">
        <f>IF(ISNA(VLOOKUP(A58,'Données projet'!$A$35:$I$55,4,0)),0,VLOOKUP(A58,'Données projet'!$A$35:$I$55,4,0))</f>
        <v>63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8.0493590074100307</v>
      </c>
      <c r="AA58" s="21">
        <f>EXP(-LN(2)/25)*AA57+(1-EXP(-LN(2)/25))/(LN(2)/25)*Calculateur!V58*Calculateur!X58*VLOOKUP('Données projet'!$B$9,Paramètres!$A$1:$I$89,3,0)*0.475*44/12</f>
        <v>10.309829295971326</v>
      </c>
      <c r="AB58" s="21">
        <f>EXP(-LN(2)/2)*AB57+(1-EXP(-LN(2)/2))/(LN(2)/2)*V58*Y58*VLOOKUP('Données projet'!$B$9,Paramètres!$A$1:$I$89,3,0)*0.475*44/12</f>
        <v>0</v>
      </c>
      <c r="AC58" s="22">
        <f t="shared" si="3"/>
        <v>18.359188303381359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0</v>
      </c>
      <c r="AI58" s="13">
        <f>IF('Données projet'!$A$62&gt;35,AI57+AH58-AQ57,IF(A58&lt;'Données projet'!$A$62,$AF$205^A58,IF(A58='Données projet'!$A$62,'Données projet'!$B$62,AI57+AH58-AQ57)))</f>
        <v>-3.4106051316484809E-13</v>
      </c>
      <c r="AJ58" s="13">
        <f>AI58*VLOOKUP('Données projet'!$B$10,Paramètres!$A$1:$I$89,3,0)*VLOOKUP('Données projet'!$B$10,Paramètres!$A$1:$I$89,5,0)</f>
        <v>-1.5961632016114892E-13</v>
      </c>
      <c r="AK58" s="13" t="e">
        <f t="shared" si="35"/>
        <v>#NUM!</v>
      </c>
      <c r="AL58" s="20" t="e">
        <f t="shared" si="4"/>
        <v>#NUM!</v>
      </c>
      <c r="AM58" s="59" t="e">
        <f t="shared" si="5"/>
        <v>#NUM!</v>
      </c>
      <c r="AN58" s="59">
        <f ca="1">AVERAGE(OFFSET($AM$3,0,0,'Données projet'!$E$10+1,1))-AVERAGE(OFFSET($H$3,0,0,'Données projet'!$E$10+1,1))</f>
        <v>267.78121291362345</v>
      </c>
      <c r="AO58" s="59">
        <f t="shared" si="36"/>
        <v>320.1780590861174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4.438280239623535</v>
      </c>
      <c r="AV58" s="21">
        <f>EXP(-LN(2)/25)*AV57+(1-EXP(-LN(2)/25))/(LN(2)/25)*Calculateur!AQ58*Calculateur!AS58*VLOOKUP('Données projet'!$B$10,Paramètres!$A$1:$I$89,3,0)*0.475*44/12</f>
        <v>10.032712545296866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14.470992784920401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>
        <f>VLOOKUP(A58,'Données projet'!$A$87:$I$107,2,0)</f>
        <v>181</v>
      </c>
      <c r="BB58" s="12">
        <f>VLOOKUP(A58,'Données projet'!$A$87:$I$107,9,0)</f>
        <v>5.2</v>
      </c>
      <c r="BC58" s="12">
        <f t="array" ref="BC58">INDEX(BB:BB,MIN(IF(ISNUMBER(BB58:BB254),ROW(BB58:BB254),"")))</f>
        <v>5.2</v>
      </c>
      <c r="BD58" s="12">
        <f>IF('Données projet'!$A$88&gt;35,BD57+BC58-BL57,IF(A58&lt;'Données projet'!$A$88,$BA$205^A58,IF(A58='Données projet'!$A$88,'Données projet'!$B$88,BD57+BC58-BL57)))</f>
        <v>180.99999999999997</v>
      </c>
      <c r="BE58" s="13">
        <f>BD58*VLOOKUP('Données projet'!$B$11,Paramètres!$A$1:$I$89,3,0)*VLOOKUP('Données projet'!$B$11,Paramètres!$A$1:$I$89,5,0)</f>
        <v>158.1216</v>
      </c>
      <c r="BF58" s="13">
        <f t="shared" si="37"/>
        <v>40.418546284954211</v>
      </c>
      <c r="BG58" s="20">
        <f t="shared" si="7"/>
        <v>345.79075477962851</v>
      </c>
      <c r="BH58" s="59">
        <f t="shared" si="8"/>
        <v>639.12408811296177</v>
      </c>
      <c r="BI58" s="59">
        <f ca="1">AVERAGE(OFFSET($BH$3,0,0,'Données projet'!$E$11+1,1))-AVERAGE(OFFSET($H$3,0,0,'Données projet'!$E$11+1,1))</f>
        <v>212.82470567725971</v>
      </c>
      <c r="BJ58" s="59">
        <f t="shared" si="38"/>
        <v>196.91968622092054</v>
      </c>
      <c r="BK58" s="15">
        <f>IF(ISNA(VLOOKUP(A58,'Données projet'!$A$87:$I$107,3,0)),0,VLOOKUP(A58,'Données projet'!$A$87:$I$107,3,0))</f>
        <v>8</v>
      </c>
      <c r="BL58" s="15">
        <f>IF(ISNA(VLOOKUP(A58,'Données projet'!$A$87:$I$107,4,0)),0,VLOOKUP(A58,'Données projet'!$A$87:$I$107,4,0))</f>
        <v>17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0.61708548583918277</v>
      </c>
      <c r="BQ58" s="21">
        <f>EXP(-LN(2)/25)*BQ57+(1-EXP(-LN(2)/25))/(LN(2)/25)*Calculateur!BL58*Calculateur!BN58*VLOOKUP('Données projet'!$B$11,Paramètres!$A$1:$I$89,3,0)*0.475*44/12</f>
        <v>2.0418614947552025</v>
      </c>
      <c r="BR58" s="21">
        <f>EXP(-LN(2)/2)*BR57+(1-EXP(-LN(2)/2))/(LN(2)/2)*BL58*BO58*VLOOKUP('Données projet'!$B$11,Paramètres!$A$1:$I$89,3,0)*0.475*44/12</f>
        <v>0</v>
      </c>
      <c r="BS58" s="22">
        <f t="shared" si="9"/>
        <v>2.6589469805943855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25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26.207999999999998</v>
      </c>
      <c r="D59" s="11">
        <f t="shared" si="32"/>
        <v>8.2581019723450986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266.05412048827799</v>
      </c>
      <c r="H59" s="67">
        <f t="shared" si="1"/>
        <v>353.361794268501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21.4</v>
      </c>
      <c r="N59" s="13">
        <f>IF('Données projet'!$A$36&gt;35,N58+M59-V58,IF(A59&lt;'Données projet'!$A$36,$K$205^A59,IF(A59='Données projet'!$A$36,'Données projet'!$B$36,N58+M59-V58)))</f>
        <v>604.40000000000032</v>
      </c>
      <c r="O59" s="13">
        <f>N59*VLOOKUP('Données projet'!$B$9,Paramètres!$A$1:$I$89,3,0)*VLOOKUP('Données projet'!$B$9,Paramètres!$A$1:$I$89,5,0)</f>
        <v>243.57320000000013</v>
      </c>
      <c r="P59" s="13">
        <f t="shared" si="33"/>
        <v>59.207659372174987</v>
      </c>
      <c r="Q59" s="20">
        <f t="shared" si="53"/>
        <v>527.34333007320492</v>
      </c>
      <c r="R59" s="59">
        <f t="shared" si="0"/>
        <v>820.67666340653818</v>
      </c>
      <c r="S59" s="59">
        <f ca="1">AVERAGE(OFFSET($R$3,0,0,'Données projet'!$E$9+1,1))-AVERAGE(OFFSET($H$3,0,0,'Données projet'!$E$9+1,1))</f>
        <v>321.12254860105566</v>
      </c>
      <c r="T59" s="59">
        <f t="shared" si="34"/>
        <v>270.52026164274571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7.8915159868989297</v>
      </c>
      <c r="AA59" s="21">
        <f>EXP(-LN(2)/25)*AA58+(1-EXP(-LN(2)/25))/(LN(2)/25)*Calculateur!V59*Calculateur!X59*VLOOKUP('Données projet'!$B$9,Paramètres!$A$1:$I$89,3,0)*0.475*44/12</f>
        <v>10.02790647170263</v>
      </c>
      <c r="AB59" s="21">
        <f>EXP(-LN(2)/2)*AB58+(1-EXP(-LN(2)/2))/(LN(2)/2)*V59*Y59*VLOOKUP('Données projet'!$B$9,Paramètres!$A$1:$I$89,3,0)*0.475*44/12</f>
        <v>0</v>
      </c>
      <c r="AC59" s="22">
        <f t="shared" si="3"/>
        <v>17.919422458601559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0</v>
      </c>
      <c r="AI59" s="13">
        <f>IF('Données projet'!$A$62&gt;35,AI58+AH59-AQ58,IF(A59&lt;'Données projet'!$A$62,$AF$205^A59,IF(A59='Données projet'!$A$62,'Données projet'!$B$62,AI58+AH59-AQ58)))</f>
        <v>-3.4106051316484809E-13</v>
      </c>
      <c r="AJ59" s="13">
        <f>AI59*VLOOKUP('Données projet'!$B$10,Paramètres!$A$1:$I$89,3,0)*VLOOKUP('Données projet'!$B$10,Paramètres!$A$1:$I$89,5,0)</f>
        <v>-1.5961632016114892E-13</v>
      </c>
      <c r="AK59" s="13" t="e">
        <f t="shared" si="35"/>
        <v>#NUM!</v>
      </c>
      <c r="AL59" s="20" t="e">
        <f t="shared" si="4"/>
        <v>#NUM!</v>
      </c>
      <c r="AM59" s="59" t="e">
        <f t="shared" si="5"/>
        <v>#NUM!</v>
      </c>
      <c r="AN59" s="59">
        <f ca="1">AVERAGE(OFFSET($AM$3,0,0,'Données projet'!$E$10+1,1))-AVERAGE(OFFSET($H$3,0,0,'Données projet'!$E$10+1,1))</f>
        <v>267.78121291362345</v>
      </c>
      <c r="AO59" s="59">
        <f t="shared" si="36"/>
        <v>320.1780590861174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4.3512482712081617</v>
      </c>
      <c r="AV59" s="21">
        <f>EXP(-LN(2)/25)*AV58+(1-EXP(-LN(2)/25))/(LN(2)/25)*Calculateur!AQ59*Calculateur!AS59*VLOOKUP('Données projet'!$B$10,Paramètres!$A$1:$I$89,3,0)*0.475*44/12</f>
        <v>9.7583674931483007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14.109615764356462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5</v>
      </c>
      <c r="BD59" s="12">
        <f>IF('Données projet'!$A$88&gt;35,BD58+BC59-BL58,IF(A59&lt;'Données projet'!$A$88,$BA$205^A59,IF(A59='Données projet'!$A$88,'Données projet'!$B$88,BD58+BC59-BL58)))</f>
        <v>168.99999999999997</v>
      </c>
      <c r="BE59" s="13">
        <f>BD59*VLOOKUP('Données projet'!$B$11,Paramètres!$A$1:$I$89,3,0)*VLOOKUP('Données projet'!$B$11,Paramètres!$A$1:$I$89,5,0)</f>
        <v>147.63839999999999</v>
      </c>
      <c r="BF59" s="13">
        <f t="shared" si="37"/>
        <v>38.041408878951295</v>
      </c>
      <c r="BG59" s="20">
        <f t="shared" si="7"/>
        <v>323.39233379750681</v>
      </c>
      <c r="BH59" s="59">
        <f t="shared" si="8"/>
        <v>616.72566713084007</v>
      </c>
      <c r="BI59" s="59">
        <f ca="1">AVERAGE(OFFSET($BH$3,0,0,'Données projet'!$E$11+1,1))-AVERAGE(OFFSET($H$3,0,0,'Données projet'!$E$11+1,1))</f>
        <v>212.82470567725971</v>
      </c>
      <c r="BJ59" s="59">
        <f t="shared" si="38"/>
        <v>196.91968622092054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0.60498481584685782</v>
      </c>
      <c r="BQ59" s="21">
        <f>EXP(-LN(2)/25)*BQ58+(1-EXP(-LN(2)/25))/(LN(2)/25)*Calculateur!BL59*Calculateur!BN59*VLOOKUP('Données projet'!$B$11,Paramètres!$A$1:$I$89,3,0)*0.475*44/12</f>
        <v>1.9860266848042922</v>
      </c>
      <c r="BR59" s="21">
        <f>EXP(-LN(2)/2)*BR58+(1-EXP(-LN(2)/2))/(LN(2)/2)*BL59*BO59*VLOOKUP('Données projet'!$B$11,Paramètres!$A$1:$I$89,3,0)*0.475*44/12</f>
        <v>0</v>
      </c>
      <c r="BS59" s="22">
        <f t="shared" si="9"/>
        <v>2.5910115006511498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25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26.675999999999998</v>
      </c>
      <c r="D60" s="11">
        <f t="shared" si="32"/>
        <v>8.388268495647786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270.67154628219339</v>
      </c>
      <c r="H60" s="67">
        <f t="shared" si="1"/>
        <v>354.40360096325321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21.4</v>
      </c>
      <c r="N60" s="13">
        <f>IF('Données projet'!$A$36&gt;35,N59+M60-V59,IF(A60&lt;'Données projet'!$A$36,$K$205^A60,IF(A60='Données projet'!$A$36,'Données projet'!$B$36,N59+M60-V59)))</f>
        <v>625.8000000000003</v>
      </c>
      <c r="O60" s="13">
        <f>N60*VLOOKUP('Données projet'!$B$9,Paramètres!$A$1:$I$89,3,0)*VLOOKUP('Données projet'!$B$9,Paramètres!$A$1:$I$89,5,0)</f>
        <v>252.19740000000016</v>
      </c>
      <c r="P60" s="13">
        <f t="shared" si="33"/>
        <v>61.05624106670264</v>
      </c>
      <c r="Q60" s="20">
        <f t="shared" si="53"/>
        <v>545.58342485784067</v>
      </c>
      <c r="R60" s="59">
        <f t="shared" si="0"/>
        <v>838.91675819117404</v>
      </c>
      <c r="S60" s="59">
        <f ca="1">AVERAGE(OFFSET($R$3,0,0,'Données projet'!$E$9+1,1))-AVERAGE(OFFSET($H$3,0,0,'Données projet'!$E$9+1,1))</f>
        <v>321.12254860105566</v>
      </c>
      <c r="T60" s="59">
        <f t="shared" si="34"/>
        <v>270.52026164274571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7.7367681717453154</v>
      </c>
      <c r="AA60" s="21">
        <f>EXP(-LN(2)/25)*AA59+(1-EXP(-LN(2)/25))/(LN(2)/25)*Calculateur!V60*Calculateur!X60*VLOOKUP('Données projet'!$B$9,Paramètres!$A$1:$I$89,3,0)*0.475*44/12</f>
        <v>9.7536928418892401</v>
      </c>
      <c r="AB60" s="21">
        <f>EXP(-LN(2)/2)*AB59+(1-EXP(-LN(2)/2))/(LN(2)/2)*V60*Y60*VLOOKUP('Données projet'!$B$9,Paramètres!$A$1:$I$89,3,0)*0.475*44/12</f>
        <v>0</v>
      </c>
      <c r="AC60" s="22">
        <f t="shared" si="3"/>
        <v>17.490461013634555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-3.4106051316484809E-13</v>
      </c>
      <c r="AJ60" s="13">
        <f>AI60*VLOOKUP('Données projet'!$B$10,Paramètres!$A$1:$I$89,3,0)*VLOOKUP('Données projet'!$B$10,Paramètres!$A$1:$I$89,5,0)</f>
        <v>-1.5961632016114892E-13</v>
      </c>
      <c r="AK60" s="13" t="e">
        <f t="shared" si="35"/>
        <v>#NUM!</v>
      </c>
      <c r="AL60" s="20" t="e">
        <f t="shared" si="4"/>
        <v>#NUM!</v>
      </c>
      <c r="AM60" s="59" t="e">
        <f t="shared" si="5"/>
        <v>#NUM!</v>
      </c>
      <c r="AN60" s="59">
        <f ca="1">AVERAGE(OFFSET($AM$3,0,0,'Données projet'!$E$10+1,1))-AVERAGE(OFFSET($H$3,0,0,'Données projet'!$E$10+1,1))</f>
        <v>267.78121291362345</v>
      </c>
      <c r="AO60" s="59">
        <f t="shared" si="36"/>
        <v>320.1780590861174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4.2659229466091544</v>
      </c>
      <c r="AV60" s="21">
        <f>EXP(-LN(2)/25)*AV59+(1-EXP(-LN(2)/25))/(LN(2)/25)*Calculateur!AQ60*Calculateur!AS60*VLOOKUP('Données projet'!$B$10,Paramètres!$A$1:$I$89,3,0)*0.475*44/12</f>
        <v>9.4915244208779175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13.757447367487071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5</v>
      </c>
      <c r="BD60" s="12">
        <f>IF('Données projet'!$A$88&gt;35,BD59+BC60-BL59,IF(A60&lt;'Données projet'!$A$88,$BA$205^A60,IF(A60='Données projet'!$A$88,'Données projet'!$B$88,BD59+BC60-BL59)))</f>
        <v>173.99999999999997</v>
      </c>
      <c r="BE60" s="13">
        <f>BD60*VLOOKUP('Données projet'!$B$11,Paramètres!$A$1:$I$89,3,0)*VLOOKUP('Données projet'!$B$11,Paramètres!$A$1:$I$89,5,0)</f>
        <v>152.00640000000001</v>
      </c>
      <c r="BF60" s="13">
        <f t="shared" si="37"/>
        <v>39.03419401656145</v>
      </c>
      <c r="BG60" s="20">
        <f t="shared" si="7"/>
        <v>332.72903457884451</v>
      </c>
      <c r="BH60" s="59">
        <f t="shared" si="8"/>
        <v>626.06236791217782</v>
      </c>
      <c r="BI60" s="59">
        <f ca="1">AVERAGE(OFFSET($BH$3,0,0,'Données projet'!$E$11+1,1))-AVERAGE(OFFSET($H$3,0,0,'Données projet'!$E$11+1,1))</f>
        <v>212.82470567725971</v>
      </c>
      <c r="BJ60" s="59">
        <f t="shared" si="38"/>
        <v>196.91968622092054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0.59312143261240247</v>
      </c>
      <c r="BQ60" s="21">
        <f>EXP(-LN(2)/25)*BQ59+(1-EXP(-LN(2)/25))/(LN(2)/25)*Calculateur!BL60*Calculateur!BN60*VLOOKUP('Données projet'!$B$11,Paramètres!$A$1:$I$89,3,0)*0.475*44/12</f>
        <v>1.9317186806677147</v>
      </c>
      <c r="BR60" s="21">
        <f>EXP(-LN(2)/2)*BR59+(1-EXP(-LN(2)/2))/(LN(2)/2)*BL60*BO60*VLOOKUP('Données projet'!$B$11,Paramètres!$A$1:$I$89,3,0)*0.475*44/12</f>
        <v>0</v>
      </c>
      <c r="BS60" s="22">
        <f t="shared" si="9"/>
        <v>2.524840113280117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25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27.143999999999998</v>
      </c>
      <c r="D61" s="11">
        <f t="shared" si="32"/>
        <v>8.5181694620316346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275.2869221630512</v>
      </c>
      <c r="H61" s="67">
        <f t="shared" si="1"/>
        <v>355.44494514637177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21.4</v>
      </c>
      <c r="N61" s="13">
        <f>IF('Données projet'!$A$36&gt;35,N60+M61-V60,IF(A61&lt;'Données projet'!$A$36,$K$205^A61,IF(A61='Données projet'!$A$36,'Données projet'!$B$36,N60+M61-V60)))</f>
        <v>647.20000000000027</v>
      </c>
      <c r="O61" s="13">
        <f>N61*VLOOKUP('Données projet'!$B$9,Paramètres!$A$1:$I$89,3,0)*VLOOKUP('Données projet'!$B$9,Paramètres!$A$1:$I$89,5,0)</f>
        <v>260.8216000000001</v>
      </c>
      <c r="P61" s="13">
        <f t="shared" si="33"/>
        <v>62.897477703506013</v>
      </c>
      <c r="Q61" s="20">
        <f t="shared" si="53"/>
        <v>563.81072700027312</v>
      </c>
      <c r="R61" s="59">
        <f t="shared" si="0"/>
        <v>857.14406033360638</v>
      </c>
      <c r="S61" s="59">
        <f ca="1">AVERAGE(OFFSET($R$3,0,0,'Données projet'!$E$9+1,1))-AVERAGE(OFFSET($H$3,0,0,'Données projet'!$E$9+1,1))</f>
        <v>321.12254860105566</v>
      </c>
      <c r="T61" s="59">
        <f t="shared" si="34"/>
        <v>270.52026164274571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7.5850548668600153</v>
      </c>
      <c r="AA61" s="21">
        <f>EXP(-LN(2)/25)*AA60+(1-EXP(-LN(2)/25))/(LN(2)/25)*Calculateur!V61*Calculateur!X61*VLOOKUP('Données projet'!$B$9,Paramètres!$A$1:$I$89,3,0)*0.475*44/12</f>
        <v>9.4869775982033655</v>
      </c>
      <c r="AB61" s="21">
        <f>EXP(-LN(2)/2)*AB60+(1-EXP(-LN(2)/2))/(LN(2)/2)*V61*Y61*VLOOKUP('Données projet'!$B$9,Paramètres!$A$1:$I$89,3,0)*0.475*44/12</f>
        <v>0</v>
      </c>
      <c r="AC61" s="22">
        <f t="shared" si="3"/>
        <v>17.07203246506338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-3.4106051316484809E-13</v>
      </c>
      <c r="AJ61" s="13">
        <f>AI61*VLOOKUP('Données projet'!$B$10,Paramètres!$A$1:$I$89,3,0)*VLOOKUP('Données projet'!$B$10,Paramètres!$A$1:$I$89,5,0)</f>
        <v>-1.5961632016114892E-13</v>
      </c>
      <c r="AK61" s="13" t="e">
        <f t="shared" si="35"/>
        <v>#NUM!</v>
      </c>
      <c r="AL61" s="20" t="e">
        <f t="shared" si="4"/>
        <v>#NUM!</v>
      </c>
      <c r="AM61" s="59" t="e">
        <f t="shared" si="5"/>
        <v>#NUM!</v>
      </c>
      <c r="AN61" s="59">
        <f ca="1">AVERAGE(OFFSET($AM$3,0,0,'Données projet'!$E$10+1,1))-AVERAGE(OFFSET($H$3,0,0,'Données projet'!$E$10+1,1))</f>
        <v>267.78121291362345</v>
      </c>
      <c r="AO61" s="59">
        <f t="shared" si="36"/>
        <v>320.1780590861174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4.1822707995822244</v>
      </c>
      <c r="AV61" s="21">
        <f>EXP(-LN(2)/25)*AV60+(1-EXP(-LN(2)/25))/(LN(2)/25)*Calculateur!AQ61*Calculateur!AS61*VLOOKUP('Données projet'!$B$10,Paramètres!$A$1:$I$89,3,0)*0.475*44/12</f>
        <v>9.2319781864514354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13.414248986033659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5</v>
      </c>
      <c r="BD61" s="12">
        <f>IF('Données projet'!$A$88&gt;35,BD60+BC61-BL60,IF(A61&lt;'Données projet'!$A$88,$BA$205^A61,IF(A61='Données projet'!$A$88,'Données projet'!$B$88,BD60+BC61-BL60)))</f>
        <v>178.99999999999997</v>
      </c>
      <c r="BE61" s="13">
        <f>BD61*VLOOKUP('Données projet'!$B$11,Paramètres!$A$1:$I$89,3,0)*VLOOKUP('Données projet'!$B$11,Paramètres!$A$1:$I$89,5,0)</f>
        <v>156.37440000000001</v>
      </c>
      <c r="BF61" s="13">
        <f t="shared" si="37"/>
        <v>40.023663524293205</v>
      </c>
      <c r="BG61" s="20">
        <f t="shared" si="7"/>
        <v>342.05996063814399</v>
      </c>
      <c r="BH61" s="59">
        <f t="shared" si="8"/>
        <v>635.39329397147731</v>
      </c>
      <c r="BI61" s="59">
        <f ca="1">AVERAGE(OFFSET($BH$3,0,0,'Données projet'!$E$11+1,1))-AVERAGE(OFFSET($H$3,0,0,'Données projet'!$E$11+1,1))</f>
        <v>212.82470567725971</v>
      </c>
      <c r="BJ61" s="59">
        <f t="shared" si="38"/>
        <v>196.91968622092054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0.58149068308722551</v>
      </c>
      <c r="BQ61" s="21">
        <f>EXP(-LN(2)/25)*BQ60+(1-EXP(-LN(2)/25))/(LN(2)/25)*Calculateur!BL61*Calculateur!BN61*VLOOKUP('Données projet'!$B$11,Paramètres!$A$1:$I$89,3,0)*0.475*44/12</f>
        <v>1.8788957317601855</v>
      </c>
      <c r="BR61" s="21">
        <f>EXP(-LN(2)/2)*BR60+(1-EXP(-LN(2)/2))/(LN(2)/2)*BL61*BO61*VLOOKUP('Données projet'!$B$11,Paramètres!$A$1:$I$89,3,0)*0.475*44/12</f>
        <v>0</v>
      </c>
      <c r="BS61" s="22">
        <f t="shared" si="9"/>
        <v>2.4603864148474113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25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27.611999999999998</v>
      </c>
      <c r="D62" s="11">
        <f t="shared" si="32"/>
        <v>8.6478099783937541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279.90028755251325</v>
      </c>
      <c r="H62" s="67">
        <f t="shared" si="1"/>
        <v>356.48583571236912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21.4</v>
      </c>
      <c r="N62" s="13">
        <f>IF('Données projet'!$A$36&gt;35,N61+M62-V61,IF(A62&lt;'Données projet'!$A$36,$K$205^A62,IF(A62='Données projet'!$A$36,'Données projet'!$B$36,N61+M62-V61)))</f>
        <v>668.60000000000025</v>
      </c>
      <c r="O62" s="13">
        <f>N62*VLOOKUP('Données projet'!$B$9,Paramètres!$A$1:$I$89,3,0)*VLOOKUP('Données projet'!$B$9,Paramètres!$A$1:$I$89,5,0)</f>
        <v>269.44580000000013</v>
      </c>
      <c r="P62" s="13">
        <f t="shared" si="33"/>
        <v>64.731639999605832</v>
      </c>
      <c r="Q62" s="20">
        <f t="shared" si="53"/>
        <v>582.02570799931368</v>
      </c>
      <c r="R62" s="59">
        <f t="shared" si="0"/>
        <v>875.35904133264694</v>
      </c>
      <c r="S62" s="59">
        <f ca="1">AVERAGE(OFFSET($R$3,0,0,'Données projet'!$E$9+1,1))-AVERAGE(OFFSET($H$3,0,0,'Données projet'!$E$9+1,1))</f>
        <v>321.12254860105566</v>
      </c>
      <c r="T62" s="59">
        <f t="shared" si="34"/>
        <v>270.52026164274571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7.4363165673475375</v>
      </c>
      <c r="AA62" s="21">
        <f>EXP(-LN(2)/25)*AA61+(1-EXP(-LN(2)/25))/(LN(2)/25)*Calculateur!V62*Calculateur!X62*VLOOKUP('Données projet'!$B$9,Paramètres!$A$1:$I$89,3,0)*0.475*44/12</f>
        <v>9.2275556968820247</v>
      </c>
      <c r="AB62" s="21">
        <f>EXP(-LN(2)/2)*AB61+(1-EXP(-LN(2)/2))/(LN(2)/2)*V62*Y62*VLOOKUP('Données projet'!$B$9,Paramètres!$A$1:$I$89,3,0)*0.475*44/12</f>
        <v>0</v>
      </c>
      <c r="AC62" s="22">
        <f t="shared" si="3"/>
        <v>16.66387226422956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-3.4106051316484809E-13</v>
      </c>
      <c r="AJ62" s="13">
        <f>AI62*VLOOKUP('Données projet'!$B$10,Paramètres!$A$1:$I$89,3,0)*VLOOKUP('Données projet'!$B$10,Paramètres!$A$1:$I$89,5,0)</f>
        <v>-1.5961632016114892E-13</v>
      </c>
      <c r="AK62" s="13" t="e">
        <f t="shared" si="35"/>
        <v>#NUM!</v>
      </c>
      <c r="AL62" s="20" t="e">
        <f t="shared" si="4"/>
        <v>#NUM!</v>
      </c>
      <c r="AM62" s="59" t="e">
        <f t="shared" si="5"/>
        <v>#NUM!</v>
      </c>
      <c r="AN62" s="59">
        <f ca="1">AVERAGE(OFFSET($AM$3,0,0,'Données projet'!$E$10+1,1))-AVERAGE(OFFSET($H$3,0,0,'Données projet'!$E$10+1,1))</f>
        <v>267.78121291362345</v>
      </c>
      <c r="AO62" s="59">
        <f t="shared" si="36"/>
        <v>320.1780590861174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4.100259020135721</v>
      </c>
      <c r="AV62" s="21">
        <f>EXP(-LN(2)/25)*AV61+(1-EXP(-LN(2)/25))/(LN(2)/25)*Calculateur!AQ62*Calculateur!AS62*VLOOKUP('Données projet'!$B$10,Paramètres!$A$1:$I$89,3,0)*0.475*44/12</f>
        <v>8.9795292574542884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13.079788277590009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5</v>
      </c>
      <c r="BD62" s="12">
        <f>IF('Données projet'!$A$88&gt;35,BD61+BC62-BL61,IF(A62&lt;'Données projet'!$A$88,$BA$205^A62,IF(A62='Données projet'!$A$88,'Données projet'!$B$88,BD61+BC62-BL61)))</f>
        <v>183.99999999999997</v>
      </c>
      <c r="BE62" s="13">
        <f>BD62*VLOOKUP('Données projet'!$B$11,Paramètres!$A$1:$I$89,3,0)*VLOOKUP('Données projet'!$B$11,Paramètres!$A$1:$I$89,5,0)</f>
        <v>160.7424</v>
      </c>
      <c r="BF62" s="13">
        <f t="shared" si="37"/>
        <v>41.009920657227809</v>
      </c>
      <c r="BG62" s="20">
        <f t="shared" si="7"/>
        <v>351.38529181133845</v>
      </c>
      <c r="BH62" s="59">
        <f t="shared" si="8"/>
        <v>644.71862514467171</v>
      </c>
      <c r="BI62" s="59">
        <f ca="1">AVERAGE(OFFSET($BH$3,0,0,'Données projet'!$E$11+1,1))-AVERAGE(OFFSET($H$3,0,0,'Données projet'!$E$11+1,1))</f>
        <v>212.82470567725971</v>
      </c>
      <c r="BJ62" s="59">
        <f t="shared" si="38"/>
        <v>196.91968622092054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0.57008800546618055</v>
      </c>
      <c r="BQ62" s="21">
        <f>EXP(-LN(2)/25)*BQ61+(1-EXP(-LN(2)/25))/(LN(2)/25)*Calculateur!BL62*Calculateur!BN62*VLOOKUP('Données projet'!$B$11,Paramètres!$A$1:$I$89,3,0)*0.475*44/12</f>
        <v>1.827517229168371</v>
      </c>
      <c r="BR62" s="21">
        <f>EXP(-LN(2)/2)*BR61+(1-EXP(-LN(2)/2))/(LN(2)/2)*BL62*BO62*VLOOKUP('Données projet'!$B$11,Paramètres!$A$1:$I$89,3,0)*0.475*44/12</f>
        <v>0</v>
      </c>
      <c r="BS62" s="22">
        <f t="shared" si="9"/>
        <v>2.3976052346345513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25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28.08</v>
      </c>
      <c r="D63" s="11">
        <f t="shared" si="32"/>
        <v>8.7771949685951878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284.51168045933133</v>
      </c>
      <c r="H63" s="67">
        <f t="shared" si="1"/>
        <v>357.52628123696991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>
        <f>VLOOKUP(A63,'Données projet'!$A$35:$I$55,2,0)</f>
        <v>690</v>
      </c>
      <c r="L63" s="12">
        <f>VLOOKUP(A63,'Données projet'!$A$35:$I$55,9,0)</f>
        <v>21.4</v>
      </c>
      <c r="M63" s="12">
        <f t="array" ref="M63">INDEX(L:L,MIN(IF(ISNUMBER(L63:L259),ROW(L63:L259),"")))</f>
        <v>21.4</v>
      </c>
      <c r="N63" s="13">
        <f>IF('Données projet'!$A$36&gt;35,N62+M63-V62,IF(A63&lt;'Données projet'!$A$36,$K$205^A63,IF(A63='Données projet'!$A$36,'Données projet'!$B$36,N62+M63-V62)))</f>
        <v>690.00000000000023</v>
      </c>
      <c r="O63" s="13">
        <f>N63*VLOOKUP('Données projet'!$B$9,Paramètres!$A$1:$I$89,3,0)*VLOOKUP('Données projet'!$B$9,Paramètres!$A$1:$I$89,5,0)</f>
        <v>278.07000000000011</v>
      </c>
      <c r="P63" s="13">
        <f t="shared" si="33"/>
        <v>66.558980358276997</v>
      </c>
      <c r="Q63" s="20">
        <f t="shared" si="53"/>
        <v>600.22880745733255</v>
      </c>
      <c r="R63" s="59">
        <f t="shared" si="0"/>
        <v>893.56214079066581</v>
      </c>
      <c r="S63" s="59">
        <f ca="1">AVERAGE(OFFSET($R$3,0,0,'Données projet'!$E$9+1,1))-AVERAGE(OFFSET($H$3,0,0,'Données projet'!$E$9+1,1))</f>
        <v>321.12254860105566</v>
      </c>
      <c r="T63" s="59">
        <f t="shared" si="34"/>
        <v>270.52026164274571</v>
      </c>
      <c r="U63" s="15">
        <f>IF(ISNA(VLOOKUP(A63,'Données projet'!$A$35:$I$55,3,0)),0,VLOOKUP(A63,'Données projet'!$A$35:$I$55,3,0))</f>
        <v>9</v>
      </c>
      <c r="V63" s="15">
        <f>IF(ISNA(VLOOKUP(A63,'Données projet'!$A$35:$I$55,4,0)),0,VLOOKUP(A63,'Données projet'!$A$35:$I$55,4,0))</f>
        <v>56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7.2904949351670947</v>
      </c>
      <c r="AA63" s="21">
        <f>EXP(-LN(2)/25)*AA62+(1-EXP(-LN(2)/25))/(LN(2)/25)*Calculateur!V63*Calculateur!X63*VLOOKUP('Données projet'!$B$9,Paramètres!$A$1:$I$89,3,0)*0.475*44/12</f>
        <v>8.9752277010947221</v>
      </c>
      <c r="AB63" s="21">
        <f>EXP(-LN(2)/2)*AB62+(1-EXP(-LN(2)/2))/(LN(2)/2)*V63*Y63*VLOOKUP('Données projet'!$B$9,Paramètres!$A$1:$I$89,3,0)*0.475*44/12</f>
        <v>0</v>
      </c>
      <c r="AC63" s="22">
        <f t="shared" si="3"/>
        <v>16.265722636261817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-3.4106051316484809E-13</v>
      </c>
      <c r="AJ63" s="13">
        <f>AI63*VLOOKUP('Données projet'!$B$10,Paramètres!$A$1:$I$89,3,0)*VLOOKUP('Données projet'!$B$10,Paramètres!$A$1:$I$89,5,0)</f>
        <v>-1.5961632016114892E-13</v>
      </c>
      <c r="AK63" s="13" t="e">
        <f t="shared" si="35"/>
        <v>#NUM!</v>
      </c>
      <c r="AL63" s="20" t="e">
        <f t="shared" si="4"/>
        <v>#NUM!</v>
      </c>
      <c r="AM63" s="59" t="e">
        <f t="shared" si="5"/>
        <v>#NUM!</v>
      </c>
      <c r="AN63" s="59">
        <f ca="1">AVERAGE(OFFSET($AM$3,0,0,'Données projet'!$E$10+1,1))-AVERAGE(OFFSET($H$3,0,0,'Données projet'!$E$10+1,1))</f>
        <v>267.78121291362345</v>
      </c>
      <c r="AO63" s="59">
        <f t="shared" si="36"/>
        <v>320.1780590861174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4.0198554416619174</v>
      </c>
      <c r="AV63" s="21">
        <f>EXP(-LN(2)/25)*AV62+(1-EXP(-LN(2)/25))/(LN(2)/25)*Calculateur!AQ63*Calculateur!AS63*VLOOKUP('Données projet'!$B$10,Paramètres!$A$1:$I$89,3,0)*0.475*44/12</f>
        <v>8.7339835576962805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12.753838999358198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>
        <f>VLOOKUP(A63,'Données projet'!$A$87:$I$107,2,0)</f>
        <v>189</v>
      </c>
      <c r="BB63" s="12">
        <f>VLOOKUP(A63,'Données projet'!$A$87:$I$107,9,0)</f>
        <v>5</v>
      </c>
      <c r="BC63" s="12">
        <f t="array" ref="BC63">INDEX(BB:BB,MIN(IF(ISNUMBER(BB63:BB259),ROW(BB63:BB259),"")))</f>
        <v>5</v>
      </c>
      <c r="BD63" s="12">
        <f>IF('Données projet'!$A$88&gt;35,BD62+BC63-BL62,IF(A63&lt;'Données projet'!$A$88,$BA$205^A63,IF(A63='Données projet'!$A$88,'Données projet'!$B$88,BD62+BC63-BL62)))</f>
        <v>188.99999999999997</v>
      </c>
      <c r="BE63" s="13">
        <f>BD63*VLOOKUP('Données projet'!$B$11,Paramètres!$A$1:$I$89,3,0)*VLOOKUP('Données projet'!$B$11,Paramètres!$A$1:$I$89,5,0)</f>
        <v>165.1104</v>
      </c>
      <c r="BF63" s="13">
        <f t="shared" si="37"/>
        <v>41.993062739333446</v>
      </c>
      <c r="BG63" s="20">
        <f t="shared" si="7"/>
        <v>360.70519760433905</v>
      </c>
      <c r="BH63" s="59">
        <f t="shared" si="8"/>
        <v>654.03853093767236</v>
      </c>
      <c r="BI63" s="59">
        <f ca="1">AVERAGE(OFFSET($BH$3,0,0,'Données projet'!$E$11+1,1))-AVERAGE(OFFSET($H$3,0,0,'Données projet'!$E$11+1,1))</f>
        <v>212.82470567725971</v>
      </c>
      <c r="BJ63" s="59">
        <f t="shared" si="38"/>
        <v>196.91968622092054</v>
      </c>
      <c r="BK63" s="15">
        <f>IF(ISNA(VLOOKUP(A63,'Données projet'!$A$87:$I$107,3,0)),0,VLOOKUP(A63,'Données projet'!$A$87:$I$107,3,0))</f>
        <v>9</v>
      </c>
      <c r="BL63" s="15">
        <f>IF(ISNA(VLOOKUP(A63,'Données projet'!$A$87:$I$107,4,0)),0,VLOOKUP(A63,'Données projet'!$A$87:$I$107,4,0))</f>
        <v>16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0.55890892739833764</v>
      </c>
      <c r="BQ63" s="21">
        <f>EXP(-LN(2)/25)*BQ62+(1-EXP(-LN(2)/25))/(LN(2)/25)*Calculateur!BL63*Calculateur!BN63*VLOOKUP('Données projet'!$B$11,Paramètres!$A$1:$I$89,3,0)*0.475*44/12</f>
        <v>1.7775436744318076</v>
      </c>
      <c r="BR63" s="21">
        <f>EXP(-LN(2)/2)*BR62+(1-EXP(-LN(2)/2))/(LN(2)/2)*BL63*BO63*VLOOKUP('Données projet'!$B$11,Paramètres!$A$1:$I$89,3,0)*0.475*44/12</f>
        <v>0</v>
      </c>
      <c r="BS63" s="22">
        <f t="shared" si="9"/>
        <v>2.3364526018301452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25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28.547999999999998</v>
      </c>
      <c r="D64" s="11">
        <f t="shared" si="32"/>
        <v>8.9063291829603237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289.1211375526762</v>
      </c>
      <c r="H64" s="67">
        <f t="shared" si="1"/>
        <v>358.56628999365586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20</v>
      </c>
      <c r="N64" s="13">
        <f>IF('Données projet'!$A$36&gt;35,N63+M64-V63,IF(A64&lt;'Données projet'!$A$36,$K$205^A64,IF(A64='Données projet'!$A$36,'Données projet'!$B$36,N63+M64-V63)))</f>
        <v>654.00000000000023</v>
      </c>
      <c r="O64" s="13">
        <f>N64*VLOOKUP('Données projet'!$B$9,Paramètres!$A$1:$I$89,3,0)*VLOOKUP('Données projet'!$B$9,Paramètres!$A$1:$I$89,5,0)</f>
        <v>263.56200000000007</v>
      </c>
      <c r="P64" s="13">
        <f t="shared" si="33"/>
        <v>63.481050076870346</v>
      </c>
      <c r="Q64" s="20">
        <f t="shared" si="53"/>
        <v>569.59997888388273</v>
      </c>
      <c r="R64" s="59">
        <f t="shared" si="0"/>
        <v>862.9333122172161</v>
      </c>
      <c r="S64" s="59">
        <f ca="1">AVERAGE(OFFSET($R$3,0,0,'Données projet'!$E$9+1,1))-AVERAGE(OFFSET($H$3,0,0,'Données projet'!$E$9+1,1))</f>
        <v>321.12254860105566</v>
      </c>
      <c r="T64" s="59">
        <f t="shared" si="34"/>
        <v>270.52026164274571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7.147532776251297</v>
      </c>
      <c r="AA64" s="21">
        <f>EXP(-LN(2)/25)*AA63+(1-EXP(-LN(2)/25))/(LN(2)/25)*Calculateur!V64*Calculateur!X64*VLOOKUP('Données projet'!$B$9,Paramètres!$A$1:$I$89,3,0)*0.475*44/12</f>
        <v>8.7297996276215759</v>
      </c>
      <c r="AB64" s="21">
        <f>EXP(-LN(2)/2)*AB63+(1-EXP(-LN(2)/2))/(LN(2)/2)*V64*Y64*VLOOKUP('Données projet'!$B$9,Paramètres!$A$1:$I$89,3,0)*0.475*44/12</f>
        <v>0</v>
      </c>
      <c r="AC64" s="22">
        <f t="shared" si="3"/>
        <v>15.877332403872874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-3.4106051316484809E-13</v>
      </c>
      <c r="AJ64" s="13">
        <f>AI64*VLOOKUP('Données projet'!$B$10,Paramètres!$A$1:$I$89,3,0)*VLOOKUP('Données projet'!$B$10,Paramètres!$A$1:$I$89,5,0)</f>
        <v>-1.5961632016114892E-13</v>
      </c>
      <c r="AK64" s="13" t="e">
        <f t="shared" si="35"/>
        <v>#NUM!</v>
      </c>
      <c r="AL64" s="20" t="e">
        <f t="shared" si="4"/>
        <v>#NUM!</v>
      </c>
      <c r="AM64" s="59" t="e">
        <f t="shared" si="5"/>
        <v>#NUM!</v>
      </c>
      <c r="AN64" s="59">
        <f ca="1">AVERAGE(OFFSET($AM$3,0,0,'Données projet'!$E$10+1,1))-AVERAGE(OFFSET($H$3,0,0,'Données projet'!$E$10+1,1))</f>
        <v>267.78121291362345</v>
      </c>
      <c r="AO64" s="59">
        <f t="shared" si="36"/>
        <v>320.1780590861174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3.9410285283206448</v>
      </c>
      <c r="AV64" s="21">
        <f>EXP(-LN(2)/25)*AV63+(1-EXP(-LN(2)/25))/(LN(2)/25)*Calculateur!AQ64*Calculateur!AS64*VLOOKUP('Données projet'!$B$10,Paramètres!$A$1:$I$89,3,0)*0.475*44/12</f>
        <v>8.4951523180108417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12.436180846331487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4.4000000000000004</v>
      </c>
      <c r="BD64" s="12">
        <f>IF('Données projet'!$A$88&gt;35,BD63+BC64-BL63,IF(A64&lt;'Données projet'!$A$88,$BA$205^A64,IF(A64='Données projet'!$A$88,'Données projet'!$B$88,BD63+BC64-BL63)))</f>
        <v>177.39999999999998</v>
      </c>
      <c r="BE64" s="13">
        <f>BD64*VLOOKUP('Données projet'!$B$11,Paramètres!$A$1:$I$89,3,0)*VLOOKUP('Données projet'!$B$11,Paramètres!$A$1:$I$89,5,0)</f>
        <v>154.97664</v>
      </c>
      <c r="BF64" s="13">
        <f t="shared" si="37"/>
        <v>39.707387607123913</v>
      </c>
      <c r="BG64" s="20">
        <f t="shared" si="7"/>
        <v>339.07468141574077</v>
      </c>
      <c r="BH64" s="59">
        <f t="shared" si="8"/>
        <v>632.40801474907403</v>
      </c>
      <c r="BI64" s="59">
        <f ca="1">AVERAGE(OFFSET($BH$3,0,0,'Données projet'!$E$11+1,1))-AVERAGE(OFFSET($H$3,0,0,'Données projet'!$E$11+1,1))</f>
        <v>212.82470567725971</v>
      </c>
      <c r="BJ64" s="59">
        <f t="shared" si="38"/>
        <v>196.91968622092054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0.54794906423284084</v>
      </c>
      <c r="BQ64" s="21">
        <f>EXP(-LN(2)/25)*BQ63+(1-EXP(-LN(2)/25))/(LN(2)/25)*Calculateur!BL64*Calculateur!BN64*VLOOKUP('Données projet'!$B$11,Paramètres!$A$1:$I$89,3,0)*0.475*44/12</f>
        <v>1.7289366491775107</v>
      </c>
      <c r="BR64" s="21">
        <f>EXP(-LN(2)/2)*BR63+(1-EXP(-LN(2)/2))/(LN(2)/2)*BL64*BO64*VLOOKUP('Données projet'!$B$11,Paramètres!$A$1:$I$89,3,0)*0.475*44/12</f>
        <v>0</v>
      </c>
      <c r="BS64" s="22">
        <f t="shared" si="9"/>
        <v>2.2768857134103513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25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29.015999999999998</v>
      </c>
      <c r="D65" s="11">
        <f t="shared" si="32"/>
        <v>9.0352172071357693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293.72869423052168</v>
      </c>
      <c r="H65" s="67">
        <f t="shared" si="1"/>
        <v>359.60586996909478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20</v>
      </c>
      <c r="N65" s="13">
        <f>IF('Données projet'!$A$36&gt;35,N64+M65-V64,IF(A65&lt;'Données projet'!$A$36,$K$205^A65,IF(A65='Données projet'!$A$36,'Données projet'!$B$36,N64+M65-V64)))</f>
        <v>674.00000000000023</v>
      </c>
      <c r="O65" s="13">
        <f>N65*VLOOKUP('Données projet'!$B$9,Paramètres!$A$1:$I$89,3,0)*VLOOKUP('Données projet'!$B$9,Paramètres!$A$1:$I$89,5,0)</f>
        <v>271.62200000000013</v>
      </c>
      <c r="P65" s="13">
        <f t="shared" si="33"/>
        <v>65.193378539290933</v>
      </c>
      <c r="Q65" s="20">
        <f t="shared" si="53"/>
        <v>586.62011762259851</v>
      </c>
      <c r="R65" s="59">
        <f t="shared" si="0"/>
        <v>879.95345095593188</v>
      </c>
      <c r="S65" s="59">
        <f ca="1">AVERAGE(OFFSET($R$3,0,0,'Données projet'!$E$9+1,1))-AVERAGE(OFFSET($H$3,0,0,'Données projet'!$E$9+1,1))</f>
        <v>321.12254860105566</v>
      </c>
      <c r="T65" s="59">
        <f t="shared" si="34"/>
        <v>270.52026164274571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7.0073740180735316</v>
      </c>
      <c r="AA65" s="21">
        <f>EXP(-LN(2)/25)*AA64+(1-EXP(-LN(2)/25))/(LN(2)/25)*Calculateur!V65*Calculateur!X65*VLOOKUP('Données projet'!$B$9,Paramètres!$A$1:$I$89,3,0)*0.475*44/12</f>
        <v>8.4910827977240544</v>
      </c>
      <c r="AB65" s="21">
        <f>EXP(-LN(2)/2)*AB64+(1-EXP(-LN(2)/2))/(LN(2)/2)*V65*Y65*VLOOKUP('Données projet'!$B$9,Paramètres!$A$1:$I$89,3,0)*0.475*44/12</f>
        <v>0</v>
      </c>
      <c r="AC65" s="22">
        <f t="shared" si="3"/>
        <v>15.498456815797585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-3.4106051316484809E-13</v>
      </c>
      <c r="AJ65" s="13">
        <f>AI65*VLOOKUP('Données projet'!$B$10,Paramètres!$A$1:$I$89,3,0)*VLOOKUP('Données projet'!$B$10,Paramètres!$A$1:$I$89,5,0)</f>
        <v>-1.5961632016114892E-13</v>
      </c>
      <c r="AK65" s="13" t="e">
        <f t="shared" si="35"/>
        <v>#NUM!</v>
      </c>
      <c r="AL65" s="20" t="e">
        <f t="shared" si="4"/>
        <v>#NUM!</v>
      </c>
      <c r="AM65" s="59" t="e">
        <f t="shared" si="5"/>
        <v>#NUM!</v>
      </c>
      <c r="AN65" s="59">
        <f ca="1">AVERAGE(OFFSET($AM$3,0,0,'Données projet'!$E$10+1,1))-AVERAGE(OFFSET($H$3,0,0,'Données projet'!$E$10+1,1))</f>
        <v>267.78121291362345</v>
      </c>
      <c r="AO65" s="59">
        <f t="shared" si="36"/>
        <v>320.1780590861174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3.8637473626703245</v>
      </c>
      <c r="AV65" s="21">
        <f>EXP(-LN(2)/25)*AV64+(1-EXP(-LN(2)/25))/(LN(2)/25)*Calculateur!AQ65*Calculateur!AS65*VLOOKUP('Données projet'!$B$10,Paramètres!$A$1:$I$89,3,0)*0.475*44/12</f>
        <v>8.2628519311341915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12.126599293804516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4.4000000000000004</v>
      </c>
      <c r="BD65" s="12">
        <f>IF('Données projet'!$A$88&gt;35,BD64+BC65-BL64,IF(A65&lt;'Données projet'!$A$88,$BA$205^A65,IF(A65='Données projet'!$A$88,'Données projet'!$B$88,BD64+BC65-BL64)))</f>
        <v>181.79999999999998</v>
      </c>
      <c r="BE65" s="13">
        <f>BD65*VLOOKUP('Données projet'!$B$11,Paramètres!$A$1:$I$89,3,0)*VLOOKUP('Données projet'!$B$11,Paramètres!$A$1:$I$89,5,0)</f>
        <v>158.82048</v>
      </c>
      <c r="BF65" s="13">
        <f t="shared" si="37"/>
        <v>40.57635691759311</v>
      </c>
      <c r="BG65" s="20">
        <f t="shared" si="7"/>
        <v>347.28282429814129</v>
      </c>
      <c r="BH65" s="59">
        <f t="shared" si="8"/>
        <v>640.61615763147461</v>
      </c>
      <c r="BI65" s="59">
        <f ca="1">AVERAGE(OFFSET($BH$3,0,0,'Données projet'!$E$11+1,1))-AVERAGE(OFFSET($H$3,0,0,'Données projet'!$E$11+1,1))</f>
        <v>212.82470567725971</v>
      </c>
      <c r="BJ65" s="59">
        <f t="shared" si="38"/>
        <v>196.91968622092054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0.53720411729916295</v>
      </c>
      <c r="BQ65" s="21">
        <f>EXP(-LN(2)/25)*BQ64+(1-EXP(-LN(2)/25))/(LN(2)/25)*Calculateur!BL65*Calculateur!BN65*VLOOKUP('Données projet'!$B$11,Paramètres!$A$1:$I$89,3,0)*0.475*44/12</f>
        <v>1.6816587855849248</v>
      </c>
      <c r="BR65" s="21">
        <f>EXP(-LN(2)/2)*BR64+(1-EXP(-LN(2)/2))/(LN(2)/2)*BL65*BO65*VLOOKUP('Données projet'!$B$11,Paramètres!$A$1:$I$89,3,0)*0.475*44/12</f>
        <v>0</v>
      </c>
      <c r="BS65" s="22">
        <f t="shared" si="9"/>
        <v>2.2188629028840876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25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29.483999999999998</v>
      </c>
      <c r="D66" s="11">
        <f t="shared" si="32"/>
        <v>9.1638634703614379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298.33438468349181</v>
      </c>
      <c r="H66" s="67">
        <f t="shared" si="1"/>
        <v>360.64502887754617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20</v>
      </c>
      <c r="N66" s="13">
        <f>IF('Données projet'!$A$36&gt;35,N65+M66-V65,IF(A66&lt;'Données projet'!$A$36,$K$205^A66,IF(A66='Données projet'!$A$36,'Données projet'!$B$36,N65+M66-V65)))</f>
        <v>694.00000000000023</v>
      </c>
      <c r="O66" s="13">
        <f>N66*VLOOKUP('Données projet'!$B$9,Paramètres!$A$1:$I$89,3,0)*VLOOKUP('Données projet'!$B$9,Paramètres!$A$1:$I$89,5,0)</f>
        <v>279.68200000000013</v>
      </c>
      <c r="P66" s="13">
        <f t="shared" si="33"/>
        <v>66.899801895819508</v>
      </c>
      <c r="Q66" s="20">
        <f t="shared" si="53"/>
        <v>603.62997163521914</v>
      </c>
      <c r="R66" s="59">
        <f t="shared" si="0"/>
        <v>896.96330496855239</v>
      </c>
      <c r="S66" s="59">
        <f ca="1">AVERAGE(OFFSET($R$3,0,0,'Données projet'!$E$9+1,1))-AVERAGE(OFFSET($H$3,0,0,'Données projet'!$E$9+1,1))</f>
        <v>321.12254860105566</v>
      </c>
      <c r="T66" s="59">
        <f t="shared" si="34"/>
        <v>270.52026164274571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6.8699636876552308</v>
      </c>
      <c r="AA66" s="21">
        <f>EXP(-LN(2)/25)*AA65+(1-EXP(-LN(2)/25))/(LN(2)/25)*Calculateur!V66*Calculateur!X66*VLOOKUP('Données projet'!$B$9,Paramètres!$A$1:$I$89,3,0)*0.475*44/12</f>
        <v>8.2588936920936522</v>
      </c>
      <c r="AB66" s="21">
        <f>EXP(-LN(2)/2)*AB65+(1-EXP(-LN(2)/2))/(LN(2)/2)*V66*Y66*VLOOKUP('Données projet'!$B$9,Paramètres!$A$1:$I$89,3,0)*0.475*44/12</f>
        <v>0</v>
      </c>
      <c r="AC66" s="22">
        <f t="shared" si="3"/>
        <v>15.128857379748883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-3.4106051316484809E-13</v>
      </c>
      <c r="AJ66" s="13">
        <f>AI66*VLOOKUP('Données projet'!$B$10,Paramètres!$A$1:$I$89,3,0)*VLOOKUP('Données projet'!$B$10,Paramètres!$A$1:$I$89,5,0)</f>
        <v>-1.5961632016114892E-13</v>
      </c>
      <c r="AK66" s="13" t="e">
        <f t="shared" si="35"/>
        <v>#NUM!</v>
      </c>
      <c r="AL66" s="20" t="e">
        <f t="shared" si="4"/>
        <v>#NUM!</v>
      </c>
      <c r="AM66" s="59" t="e">
        <f t="shared" si="5"/>
        <v>#NUM!</v>
      </c>
      <c r="AN66" s="59">
        <f ca="1">AVERAGE(OFFSET($AM$3,0,0,'Données projet'!$E$10+1,1))-AVERAGE(OFFSET($H$3,0,0,'Données projet'!$E$10+1,1))</f>
        <v>267.78121291362345</v>
      </c>
      <c r="AO66" s="59">
        <f t="shared" si="36"/>
        <v>320.1780590861174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3.7879816335415506</v>
      </c>
      <c r="AV66" s="21">
        <f>EXP(-LN(2)/25)*AV65+(1-EXP(-LN(2)/25))/(LN(2)/25)*Calculateur!AQ66*Calculateur!AS66*VLOOKUP('Données projet'!$B$10,Paramètres!$A$1:$I$89,3,0)*0.475*44/12</f>
        <v>8.036903810552829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11.824885444094379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4.4000000000000004</v>
      </c>
      <c r="BD66" s="12">
        <f>IF('Données projet'!$A$88&gt;35,BD65+BC66-BL65,IF(A66&lt;'Données projet'!$A$88,$BA$205^A66,IF(A66='Données projet'!$A$88,'Données projet'!$B$88,BD65+BC66-BL65)))</f>
        <v>186.2</v>
      </c>
      <c r="BE66" s="13">
        <f>BD66*VLOOKUP('Données projet'!$B$11,Paramètres!$A$1:$I$89,3,0)*VLOOKUP('Données projet'!$B$11,Paramètres!$A$1:$I$89,5,0)</f>
        <v>162.66432</v>
      </c>
      <c r="BF66" s="13">
        <f t="shared" si="37"/>
        <v>41.442881393745317</v>
      </c>
      <c r="BG66" s="20">
        <f t="shared" si="7"/>
        <v>355.4867090941064</v>
      </c>
      <c r="BH66" s="59">
        <f t="shared" si="8"/>
        <v>648.82004242743972</v>
      </c>
      <c r="BI66" s="59">
        <f ca="1">AVERAGE(OFFSET($BH$3,0,0,'Données projet'!$E$11+1,1))-AVERAGE(OFFSET($H$3,0,0,'Données projet'!$E$11+1,1))</f>
        <v>212.82470567725971</v>
      </c>
      <c r="BJ66" s="59">
        <f t="shared" si="38"/>
        <v>196.91968622092054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0.52666987222108397</v>
      </c>
      <c r="BQ66" s="21">
        <f>EXP(-LN(2)/25)*BQ65+(1-EXP(-LN(2)/25))/(LN(2)/25)*Calculateur!BL66*Calculateur!BN66*VLOOKUP('Données projet'!$B$11,Paramètres!$A$1:$I$89,3,0)*0.475*44/12</f>
        <v>1.6356737376585129</v>
      </c>
      <c r="BR66" s="21">
        <f>EXP(-LN(2)/2)*BR65+(1-EXP(-LN(2)/2))/(LN(2)/2)*BL66*BO66*VLOOKUP('Données projet'!$B$11,Paramètres!$A$1:$I$89,3,0)*0.475*44/12</f>
        <v>0</v>
      </c>
      <c r="BS66" s="22">
        <f t="shared" si="9"/>
        <v>2.162343609879597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25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29.951999999999998</v>
      </c>
      <c r="D67" s="11">
        <f t="shared" si="32"/>
        <v>9.2922722532016273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302.93824195453891</v>
      </c>
      <c r="H67" s="67">
        <f t="shared" si="1"/>
        <v>361.68377417432612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20</v>
      </c>
      <c r="N67" s="13">
        <f>IF('Données projet'!$A$36&gt;35,N66+M67-V66,IF(A67&lt;'Données projet'!$A$36,$K$205^A67,IF(A67='Données projet'!$A$36,'Données projet'!$B$36,N66+M67-V66)))</f>
        <v>714.00000000000023</v>
      </c>
      <c r="O67" s="13">
        <f>N67*VLOOKUP('Données projet'!$B$9,Paramètres!$A$1:$I$89,3,0)*VLOOKUP('Données projet'!$B$9,Paramètres!$A$1:$I$89,5,0)</f>
        <v>287.74200000000008</v>
      </c>
      <c r="P67" s="13">
        <f t="shared" si="33"/>
        <v>68.600509865830645</v>
      </c>
      <c r="Q67" s="20">
        <f t="shared" ref="Q67:Q98" si="54">(O67+P67)*0.475*44/12</f>
        <v>620.62987134965522</v>
      </c>
      <c r="R67" s="59">
        <f t="shared" ref="R67:R130" si="55">Q67+(I67+J67)*44/12</f>
        <v>913.96320468298859</v>
      </c>
      <c r="S67" s="59">
        <f ca="1">AVERAGE(OFFSET($R$3,0,0,'Données projet'!$E$9+1,1))-AVERAGE(OFFSET($H$3,0,0,'Données projet'!$E$9+1,1))</f>
        <v>321.12254860105566</v>
      </c>
      <c r="T67" s="59">
        <f t="shared" si="34"/>
        <v>270.52026164274571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6.7352478900044073</v>
      </c>
      <c r="AA67" s="21">
        <f>EXP(-LN(2)/25)*AA66+(1-EXP(-LN(2)/25))/(LN(2)/25)*Calculateur!V67*Calculateur!X67*VLOOKUP('Données projet'!$B$9,Paramètres!$A$1:$I$89,3,0)*0.475*44/12</f>
        <v>8.0330538097670079</v>
      </c>
      <c r="AB67" s="21">
        <f>EXP(-LN(2)/2)*AB66+(1-EXP(-LN(2)/2))/(LN(2)/2)*V67*Y67*VLOOKUP('Données projet'!$B$9,Paramètres!$A$1:$I$89,3,0)*0.475*44/12</f>
        <v>0</v>
      </c>
      <c r="AC67" s="22">
        <f t="shared" si="3"/>
        <v>14.768301699771415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-3.4106051316484809E-13</v>
      </c>
      <c r="AJ67" s="13">
        <f>AI67*VLOOKUP('Données projet'!$B$10,Paramètres!$A$1:$I$89,3,0)*VLOOKUP('Données projet'!$B$10,Paramètres!$A$1:$I$89,5,0)</f>
        <v>-1.5961632016114892E-13</v>
      </c>
      <c r="AK67" s="13" t="e">
        <f t="shared" si="35"/>
        <v>#NUM!</v>
      </c>
      <c r="AL67" s="20" t="e">
        <f t="shared" si="4"/>
        <v>#NUM!</v>
      </c>
      <c r="AM67" s="59" t="e">
        <f t="shared" si="5"/>
        <v>#NUM!</v>
      </c>
      <c r="AN67" s="59">
        <f ca="1">AVERAGE(OFFSET($AM$3,0,0,'Données projet'!$E$10+1,1))-AVERAGE(OFFSET($H$3,0,0,'Données projet'!$E$10+1,1))</f>
        <v>267.78121291362345</v>
      </c>
      <c r="AO67" s="59">
        <f t="shared" si="36"/>
        <v>320.1780590861174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3.7137016241484604</v>
      </c>
      <c r="AV67" s="21">
        <f>EXP(-LN(2)/25)*AV66+(1-EXP(-LN(2)/25))/(LN(2)/25)*Calculateur!AQ67*Calculateur!AS67*VLOOKUP('Données projet'!$B$10,Paramètres!$A$1:$I$89,3,0)*0.475*44/12</f>
        <v>7.8171342532108588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11.530835877359319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4.4000000000000004</v>
      </c>
      <c r="BD67" s="12">
        <f>IF('Données projet'!$A$88&gt;35,BD66+BC67-BL66,IF(A67&lt;'Données projet'!$A$88,$BA$205^A67,IF(A67='Données projet'!$A$88,'Données projet'!$B$88,BD66+BC67-BL66)))</f>
        <v>190.6</v>
      </c>
      <c r="BE67" s="13">
        <f>BD67*VLOOKUP('Données projet'!$B$11,Paramètres!$A$1:$I$89,3,0)*VLOOKUP('Données projet'!$B$11,Paramètres!$A$1:$I$89,5,0)</f>
        <v>166.50816</v>
      </c>
      <c r="BF67" s="13">
        <f t="shared" si="37"/>
        <v>42.307025456487715</v>
      </c>
      <c r="BG67" s="20">
        <f t="shared" si="7"/>
        <v>363.68644800338274</v>
      </c>
      <c r="BH67" s="59">
        <f t="shared" si="8"/>
        <v>657.01978133671605</v>
      </c>
      <c r="BI67" s="59">
        <f ca="1">AVERAGE(OFFSET($BH$3,0,0,'Données projet'!$E$11+1,1))-AVERAGE(OFFSET($H$3,0,0,'Données projet'!$E$11+1,1))</f>
        <v>212.82470567725971</v>
      </c>
      <c r="BJ67" s="59">
        <f t="shared" si="38"/>
        <v>196.91968622092054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0.5163421972637311</v>
      </c>
      <c r="BQ67" s="21">
        <f>EXP(-LN(2)/25)*BQ66+(1-EXP(-LN(2)/25))/(LN(2)/25)*Calculateur!BL67*Calculateur!BN67*VLOOKUP('Données projet'!$B$11,Paramètres!$A$1:$I$89,3,0)*0.475*44/12</f>
        <v>1.5909461532858973</v>
      </c>
      <c r="BR67" s="21">
        <f>EXP(-LN(2)/2)*BR66+(1-EXP(-LN(2)/2))/(LN(2)/2)*BL67*BO67*VLOOKUP('Données projet'!$B$11,Paramètres!$A$1:$I$89,3,0)*0.475*44/12</f>
        <v>0</v>
      </c>
      <c r="BS67" s="22">
        <f t="shared" si="9"/>
        <v>2.1072883505496285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25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30.419999999999998</v>
      </c>
      <c r="D68" s="11">
        <f t="shared" si="32"/>
        <v>9.4204476947792024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307.54029799478684</v>
      </c>
      <c r="H68" s="67">
        <f t="shared" ref="H68:H131" si="56">(B68+E68+F68)*44/12+(C68+D68)*0.475*44/12</f>
        <v>362.72211306840711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>
        <f>VLOOKUP(A68,'Données projet'!$A$35:$I$55,2,0)</f>
        <v>734</v>
      </c>
      <c r="L68" s="12">
        <f>VLOOKUP(A68,'Données projet'!$A$35:$I$55,9,0)</f>
        <v>20</v>
      </c>
      <c r="M68" s="12">
        <f t="array" ref="M68">INDEX(L:L,MIN(IF(ISNUMBER(L68:L264),ROW(L68:L264),"")))</f>
        <v>20</v>
      </c>
      <c r="N68" s="13">
        <f>IF('Données projet'!$A$36&gt;35,N67+M68-V67,IF(A68&lt;'Données projet'!$A$36,$K$205^A68,IF(A68='Données projet'!$A$36,'Données projet'!$B$36,N67+M68-V67)))</f>
        <v>734.00000000000023</v>
      </c>
      <c r="O68" s="13">
        <f>N68*VLOOKUP('Données projet'!$B$9,Paramètres!$A$1:$I$89,3,0)*VLOOKUP('Données projet'!$B$9,Paramètres!$A$1:$I$89,5,0)</f>
        <v>295.80200000000013</v>
      </c>
      <c r="P68" s="13">
        <f t="shared" si="33"/>
        <v>70.295680935455152</v>
      </c>
      <c r="Q68" s="20">
        <f t="shared" si="54"/>
        <v>637.62012762925121</v>
      </c>
      <c r="R68" s="59">
        <f t="shared" si="55"/>
        <v>930.95346096258459</v>
      </c>
      <c r="S68" s="59">
        <f ca="1">AVERAGE(OFFSET($R$3,0,0,'Données projet'!$E$9+1,1))-AVERAGE(OFFSET($H$3,0,0,'Données projet'!$E$9+1,1))</f>
        <v>321.12254860105566</v>
      </c>
      <c r="T68" s="59">
        <f t="shared" si="34"/>
        <v>270.52026164274571</v>
      </c>
      <c r="U68" s="15">
        <f>IF(ISNA(VLOOKUP(A68,'Données projet'!$A$35:$I$55,3,0)),0,VLOOKUP(A68,'Données projet'!$A$35:$I$55,3,0))</f>
        <v>10</v>
      </c>
      <c r="V68" s="15">
        <f>IF(ISNA(VLOOKUP(A68,'Données projet'!$A$35:$I$55,4,0)),0,VLOOKUP(A68,'Données projet'!$A$35:$I$55,4,0))</f>
        <v>52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6.6031737869769929</v>
      </c>
      <c r="AA68" s="21">
        <f>EXP(-LN(2)/25)*AA67+(1-EXP(-LN(2)/25))/(LN(2)/25)*Calculateur!V68*Calculateur!X68*VLOOKUP('Données projet'!$B$9,Paramètres!$A$1:$I$89,3,0)*0.475*44/12</f>
        <v>7.8133895308989887</v>
      </c>
      <c r="AB68" s="21">
        <f>EXP(-LN(2)/2)*AB67+(1-EXP(-LN(2)/2))/(LN(2)/2)*V68*Y68*VLOOKUP('Données projet'!$B$9,Paramètres!$A$1:$I$89,3,0)*0.475*44/12</f>
        <v>0</v>
      </c>
      <c r="AC68" s="22">
        <f t="shared" ref="AC68:AC131" si="57">SUM(Z68:AB68)</f>
        <v>14.416563317875982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-3.4106051316484809E-13</v>
      </c>
      <c r="AJ68" s="13">
        <f>AI68*VLOOKUP('Données projet'!$B$10,Paramètres!$A$1:$I$89,3,0)*VLOOKUP('Données projet'!$B$10,Paramètres!$A$1:$I$89,5,0)</f>
        <v>-1.5961632016114892E-13</v>
      </c>
      <c r="AK68" s="13" t="e">
        <f t="shared" si="35"/>
        <v>#NUM!</v>
      </c>
      <c r="AL68" s="20" t="e">
        <f t="shared" ref="AL68:AL131" si="58">(AJ68+AK68)*0.475*44/12</f>
        <v>#NUM!</v>
      </c>
      <c r="AM68" s="59" t="e">
        <f t="shared" ref="AM68:AM131" si="59">AL68+(AD68+AE68)*44/12</f>
        <v>#NUM!</v>
      </c>
      <c r="AN68" s="59">
        <f ca="1">AVERAGE(OFFSET($AM$3,0,0,'Données projet'!$E$10+1,1))-AVERAGE(OFFSET($H$3,0,0,'Données projet'!$E$10+1,1))</f>
        <v>267.78121291362345</v>
      </c>
      <c r="AO68" s="59">
        <f t="shared" si="36"/>
        <v>320.1780590861174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3.6408782004332365</v>
      </c>
      <c r="AV68" s="21">
        <f>EXP(-LN(2)/25)*AV67+(1-EXP(-LN(2)/25))/(LN(2)/25)*Calculateur!AQ68*Calculateur!AS68*VLOOKUP('Données projet'!$B$10,Paramètres!$A$1:$I$89,3,0)*0.475*44/12</f>
        <v>7.6033743059715837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11.24425250640482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>
        <f>VLOOKUP(A68,'Données projet'!$A$87:$I$107,2,0)</f>
        <v>195</v>
      </c>
      <c r="BB68" s="12">
        <f>VLOOKUP(A68,'Données projet'!$A$87:$I$107,9,0)</f>
        <v>4.4000000000000004</v>
      </c>
      <c r="BC68" s="12">
        <f t="array" ref="BC68">INDEX(BB:BB,MIN(IF(ISNUMBER(BB68:BB264),ROW(BB68:BB264),"")))</f>
        <v>4.4000000000000004</v>
      </c>
      <c r="BD68" s="12">
        <f>IF('Données projet'!$A$88&gt;35,BD67+BC68-BL67,IF(A68&lt;'Données projet'!$A$88,$BA$205^A68,IF(A68='Données projet'!$A$88,'Données projet'!$B$88,BD67+BC68-BL67)))</f>
        <v>195</v>
      </c>
      <c r="BE68" s="13">
        <f>BD68*VLOOKUP('Données projet'!$B$11,Paramètres!$A$1:$I$89,3,0)*VLOOKUP('Données projet'!$B$11,Paramètres!$A$1:$I$89,5,0)</f>
        <v>170.35200000000003</v>
      </c>
      <c r="BF68" s="13">
        <f t="shared" si="37"/>
        <v>43.168850382694487</v>
      </c>
      <c r="BG68" s="20">
        <f t="shared" ref="BG68:BG131" si="61">(BE68+BF68)*0.475*44/12</f>
        <v>371.88214774985954</v>
      </c>
      <c r="BH68" s="59">
        <f t="shared" ref="BH68:BH131" si="62">BG68+(AY68+AZ68)*44/12</f>
        <v>665.2154810831928</v>
      </c>
      <c r="BI68" s="59">
        <f ca="1">AVERAGE(OFFSET($BH$3,0,0,'Données projet'!$E$11+1,1))-AVERAGE(OFFSET($H$3,0,0,'Données projet'!$E$11+1,1))</f>
        <v>212.82470567725971</v>
      </c>
      <c r="BJ68" s="59">
        <f t="shared" si="38"/>
        <v>196.91968622092054</v>
      </c>
      <c r="BK68" s="15">
        <f>IF(ISNA(VLOOKUP(A68,'Données projet'!$A$87:$I$107,3,0)),0,VLOOKUP(A68,'Données projet'!$A$87:$I$107,3,0))</f>
        <v>10</v>
      </c>
      <c r="BL68" s="15">
        <f>IF(ISNA(VLOOKUP(A68,'Données projet'!$A$87:$I$107,4,0)),0,VLOOKUP(A68,'Données projet'!$A$87:$I$107,4,0))</f>
        <v>15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0.50621704171303217</v>
      </c>
      <c r="BQ68" s="21">
        <f>EXP(-LN(2)/25)*BQ67+(1-EXP(-LN(2)/25))/(LN(2)/25)*Calculateur!BL68*Calculateur!BN68*VLOOKUP('Données projet'!$B$11,Paramètres!$A$1:$I$89,3,0)*0.475*44/12</f>
        <v>1.5474416470600725</v>
      </c>
      <c r="BR68" s="21">
        <f>EXP(-LN(2)/2)*BR67+(1-EXP(-LN(2)/2))/(LN(2)/2)*BL68*BO68*VLOOKUP('Données projet'!$B$11,Paramètres!$A$1:$I$89,3,0)*0.475*44/12</f>
        <v>0</v>
      </c>
      <c r="BS68" s="22">
        <f t="shared" ref="BS68:BS131" si="63">SUM(BP68:BR68)</f>
        <v>2.0536586887731048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25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30.887999999999998</v>
      </c>
      <c r="D69" s="11">
        <f t="shared" ref="D69:D132" si="86">IFERROR(EXP(-1.0587+0.8836*LN(C69)+0.284),0)</f>
        <v>9.5483937995519046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312.14058371583923</v>
      </c>
      <c r="H69" s="67">
        <f t="shared" si="56"/>
        <v>363.76005253421954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18.2</v>
      </c>
      <c r="N69" s="13">
        <f>IF('Données projet'!$A$36&gt;35,N68+M69-V68,IF(A69&lt;'Données projet'!$A$36,$K$205^A69,IF(A69='Données projet'!$A$36,'Données projet'!$B$36,N68+M69-V68)))</f>
        <v>700.20000000000027</v>
      </c>
      <c r="O69" s="13">
        <f>N69*VLOOKUP('Données projet'!$B$9,Paramètres!$A$1:$I$89,3,0)*VLOOKUP('Données projet'!$B$9,Paramètres!$A$1:$I$89,5,0)</f>
        <v>282.18060000000014</v>
      </c>
      <c r="P69" s="13">
        <f t="shared" ref="P69:P132" si="87">EXP(-1.0587+0.8836*LN(O69)+0.284)</f>
        <v>67.427624079036946</v>
      </c>
      <c r="Q69" s="20">
        <f t="shared" si="54"/>
        <v>608.90099027098961</v>
      </c>
      <c r="R69" s="59">
        <f t="shared" si="55"/>
        <v>902.23432360432298</v>
      </c>
      <c r="S69" s="59">
        <f ca="1">AVERAGE(OFFSET($R$3,0,0,'Données projet'!$E$9+1,1))-AVERAGE(OFFSET($H$3,0,0,'Données projet'!$E$9+1,1))</f>
        <v>321.12254860105566</v>
      </c>
      <c r="T69" s="59">
        <f t="shared" ref="T69:T132" si="88">$T$3</f>
        <v>270.52026164274571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6.4736895765526974</v>
      </c>
      <c r="AA69" s="21">
        <f>EXP(-LN(2)/25)*AA68+(1-EXP(-LN(2)/25))/(LN(2)/25)*Calculateur!V69*Calculateur!X69*VLOOKUP('Données projet'!$B$9,Paramètres!$A$1:$I$89,3,0)*0.475*44/12</f>
        <v>7.5997319832882582</v>
      </c>
      <c r="AB69" s="21">
        <f>EXP(-LN(2)/2)*AB68+(1-EXP(-LN(2)/2))/(LN(2)/2)*V69*Y69*VLOOKUP('Données projet'!$B$9,Paramètres!$A$1:$I$89,3,0)*0.475*44/12</f>
        <v>0</v>
      </c>
      <c r="AC69" s="22">
        <f t="shared" si="57"/>
        <v>14.073421559840956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-3.4106051316484809E-13</v>
      </c>
      <c r="AJ69" s="13">
        <f>AI69*VLOOKUP('Données projet'!$B$10,Paramètres!$A$1:$I$89,3,0)*VLOOKUP('Données projet'!$B$10,Paramètres!$A$1:$I$89,5,0)</f>
        <v>-1.5961632016114892E-13</v>
      </c>
      <c r="AK69" s="13" t="e">
        <f t="shared" ref="AK69:AK132" si="89">EXP(-1.0587+0.8836*LN(AJ69)+0.284)</f>
        <v>#NUM!</v>
      </c>
      <c r="AL69" s="20" t="e">
        <f t="shared" si="58"/>
        <v>#NUM!</v>
      </c>
      <c r="AM69" s="59" t="e">
        <f t="shared" si="59"/>
        <v>#NUM!</v>
      </c>
      <c r="AN69" s="59">
        <f ca="1">AVERAGE(OFFSET($AM$3,0,0,'Données projet'!$E$10+1,1))-AVERAGE(OFFSET($H$3,0,0,'Données projet'!$E$10+1,1))</f>
        <v>267.78121291362345</v>
      </c>
      <c r="AO69" s="59">
        <f t="shared" ref="AO69:AO132" si="90">$AO$3</f>
        <v>320.1780590861174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3.5694827996391654</v>
      </c>
      <c r="AV69" s="21">
        <f>EXP(-LN(2)/25)*AV68+(1-EXP(-LN(2)/25))/(LN(2)/25)*Calculateur!AQ69*Calculateur!AS69*VLOOKUP('Données projet'!$B$10,Paramètres!$A$1:$I$89,3,0)*0.475*44/12</f>
        <v>7.3954596357307141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10.964942435369879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4.2</v>
      </c>
      <c r="BD69" s="12">
        <f>IF('Données projet'!$A$88&gt;35,BD68+BC69-BL68,IF(A69&lt;'Données projet'!$A$88,$BA$205^A69,IF(A69='Données projet'!$A$88,'Données projet'!$B$88,BD68+BC69-BL68)))</f>
        <v>184.2</v>
      </c>
      <c r="BE69" s="13">
        <f>BD69*VLOOKUP('Données projet'!$B$11,Paramètres!$A$1:$I$89,3,0)*VLOOKUP('Données projet'!$B$11,Paramètres!$A$1:$I$89,5,0)</f>
        <v>160.91712000000001</v>
      </c>
      <c r="BF69" s="13">
        <f t="shared" ref="BF69:BF132" si="91">EXP(-1.0587+0.8836*LN(BE69)+0.284)</f>
        <v>41.049305520788089</v>
      </c>
      <c r="BG69" s="20">
        <f t="shared" si="61"/>
        <v>351.75819111537254</v>
      </c>
      <c r="BH69" s="59">
        <f t="shared" si="62"/>
        <v>645.09152444870585</v>
      </c>
      <c r="BI69" s="59">
        <f ca="1">AVERAGE(OFFSET($BH$3,0,0,'Données projet'!$E$11+1,1))-AVERAGE(OFFSET($H$3,0,0,'Données projet'!$E$11+1,1))</f>
        <v>212.82470567725971</v>
      </c>
      <c r="BJ69" s="59">
        <f t="shared" ref="BJ69:BJ132" si="92">$BJ$3</f>
        <v>196.91968622092054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0.49629043428694736</v>
      </c>
      <c r="BQ69" s="21">
        <f>EXP(-LN(2)/25)*BQ68+(1-EXP(-LN(2)/25))/(LN(2)/25)*Calculateur!BL69*Calculateur!BN69*VLOOKUP('Données projet'!$B$11,Paramètres!$A$1:$I$89,3,0)*0.475*44/12</f>
        <v>1.5051267738447953</v>
      </c>
      <c r="BR69" s="21">
        <f>EXP(-LN(2)/2)*BR68+(1-EXP(-LN(2)/2))/(LN(2)/2)*BL69*BO69*VLOOKUP('Données projet'!$B$11,Paramètres!$A$1:$I$89,3,0)*0.475*44/12</f>
        <v>0</v>
      </c>
      <c r="BS69" s="22">
        <f t="shared" si="63"/>
        <v>2.0014172081317425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25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31.355999999999998</v>
      </c>
      <c r="D70" s="11">
        <f t="shared" si="86"/>
        <v>9.6761144436663837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316.73912903882825</v>
      </c>
      <c r="H70" s="67">
        <f t="shared" si="56"/>
        <v>364.79759932271895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18.2</v>
      </c>
      <c r="N70" s="13">
        <f>IF('Données projet'!$A$36&gt;35,N69+M70-V69,IF(A70&lt;'Données projet'!$A$36,$K$205^A70,IF(A70='Données projet'!$A$36,'Données projet'!$B$36,N69+M70-V69)))</f>
        <v>718.40000000000032</v>
      </c>
      <c r="O70" s="13">
        <f>N70*VLOOKUP('Données projet'!$B$9,Paramètres!$A$1:$I$89,3,0)*VLOOKUP('Données projet'!$B$9,Paramètres!$A$1:$I$89,5,0)</f>
        <v>289.51520000000011</v>
      </c>
      <c r="P70" s="13">
        <f t="shared" si="87"/>
        <v>68.973916544706199</v>
      </c>
      <c r="Q70" s="20">
        <f t="shared" si="54"/>
        <v>624.3685446486968</v>
      </c>
      <c r="R70" s="59">
        <f t="shared" si="55"/>
        <v>917.70187798203006</v>
      </c>
      <c r="S70" s="59">
        <f ca="1">AVERAGE(OFFSET($R$3,0,0,'Données projet'!$E$9+1,1))-AVERAGE(OFFSET($H$3,0,0,'Données projet'!$E$9+1,1))</f>
        <v>321.12254860105566</v>
      </c>
      <c r="T70" s="59">
        <f t="shared" si="88"/>
        <v>270.52026164274571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6.346744472517253</v>
      </c>
      <c r="AA70" s="21">
        <f>EXP(-LN(2)/25)*AA69+(1-EXP(-LN(2)/25))/(LN(2)/25)*Calculateur!V70*Calculateur!X70*VLOOKUP('Données projet'!$B$9,Paramètres!$A$1:$I$89,3,0)*0.475*44/12</f>
        <v>7.3919169125527056</v>
      </c>
      <c r="AB70" s="21">
        <f>EXP(-LN(2)/2)*AB69+(1-EXP(-LN(2)/2))/(LN(2)/2)*V70*Y70*VLOOKUP('Données projet'!$B$9,Paramètres!$A$1:$I$89,3,0)*0.475*44/12</f>
        <v>0</v>
      </c>
      <c r="AC70" s="22">
        <f t="shared" si="57"/>
        <v>13.738661385069959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-3.4106051316484809E-13</v>
      </c>
      <c r="AJ70" s="13">
        <f>AI70*VLOOKUP('Données projet'!$B$10,Paramètres!$A$1:$I$89,3,0)*VLOOKUP('Données projet'!$B$10,Paramètres!$A$1:$I$89,5,0)</f>
        <v>-1.5961632016114892E-13</v>
      </c>
      <c r="AK70" s="13" t="e">
        <f t="shared" si="89"/>
        <v>#NUM!</v>
      </c>
      <c r="AL70" s="20" t="e">
        <f t="shared" si="58"/>
        <v>#NUM!</v>
      </c>
      <c r="AM70" s="59" t="e">
        <f t="shared" si="59"/>
        <v>#NUM!</v>
      </c>
      <c r="AN70" s="59">
        <f ca="1">AVERAGE(OFFSET($AM$3,0,0,'Données projet'!$E$10+1,1))-AVERAGE(OFFSET($H$3,0,0,'Données projet'!$E$10+1,1))</f>
        <v>267.78121291362345</v>
      </c>
      <c r="AO70" s="59">
        <f t="shared" si="90"/>
        <v>320.1780590861174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3.4994874191077714</v>
      </c>
      <c r="AV70" s="21">
        <f>EXP(-LN(2)/25)*AV69+(1-EXP(-LN(2)/25))/(LN(2)/25)*Calculateur!AQ70*Calculateur!AS70*VLOOKUP('Données projet'!$B$10,Paramètres!$A$1:$I$89,3,0)*0.475*44/12</f>
        <v>7.1932304030813379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10.69271782218911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4.2</v>
      </c>
      <c r="BD70" s="12">
        <f>IF('Données projet'!$A$88&gt;35,BD69+BC70-BL69,IF(A70&lt;'Données projet'!$A$88,$BA$205^A70,IF(A70='Données projet'!$A$88,'Données projet'!$B$88,BD69+BC70-BL69)))</f>
        <v>188.39999999999998</v>
      </c>
      <c r="BE70" s="13">
        <f>BD70*VLOOKUP('Données projet'!$B$11,Paramètres!$A$1:$I$89,3,0)*VLOOKUP('Données projet'!$B$11,Paramètres!$A$1:$I$89,5,0)</f>
        <v>164.58624</v>
      </c>
      <c r="BF70" s="13">
        <f t="shared" si="91"/>
        <v>41.875247075991886</v>
      </c>
      <c r="BG70" s="20">
        <f t="shared" si="61"/>
        <v>359.58708999068585</v>
      </c>
      <c r="BH70" s="59">
        <f t="shared" si="62"/>
        <v>652.92042332401911</v>
      </c>
      <c r="BI70" s="59">
        <f ca="1">AVERAGE(OFFSET($BH$3,0,0,'Données projet'!$E$11+1,1))-AVERAGE(OFFSET($H$3,0,0,'Données projet'!$E$11+1,1))</f>
        <v>212.82470567725971</v>
      </c>
      <c r="BJ70" s="59">
        <f t="shared" si="92"/>
        <v>196.91968622092054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0.48655848157785536</v>
      </c>
      <c r="BQ70" s="21">
        <f>EXP(-LN(2)/25)*BQ69+(1-EXP(-LN(2)/25))/(LN(2)/25)*Calculateur!BL70*Calculateur!BN70*VLOOKUP('Données projet'!$B$11,Paramètres!$A$1:$I$89,3,0)*0.475*44/12</f>
        <v>1.4639690030628323</v>
      </c>
      <c r="BR70" s="21">
        <f>EXP(-LN(2)/2)*BR69+(1-EXP(-LN(2)/2))/(LN(2)/2)*BL70*BO70*VLOOKUP('Données projet'!$B$11,Paramètres!$A$1:$I$89,3,0)*0.475*44/12</f>
        <v>0</v>
      </c>
      <c r="BS70" s="22">
        <f t="shared" si="63"/>
        <v>1.9505274846406877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25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31.823999999999998</v>
      </c>
      <c r="D71" s="11">
        <f t="shared" si="86"/>
        <v>9.8036133809220889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321.33596294045122</v>
      </c>
      <c r="H71" s="67">
        <f t="shared" si="56"/>
        <v>365.8347599717726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18.2</v>
      </c>
      <c r="N71" s="13">
        <f>IF('Données projet'!$A$36&gt;35,N70+M71-V70,IF(A71&lt;'Données projet'!$A$36,$K$205^A71,IF(A71='Données projet'!$A$36,'Données projet'!$B$36,N70+M71-V70)))</f>
        <v>736.60000000000036</v>
      </c>
      <c r="O71" s="13">
        <f>N71*VLOOKUP('Données projet'!$B$9,Paramètres!$A$1:$I$89,3,0)*VLOOKUP('Données projet'!$B$9,Paramètres!$A$1:$I$89,5,0)</f>
        <v>296.84980000000019</v>
      </c>
      <c r="P71" s="13">
        <f t="shared" si="87"/>
        <v>70.515655371384696</v>
      </c>
      <c r="Q71" s="20">
        <f t="shared" si="54"/>
        <v>639.82816810516192</v>
      </c>
      <c r="R71" s="59">
        <f t="shared" si="55"/>
        <v>933.16150143849518</v>
      </c>
      <c r="S71" s="59">
        <f ca="1">AVERAGE(OFFSET($R$3,0,0,'Données projet'!$E$9+1,1))-AVERAGE(OFFSET($H$3,0,0,'Données projet'!$E$9+1,1))</f>
        <v>321.12254860105566</v>
      </c>
      <c r="T71" s="59">
        <f t="shared" si="88"/>
        <v>270.52026164274571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6.2222886845430754</v>
      </c>
      <c r="AA71" s="21">
        <f>EXP(-LN(2)/25)*AA70+(1-EXP(-LN(2)/25))/(LN(2)/25)*Calculateur!V71*Calculateur!X71*VLOOKUP('Données projet'!$B$9,Paramètres!$A$1:$I$89,3,0)*0.475*44/12</f>
        <v>7.1897845558549358</v>
      </c>
      <c r="AB71" s="21">
        <f>EXP(-LN(2)/2)*AB70+(1-EXP(-LN(2)/2))/(LN(2)/2)*V71*Y71*VLOOKUP('Données projet'!$B$9,Paramètres!$A$1:$I$89,3,0)*0.475*44/12</f>
        <v>0</v>
      </c>
      <c r="AC71" s="22">
        <f t="shared" si="57"/>
        <v>13.412073240398012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-3.4106051316484809E-13</v>
      </c>
      <c r="AJ71" s="13">
        <f>AI71*VLOOKUP('Données projet'!$B$10,Paramètres!$A$1:$I$89,3,0)*VLOOKUP('Données projet'!$B$10,Paramètres!$A$1:$I$89,5,0)</f>
        <v>-1.5961632016114892E-13</v>
      </c>
      <c r="AK71" s="13" t="e">
        <f t="shared" si="89"/>
        <v>#NUM!</v>
      </c>
      <c r="AL71" s="20" t="e">
        <f t="shared" si="58"/>
        <v>#NUM!</v>
      </c>
      <c r="AM71" s="59" t="e">
        <f t="shared" si="59"/>
        <v>#NUM!</v>
      </c>
      <c r="AN71" s="59">
        <f ca="1">AVERAGE(OFFSET($AM$3,0,0,'Données projet'!$E$10+1,1))-AVERAGE(OFFSET($H$3,0,0,'Données projet'!$E$10+1,1))</f>
        <v>267.78121291362345</v>
      </c>
      <c r="AO71" s="59">
        <f t="shared" si="90"/>
        <v>320.1780590861174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3.4308646052956315</v>
      </c>
      <c r="AV71" s="21">
        <f>EXP(-LN(2)/25)*AV70+(1-EXP(-LN(2)/25))/(LN(2)/25)*Calculateur!AQ71*Calculateur!AS71*VLOOKUP('Données projet'!$B$10,Paramètres!$A$1:$I$89,3,0)*0.475*44/12</f>
        <v>6.9965311394335323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10.427395744729164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4.2</v>
      </c>
      <c r="BD71" s="12">
        <f>IF('Données projet'!$A$88&gt;35,BD70+BC71-BL70,IF(A71&lt;'Données projet'!$A$88,$BA$205^A71,IF(A71='Données projet'!$A$88,'Données projet'!$B$88,BD70+BC71-BL70)))</f>
        <v>192.59999999999997</v>
      </c>
      <c r="BE71" s="13">
        <f>BD71*VLOOKUP('Données projet'!$B$11,Paramètres!$A$1:$I$89,3,0)*VLOOKUP('Données projet'!$B$11,Paramètres!$A$1:$I$89,5,0)</f>
        <v>168.25536</v>
      </c>
      <c r="BF71" s="13">
        <f t="shared" si="91"/>
        <v>42.699047982710887</v>
      </c>
      <c r="BG71" s="20">
        <f t="shared" si="61"/>
        <v>367.41226056988808</v>
      </c>
      <c r="BH71" s="59">
        <f t="shared" si="62"/>
        <v>660.74559390322133</v>
      </c>
      <c r="BI71" s="59">
        <f ca="1">AVERAGE(OFFSET($BH$3,0,0,'Données projet'!$E$11+1,1))-AVERAGE(OFFSET($H$3,0,0,'Données projet'!$E$11+1,1))</f>
        <v>212.82470567725971</v>
      </c>
      <c r="BJ71" s="59">
        <f t="shared" si="92"/>
        <v>196.91968622092054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0.47701736652548365</v>
      </c>
      <c r="BQ71" s="21">
        <f>EXP(-LN(2)/25)*BQ70+(1-EXP(-LN(2)/25))/(LN(2)/25)*Calculateur!BL71*Calculateur!BN71*VLOOKUP('Données projet'!$B$11,Paramètres!$A$1:$I$89,3,0)*0.475*44/12</f>
        <v>1.4239366936872953</v>
      </c>
      <c r="BR71" s="21">
        <f>EXP(-LN(2)/2)*BR70+(1-EXP(-LN(2)/2))/(LN(2)/2)*BL71*BO71*VLOOKUP('Données projet'!$B$11,Paramètres!$A$1:$I$89,3,0)*0.475*44/12</f>
        <v>0</v>
      </c>
      <c r="BS71" s="22">
        <f t="shared" si="63"/>
        <v>1.9009540602127788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25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32.292000000000002</v>
      </c>
      <c r="D72" s="11">
        <f t="shared" si="86"/>
        <v>9.9308942483743401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325.93111349622302</v>
      </c>
      <c r="H72" s="67">
        <f t="shared" si="56"/>
        <v>366.87154081591865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18.2</v>
      </c>
      <c r="N72" s="13">
        <f>IF('Données projet'!$A$36&gt;35,N71+M72-V71,IF(A72&lt;'Données projet'!$A$36,$K$205^A72,IF(A72='Données projet'!$A$36,'Données projet'!$B$36,N71+M72-V71)))</f>
        <v>754.80000000000041</v>
      </c>
      <c r="O72" s="13">
        <f>N72*VLOOKUP('Données projet'!$B$9,Paramètres!$A$1:$I$89,3,0)*VLOOKUP('Données projet'!$B$9,Paramètres!$A$1:$I$89,5,0)</f>
        <v>304.18440000000015</v>
      </c>
      <c r="P72" s="13">
        <f t="shared" si="87"/>
        <v>72.052966012669543</v>
      </c>
      <c r="Q72" s="20">
        <f t="shared" si="54"/>
        <v>655.28007913873296</v>
      </c>
      <c r="R72" s="59">
        <f t="shared" si="55"/>
        <v>948.61341247206633</v>
      </c>
      <c r="S72" s="59">
        <f ca="1">AVERAGE(OFFSET($R$3,0,0,'Données projet'!$E$9+1,1))-AVERAGE(OFFSET($H$3,0,0,'Données projet'!$E$9+1,1))</f>
        <v>321.12254860105566</v>
      </c>
      <c r="T72" s="59">
        <f t="shared" si="88"/>
        <v>270.52026164274571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6.1002733986605362</v>
      </c>
      <c r="AA72" s="21">
        <f>EXP(-LN(2)/25)*AA71+(1-EXP(-LN(2)/25))/(LN(2)/25)*Calculateur!V72*Calculateur!X72*VLOOKUP('Données projet'!$B$9,Paramètres!$A$1:$I$89,3,0)*0.475*44/12</f>
        <v>6.9931795190807451</v>
      </c>
      <c r="AB72" s="21">
        <f>EXP(-LN(2)/2)*AB71+(1-EXP(-LN(2)/2))/(LN(2)/2)*V72*Y72*VLOOKUP('Données projet'!$B$9,Paramètres!$A$1:$I$89,3,0)*0.475*44/12</f>
        <v>0</v>
      </c>
      <c r="AC72" s="22">
        <f t="shared" si="57"/>
        <v>13.093452917741281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-3.4106051316484809E-13</v>
      </c>
      <c r="AJ72" s="13">
        <f>AI72*VLOOKUP('Données projet'!$B$10,Paramètres!$A$1:$I$89,3,0)*VLOOKUP('Données projet'!$B$10,Paramètres!$A$1:$I$89,5,0)</f>
        <v>-1.5961632016114892E-13</v>
      </c>
      <c r="AK72" s="13" t="e">
        <f t="shared" si="89"/>
        <v>#NUM!</v>
      </c>
      <c r="AL72" s="20" t="e">
        <f t="shared" si="58"/>
        <v>#NUM!</v>
      </c>
      <c r="AM72" s="59" t="e">
        <f t="shared" si="59"/>
        <v>#NUM!</v>
      </c>
      <c r="AN72" s="59">
        <f ca="1">AVERAGE(OFFSET($AM$3,0,0,'Données projet'!$E$10+1,1))-AVERAGE(OFFSET($H$3,0,0,'Données projet'!$E$10+1,1))</f>
        <v>267.78121291362345</v>
      </c>
      <c r="AO72" s="59">
        <f t="shared" si="90"/>
        <v>320.1780590861174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3.3635874430065642</v>
      </c>
      <c r="AV72" s="21">
        <f>EXP(-LN(2)/25)*AV71+(1-EXP(-LN(2)/25))/(LN(2)/25)*Calculateur!AQ72*Calculateur!AS72*VLOOKUP('Données projet'!$B$10,Paramètres!$A$1:$I$89,3,0)*0.475*44/12</f>
        <v>6.8052106274941409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10.168798070500705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4.2</v>
      </c>
      <c r="BD72" s="12">
        <f>IF('Données projet'!$A$88&gt;35,BD71+BC72-BL71,IF(A72&lt;'Données projet'!$A$88,$BA$205^A72,IF(A72='Données projet'!$A$88,'Données projet'!$B$88,BD71+BC72-BL71)))</f>
        <v>196.79999999999995</v>
      </c>
      <c r="BE72" s="13">
        <f>BD72*VLOOKUP('Données projet'!$B$11,Paramètres!$A$1:$I$89,3,0)*VLOOKUP('Données projet'!$B$11,Paramètres!$A$1:$I$89,5,0)</f>
        <v>171.92447999999999</v>
      </c>
      <c r="BF72" s="13">
        <f t="shared" si="91"/>
        <v>43.520760297647755</v>
      </c>
      <c r="BG72" s="20">
        <f t="shared" si="61"/>
        <v>375.23379351840316</v>
      </c>
      <c r="BH72" s="59">
        <f t="shared" si="62"/>
        <v>668.56712685173648</v>
      </c>
      <c r="BI72" s="59">
        <f ca="1">AVERAGE(OFFSET($BH$3,0,0,'Données projet'!$E$11+1,1))-AVERAGE(OFFSET($H$3,0,0,'Données projet'!$E$11+1,1))</f>
        <v>212.82470567725971</v>
      </c>
      <c r="BJ72" s="59">
        <f t="shared" si="92"/>
        <v>196.91968622092054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0.4676633469197834</v>
      </c>
      <c r="BQ72" s="21">
        <f>EXP(-LN(2)/25)*BQ71+(1-EXP(-LN(2)/25))/(LN(2)/25)*Calculateur!BL72*Calculateur!BN72*VLOOKUP('Données projet'!$B$11,Paramètres!$A$1:$I$89,3,0)*0.475*44/12</f>
        <v>1.38499906991684</v>
      </c>
      <c r="BR72" s="21">
        <f>EXP(-LN(2)/2)*BR71+(1-EXP(-LN(2)/2))/(LN(2)/2)*BL72*BO72*VLOOKUP('Données projet'!$B$11,Paramètres!$A$1:$I$89,3,0)*0.475*44/12</f>
        <v>0</v>
      </c>
      <c r="BS72" s="22">
        <f t="shared" si="63"/>
        <v>1.8526624168366235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25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32.760000000000005</v>
      </c>
      <c r="D73" s="11">
        <f t="shared" si="86"/>
        <v>10.057960571603429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330.52460792114931</v>
      </c>
      <c r="H73" s="67">
        <f t="shared" si="56"/>
        <v>367.9079479955426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>
        <f>VLOOKUP(A73,'Données projet'!$A$35:$I$55,2,0)</f>
        <v>773</v>
      </c>
      <c r="L73" s="12">
        <f>VLOOKUP(A73,'Données projet'!$A$35:$I$55,9,0)</f>
        <v>18.2</v>
      </c>
      <c r="M73" s="12">
        <f t="array" ref="M73">INDEX(L:L,MIN(IF(ISNUMBER(L73:L269),ROW(L73:L269),"")))</f>
        <v>18.2</v>
      </c>
      <c r="N73" s="13">
        <f>IF('Données projet'!$A$36&gt;35,N72+M73-V72,IF(A73&lt;'Données projet'!$A$36,$K$205^A73,IF(A73='Données projet'!$A$36,'Données projet'!$B$36,N72+M73-V72)))</f>
        <v>773.00000000000045</v>
      </c>
      <c r="O73" s="13">
        <f>N73*VLOOKUP('Données projet'!$B$9,Paramètres!$A$1:$I$89,3,0)*VLOOKUP('Données projet'!$B$9,Paramètres!$A$1:$I$89,5,0)</f>
        <v>311.51900000000018</v>
      </c>
      <c r="P73" s="13">
        <f t="shared" si="87"/>
        <v>73.585967527198179</v>
      </c>
      <c r="Q73" s="20">
        <f t="shared" si="54"/>
        <v>670.72448510987044</v>
      </c>
      <c r="R73" s="59">
        <f t="shared" si="55"/>
        <v>964.05781844320381</v>
      </c>
      <c r="S73" s="59">
        <f ca="1">AVERAGE(OFFSET($R$3,0,0,'Données projet'!$E$9+1,1))-AVERAGE(OFFSET($H$3,0,0,'Données projet'!$E$9+1,1))</f>
        <v>321.12254860105566</v>
      </c>
      <c r="T73" s="59">
        <f t="shared" si="88"/>
        <v>270.52026164274571</v>
      </c>
      <c r="U73" s="15">
        <f>IF(ISNA(VLOOKUP(A73,'Données projet'!$A$35:$I$55,3,0)),0,VLOOKUP(A73,'Données projet'!$A$35:$I$55,3,0))</f>
        <v>11</v>
      </c>
      <c r="V73" s="15">
        <f>IF(ISNA(VLOOKUP(A73,'Données projet'!$A$35:$I$55,4,0)),0,VLOOKUP(A73,'Données projet'!$A$35:$I$55,4,0))</f>
        <v>49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5.9806507581121782</v>
      </c>
      <c r="AA73" s="21">
        <f>EXP(-LN(2)/25)*AA72+(1-EXP(-LN(2)/25))/(LN(2)/25)*Calculateur!V73*Calculateur!X73*VLOOKUP('Données projet'!$B$9,Paramètres!$A$1:$I$89,3,0)*0.475*44/12</f>
        <v>6.8019506573761541</v>
      </c>
      <c r="AB73" s="21">
        <f>EXP(-LN(2)/2)*AB72+(1-EXP(-LN(2)/2))/(LN(2)/2)*V73*Y73*VLOOKUP('Données projet'!$B$9,Paramètres!$A$1:$I$89,3,0)*0.475*44/12</f>
        <v>0</v>
      </c>
      <c r="AC73" s="22">
        <f t="shared" si="57"/>
        <v>12.782601415488333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-3.4106051316484809E-13</v>
      </c>
      <c r="AJ73" s="13">
        <f>AI73*VLOOKUP('Données projet'!$B$10,Paramètres!$A$1:$I$89,3,0)*VLOOKUP('Données projet'!$B$10,Paramètres!$A$1:$I$89,5,0)</f>
        <v>-1.5961632016114892E-13</v>
      </c>
      <c r="AK73" s="13" t="e">
        <f t="shared" si="89"/>
        <v>#NUM!</v>
      </c>
      <c r="AL73" s="20" t="e">
        <f t="shared" si="58"/>
        <v>#NUM!</v>
      </c>
      <c r="AM73" s="59" t="e">
        <f t="shared" si="59"/>
        <v>#NUM!</v>
      </c>
      <c r="AN73" s="59">
        <f ca="1">AVERAGE(OFFSET($AM$3,0,0,'Données projet'!$E$10+1,1))-AVERAGE(OFFSET($H$3,0,0,'Données projet'!$E$10+1,1))</f>
        <v>267.78121291362345</v>
      </c>
      <c r="AO73" s="59">
        <f t="shared" si="90"/>
        <v>320.1780590861174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3.2976295448349684</v>
      </c>
      <c r="AV73" s="21">
        <f>EXP(-LN(2)/25)*AV72+(1-EXP(-LN(2)/25))/(LN(2)/25)*Calculateur!AQ73*Calculateur!AS73*VLOOKUP('Données projet'!$B$10,Paramètres!$A$1:$I$89,3,0)*0.475*44/12</f>
        <v>6.6191217850148405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9.9167513298498093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>
        <f>VLOOKUP(A73,'Données projet'!$A$87:$I$107,2,0)</f>
        <v>201</v>
      </c>
      <c r="BB73" s="12">
        <f>VLOOKUP(A73,'Données projet'!$A$87:$I$107,9,0)</f>
        <v>4.2</v>
      </c>
      <c r="BC73" s="12">
        <f t="array" ref="BC73">INDEX(BB:BB,MIN(IF(ISNUMBER(BB73:BB269),ROW(BB73:BB269),"")))</f>
        <v>4.2</v>
      </c>
      <c r="BD73" s="12">
        <f>IF('Données projet'!$A$88&gt;35,BD72+BC73-BL72,IF(A73&lt;'Données projet'!$A$88,$BA$205^A73,IF(A73='Données projet'!$A$88,'Données projet'!$B$88,BD72+BC73-BL72)))</f>
        <v>200.99999999999994</v>
      </c>
      <c r="BE73" s="13">
        <f>BD73*VLOOKUP('Données projet'!$B$11,Paramètres!$A$1:$I$89,3,0)*VLOOKUP('Données projet'!$B$11,Paramètres!$A$1:$I$89,5,0)</f>
        <v>175.59359999999995</v>
      </c>
      <c r="BF73" s="13">
        <f t="shared" si="91"/>
        <v>44.340433728638573</v>
      </c>
      <c r="BG73" s="20">
        <f t="shared" si="61"/>
        <v>383.05177541071203</v>
      </c>
      <c r="BH73" s="59">
        <f t="shared" si="62"/>
        <v>676.38510874404528</v>
      </c>
      <c r="BI73" s="59">
        <f ca="1">AVERAGE(OFFSET($BH$3,0,0,'Données projet'!$E$11+1,1))-AVERAGE(OFFSET($H$3,0,0,'Données projet'!$E$11+1,1))</f>
        <v>212.82470567725971</v>
      </c>
      <c r="BJ73" s="59">
        <f t="shared" si="92"/>
        <v>196.91968622092054</v>
      </c>
      <c r="BK73" s="15">
        <f>IF(ISNA(VLOOKUP(A73,'Données projet'!$A$87:$I$107,3,0)),0,VLOOKUP(A73,'Données projet'!$A$87:$I$107,3,0))</f>
        <v>11</v>
      </c>
      <c r="BL73" s="15">
        <f>IF(ISNA(VLOOKUP(A73,'Données projet'!$A$87:$I$107,4,0)),0,VLOOKUP(A73,'Données projet'!$A$87:$I$107,4,0))</f>
        <v>14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0.4584927539331623</v>
      </c>
      <c r="BQ73" s="21">
        <f>EXP(-LN(2)/25)*BQ72+(1-EXP(-LN(2)/25))/(LN(2)/25)*Calculateur!BL73*Calculateur!BN73*VLOOKUP('Données projet'!$B$11,Paramètres!$A$1:$I$89,3,0)*0.475*44/12</f>
        <v>1.3471261975160282</v>
      </c>
      <c r="BR73" s="21">
        <f>EXP(-LN(2)/2)*BR72+(1-EXP(-LN(2)/2))/(LN(2)/2)*BL73*BO73*VLOOKUP('Données projet'!$B$11,Paramètres!$A$1:$I$89,3,0)*0.475*44/12</f>
        <v>0</v>
      </c>
      <c r="BS73" s="22">
        <f t="shared" si="63"/>
        <v>1.8056189514491905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25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33.228000000000009</v>
      </c>
      <c r="D74" s="11">
        <f t="shared" si="86"/>
        <v>10.184815769674017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335.11647260801004</v>
      </c>
      <c r="H74" s="67">
        <f t="shared" si="56"/>
        <v>368.94398746551559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17</v>
      </c>
      <c r="N74" s="13">
        <f>IF('Données projet'!$A$36&gt;35,N73+M74-V73,IF(A74&lt;'Données projet'!$A$36,$K$205^A74,IF(A74='Données projet'!$A$36,'Données projet'!$B$36,N73+M74-V73)))</f>
        <v>741.00000000000045</v>
      </c>
      <c r="O74" s="13">
        <f>N74*VLOOKUP('Données projet'!$B$9,Paramètres!$A$1:$I$89,3,0)*VLOOKUP('Données projet'!$B$9,Paramètres!$A$1:$I$89,5,0)</f>
        <v>298.62300000000022</v>
      </c>
      <c r="P74" s="13">
        <f t="shared" si="87"/>
        <v>70.88771413720896</v>
      </c>
      <c r="Q74" s="20">
        <f t="shared" si="54"/>
        <v>643.56449378897264</v>
      </c>
      <c r="R74" s="59">
        <f t="shared" si="55"/>
        <v>936.8978271223059</v>
      </c>
      <c r="S74" s="59">
        <f ca="1">AVERAGE(OFFSET($R$3,0,0,'Données projet'!$E$9+1,1))-AVERAGE(OFFSET($H$3,0,0,'Données projet'!$E$9+1,1))</f>
        <v>321.12254860105566</v>
      </c>
      <c r="T74" s="59">
        <f t="shared" si="88"/>
        <v>270.52026164274571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5.8633738445823669</v>
      </c>
      <c r="AA74" s="21">
        <f>EXP(-LN(2)/25)*AA73+(1-EXP(-LN(2)/25))/(LN(2)/25)*Calculateur!V74*Calculateur!X74*VLOOKUP('Données projet'!$B$9,Paramètres!$A$1:$I$89,3,0)*0.475*44/12</f>
        <v>6.6159509589511645</v>
      </c>
      <c r="AB74" s="21">
        <f>EXP(-LN(2)/2)*AB73+(1-EXP(-LN(2)/2))/(LN(2)/2)*V74*Y74*VLOOKUP('Données projet'!$B$9,Paramètres!$A$1:$I$89,3,0)*0.475*44/12</f>
        <v>0</v>
      </c>
      <c r="AC74" s="22">
        <f t="shared" si="57"/>
        <v>12.479324803533531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-3.4106051316484809E-13</v>
      </c>
      <c r="AJ74" s="13">
        <f>AI74*VLOOKUP('Données projet'!$B$10,Paramètres!$A$1:$I$89,3,0)*VLOOKUP('Données projet'!$B$10,Paramètres!$A$1:$I$89,5,0)</f>
        <v>-1.5961632016114892E-13</v>
      </c>
      <c r="AK74" s="13" t="e">
        <f t="shared" si="89"/>
        <v>#NUM!</v>
      </c>
      <c r="AL74" s="20" t="e">
        <f t="shared" si="58"/>
        <v>#NUM!</v>
      </c>
      <c r="AM74" s="59" t="e">
        <f t="shared" si="59"/>
        <v>#NUM!</v>
      </c>
      <c r="AN74" s="59">
        <f ca="1">AVERAGE(OFFSET($AM$3,0,0,'Données projet'!$E$10+1,1))-AVERAGE(OFFSET($H$3,0,0,'Données projet'!$E$10+1,1))</f>
        <v>267.78121291362345</v>
      </c>
      <c r="AO74" s="59">
        <f t="shared" si="90"/>
        <v>320.1780590861174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3.2329650408161723</v>
      </c>
      <c r="AV74" s="21">
        <f>EXP(-LN(2)/25)*AV73+(1-EXP(-LN(2)/25))/(LN(2)/25)*Calculateur!AQ74*Calculateur!AS74*VLOOKUP('Données projet'!$B$10,Paramètres!$A$1:$I$89,3,0)*0.475*44/12</f>
        <v>6.4381215517191235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9.6710865925352962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3.4</v>
      </c>
      <c r="BD74" s="12">
        <f>IF('Données projet'!$A$88&gt;35,BD73+BC74-BL73,IF(A74&lt;'Données projet'!$A$88,$BA$205^A74,IF(A74='Données projet'!$A$88,'Données projet'!$B$88,BD73+BC74-BL73)))</f>
        <v>190.39999999999995</v>
      </c>
      <c r="BE74" s="13">
        <f>BD74*VLOOKUP('Données projet'!$B$11,Paramètres!$A$1:$I$89,3,0)*VLOOKUP('Données projet'!$B$11,Paramètres!$A$1:$I$89,5,0)</f>
        <v>166.33343999999997</v>
      </c>
      <c r="BF74" s="13">
        <f t="shared" si="91"/>
        <v>42.267796944897761</v>
      </c>
      <c r="BG74" s="20">
        <f t="shared" si="61"/>
        <v>363.31382101236346</v>
      </c>
      <c r="BH74" s="59">
        <f t="shared" si="62"/>
        <v>656.64715434569678</v>
      </c>
      <c r="BI74" s="59">
        <f ca="1">AVERAGE(OFFSET($BH$3,0,0,'Données projet'!$E$11+1,1))-AVERAGE(OFFSET($H$3,0,0,'Données projet'!$E$11+1,1))</f>
        <v>212.82470567725971</v>
      </c>
      <c r="BJ74" s="59">
        <f t="shared" si="92"/>
        <v>196.91968622092054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0.44950199068149943</v>
      </c>
      <c r="BQ74" s="21">
        <f>EXP(-LN(2)/25)*BQ73+(1-EXP(-LN(2)/25))/(LN(2)/25)*Calculateur!BL74*Calculateur!BN74*VLOOKUP('Données projet'!$B$11,Paramètres!$A$1:$I$89,3,0)*0.475*44/12</f>
        <v>1.3102889608026647</v>
      </c>
      <c r="BR74" s="21">
        <f>EXP(-LN(2)/2)*BR73+(1-EXP(-LN(2)/2))/(LN(2)/2)*BL74*BO74*VLOOKUP('Données projet'!$B$11,Paramètres!$A$1:$I$89,3,0)*0.475*44/12</f>
        <v>0</v>
      </c>
      <c r="BS74" s="22">
        <f t="shared" si="63"/>
        <v>1.7597909514841641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25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33.696000000000012</v>
      </c>
      <c r="D75" s="11">
        <f t="shared" si="86"/>
        <v>10.311463159807191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339.70673316342402</v>
      </c>
      <c r="H75" s="67">
        <f t="shared" si="56"/>
        <v>369.97966500333087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17</v>
      </c>
      <c r="N75" s="13">
        <f>IF('Données projet'!$A$36&gt;35,N74+M75-V74,IF(A75&lt;'Données projet'!$A$36,$K$205^A75,IF(A75='Données projet'!$A$36,'Données projet'!$B$36,N74+M75-V74)))</f>
        <v>758.00000000000045</v>
      </c>
      <c r="O75" s="13">
        <f>N75*VLOOKUP('Données projet'!$B$9,Paramètres!$A$1:$I$89,3,0)*VLOOKUP('Données projet'!$B$9,Paramètres!$A$1:$I$89,5,0)</f>
        <v>305.47400000000016</v>
      </c>
      <c r="P75" s="13">
        <f t="shared" si="87"/>
        <v>72.322813671358773</v>
      </c>
      <c r="Q75" s="20">
        <f t="shared" si="54"/>
        <v>657.9961171442834</v>
      </c>
      <c r="R75" s="59">
        <f t="shared" si="55"/>
        <v>951.32945047761677</v>
      </c>
      <c r="S75" s="59">
        <f ca="1">AVERAGE(OFFSET($R$3,0,0,'Données projet'!$E$9+1,1))-AVERAGE(OFFSET($H$3,0,0,'Données projet'!$E$9+1,1))</f>
        <v>321.12254860105566</v>
      </c>
      <c r="T75" s="59">
        <f t="shared" si="88"/>
        <v>270.52026164274571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5.7483966597950209</v>
      </c>
      <c r="AA75" s="21">
        <f>EXP(-LN(2)/25)*AA74+(1-EXP(-LN(2)/25))/(LN(2)/25)*Calculateur!V75*Calculateur!X75*VLOOKUP('Données projet'!$B$9,Paramètres!$A$1:$I$89,3,0)*0.475*44/12</f>
        <v>6.4350374320609047</v>
      </c>
      <c r="AB75" s="21">
        <f>EXP(-LN(2)/2)*AB74+(1-EXP(-LN(2)/2))/(LN(2)/2)*V75*Y75*VLOOKUP('Données projet'!$B$9,Paramètres!$A$1:$I$89,3,0)*0.475*44/12</f>
        <v>0</v>
      </c>
      <c r="AC75" s="22">
        <f t="shared" si="57"/>
        <v>12.183434091855926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-3.4106051316484809E-13</v>
      </c>
      <c r="AJ75" s="13">
        <f>AI75*VLOOKUP('Données projet'!$B$10,Paramètres!$A$1:$I$89,3,0)*VLOOKUP('Données projet'!$B$10,Paramètres!$A$1:$I$89,5,0)</f>
        <v>-1.5961632016114892E-13</v>
      </c>
      <c r="AK75" s="13" t="e">
        <f t="shared" si="89"/>
        <v>#NUM!</v>
      </c>
      <c r="AL75" s="20" t="e">
        <f t="shared" si="58"/>
        <v>#NUM!</v>
      </c>
      <c r="AM75" s="59" t="e">
        <f t="shared" si="59"/>
        <v>#NUM!</v>
      </c>
      <c r="AN75" s="59">
        <f ca="1">AVERAGE(OFFSET($AM$3,0,0,'Données projet'!$E$10+1,1))-AVERAGE(OFFSET($H$3,0,0,'Données projet'!$E$10+1,1))</f>
        <v>267.78121291362345</v>
      </c>
      <c r="AO75" s="59">
        <f t="shared" si="90"/>
        <v>320.1780590861174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3.1695685682797317</v>
      </c>
      <c r="AV75" s="21">
        <f>EXP(-LN(2)/25)*AV74+(1-EXP(-LN(2)/25))/(LN(2)/25)*Calculateur!AQ75*Calculateur!AS75*VLOOKUP('Données projet'!$B$10,Paramètres!$A$1:$I$89,3,0)*0.475*44/12</f>
        <v>6.2620707793212658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9.4316393476009974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3.4</v>
      </c>
      <c r="BD75" s="12">
        <f>IF('Données projet'!$A$88&gt;35,BD74+BC75-BL74,IF(A75&lt;'Données projet'!$A$88,$BA$205^A75,IF(A75='Données projet'!$A$88,'Données projet'!$B$88,BD74+BC75-BL74)))</f>
        <v>193.79999999999995</v>
      </c>
      <c r="BE75" s="13">
        <f>BD75*VLOOKUP('Données projet'!$B$11,Paramètres!$A$1:$I$89,3,0)*VLOOKUP('Données projet'!$B$11,Paramètres!$A$1:$I$89,5,0)</f>
        <v>169.30367999999999</v>
      </c>
      <c r="BF75" s="13">
        <f t="shared" si="91"/>
        <v>42.934033834973214</v>
      </c>
      <c r="BG75" s="20">
        <f t="shared" si="61"/>
        <v>369.64735159591163</v>
      </c>
      <c r="BH75" s="59">
        <f t="shared" si="62"/>
        <v>662.98068492924494</v>
      </c>
      <c r="BI75" s="59">
        <f ca="1">AVERAGE(OFFSET($BH$3,0,0,'Données projet'!$E$11+1,1))-AVERAGE(OFFSET($H$3,0,0,'Données projet'!$E$11+1,1))</f>
        <v>212.82470567725971</v>
      </c>
      <c r="BJ75" s="59">
        <f t="shared" si="92"/>
        <v>196.91968622092054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0.44068753081337758</v>
      </c>
      <c r="BQ75" s="21">
        <f>EXP(-LN(2)/25)*BQ74+(1-EXP(-LN(2)/25))/(LN(2)/25)*Calculateur!BL75*Calculateur!BN75*VLOOKUP('Données projet'!$B$11,Paramètres!$A$1:$I$89,3,0)*0.475*44/12</f>
        <v>1.274459040264414</v>
      </c>
      <c r="BR75" s="21">
        <f>EXP(-LN(2)/2)*BR74+(1-EXP(-LN(2)/2))/(LN(2)/2)*BL75*BO75*VLOOKUP('Données projet'!$B$11,Paramètres!$A$1:$I$89,3,0)*0.475*44/12</f>
        <v>0</v>
      </c>
      <c r="BS75" s="22">
        <f t="shared" si="63"/>
        <v>1.7151465710777916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25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34.164000000000016</v>
      </c>
      <c r="D76" s="11">
        <f t="shared" si="86"/>
        <v>10.437905961785614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344.29541444185406</v>
      </c>
      <c r="H76" s="67">
        <f t="shared" si="56"/>
        <v>371.01498621677661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17</v>
      </c>
      <c r="N76" s="13">
        <f>IF('Données projet'!$A$36&gt;35,N75+M76-V75,IF(A76&lt;'Données projet'!$A$36,$K$205^A76,IF(A76='Données projet'!$A$36,'Données projet'!$B$36,N75+M76-V75)))</f>
        <v>775.00000000000045</v>
      </c>
      <c r="O76" s="13">
        <f>N76*VLOOKUP('Données projet'!$B$9,Paramètres!$A$1:$I$89,3,0)*VLOOKUP('Données projet'!$B$9,Paramètres!$A$1:$I$89,5,0)</f>
        <v>312.32500000000022</v>
      </c>
      <c r="P76" s="13">
        <f t="shared" si="87"/>
        <v>73.754171354844971</v>
      </c>
      <c r="Q76" s="20">
        <f t="shared" si="54"/>
        <v>672.42122344302209</v>
      </c>
      <c r="R76" s="59">
        <f t="shared" si="55"/>
        <v>965.75455677635546</v>
      </c>
      <c r="S76" s="59">
        <f ca="1">AVERAGE(OFFSET($R$3,0,0,'Données projet'!$E$9+1,1))-AVERAGE(OFFSET($H$3,0,0,'Données projet'!$E$9+1,1))</f>
        <v>321.12254860105566</v>
      </c>
      <c r="T76" s="59">
        <f t="shared" si="88"/>
        <v>270.52026164274571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5.6356741074721972</v>
      </c>
      <c r="AA76" s="21">
        <f>EXP(-LN(2)/25)*AA75+(1-EXP(-LN(2)/25))/(LN(2)/25)*Calculateur!V76*Calculateur!X76*VLOOKUP('Données projet'!$B$9,Paramètres!$A$1:$I$89,3,0)*0.475*44/12</f>
        <v>6.2590709950772885</v>
      </c>
      <c r="AB76" s="21">
        <f>EXP(-LN(2)/2)*AB75+(1-EXP(-LN(2)/2))/(LN(2)/2)*V76*Y76*VLOOKUP('Données projet'!$B$9,Paramètres!$A$1:$I$89,3,0)*0.475*44/12</f>
        <v>0</v>
      </c>
      <c r="AC76" s="22">
        <f t="shared" si="57"/>
        <v>11.894745102549486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-3.4106051316484809E-13</v>
      </c>
      <c r="AJ76" s="13">
        <f>AI76*VLOOKUP('Données projet'!$B$10,Paramètres!$A$1:$I$89,3,0)*VLOOKUP('Données projet'!$B$10,Paramètres!$A$1:$I$89,5,0)</f>
        <v>-1.5961632016114892E-13</v>
      </c>
      <c r="AK76" s="13" t="e">
        <f t="shared" si="89"/>
        <v>#NUM!</v>
      </c>
      <c r="AL76" s="20" t="e">
        <f t="shared" si="58"/>
        <v>#NUM!</v>
      </c>
      <c r="AM76" s="59" t="e">
        <f t="shared" si="59"/>
        <v>#NUM!</v>
      </c>
      <c r="AN76" s="59">
        <f ca="1">AVERAGE(OFFSET($AM$3,0,0,'Données projet'!$E$10+1,1))-AVERAGE(OFFSET($H$3,0,0,'Données projet'!$E$10+1,1))</f>
        <v>267.78121291362345</v>
      </c>
      <c r="AO76" s="59">
        <f t="shared" si="90"/>
        <v>320.1780590861174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3.1074152619017008</v>
      </c>
      <c r="AV76" s="21">
        <f>EXP(-LN(2)/25)*AV75+(1-EXP(-LN(2)/25))/(LN(2)/25)*Calculateur!AQ76*Calculateur!AS76*VLOOKUP('Données projet'!$B$10,Paramètres!$A$1:$I$89,3,0)*0.475*44/12</f>
        <v>6.0908341245527353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9.1982493864544352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3.4</v>
      </c>
      <c r="BD76" s="12">
        <f>IF('Données projet'!$A$88&gt;35,BD75+BC76-BL75,IF(A76&lt;'Données projet'!$A$88,$BA$205^A76,IF(A76='Données projet'!$A$88,'Données projet'!$B$88,BD75+BC76-BL75)))</f>
        <v>197.19999999999996</v>
      </c>
      <c r="BE76" s="13">
        <f>BD76*VLOOKUP('Données projet'!$B$11,Paramètres!$A$1:$I$89,3,0)*VLOOKUP('Données projet'!$B$11,Paramètres!$A$1:$I$89,5,0)</f>
        <v>172.27391999999998</v>
      </c>
      <c r="BF76" s="13">
        <f t="shared" si="91"/>
        <v>43.598911513699605</v>
      </c>
      <c r="BG76" s="20">
        <f t="shared" si="61"/>
        <v>375.97851488636002</v>
      </c>
      <c r="BH76" s="59">
        <f t="shared" si="62"/>
        <v>669.31184821969327</v>
      </c>
      <c r="BI76" s="59">
        <f ca="1">AVERAGE(OFFSET($BH$3,0,0,'Données projet'!$E$11+1,1))-AVERAGE(OFFSET($H$3,0,0,'Données projet'!$E$11+1,1))</f>
        <v>212.82470567725971</v>
      </c>
      <c r="BJ76" s="59">
        <f t="shared" si="92"/>
        <v>196.91968622092054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0.43204591712697993</v>
      </c>
      <c r="BQ76" s="21">
        <f>EXP(-LN(2)/25)*BQ75+(1-EXP(-LN(2)/25))/(LN(2)/25)*Calculateur!BL76*Calculateur!BN76*VLOOKUP('Données projet'!$B$11,Paramètres!$A$1:$I$89,3,0)*0.475*44/12</f>
        <v>1.2396088907874956</v>
      </c>
      <c r="BR76" s="21">
        <f>EXP(-LN(2)/2)*BR75+(1-EXP(-LN(2)/2))/(LN(2)/2)*BL76*BO76*VLOOKUP('Données projet'!$B$11,Paramètres!$A$1:$I$89,3,0)*0.475*44/12</f>
        <v>0</v>
      </c>
      <c r="BS76" s="22">
        <f t="shared" si="63"/>
        <v>1.6716548079144755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25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34.632000000000019</v>
      </c>
      <c r="D77" s="11">
        <f t="shared" si="86"/>
        <v>10.564147302110397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348.88254057769444</v>
      </c>
      <c r="H77" s="67">
        <f t="shared" si="56"/>
        <v>372.04995655117563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17</v>
      </c>
      <c r="N77" s="13">
        <f>IF('Données projet'!$A$36&gt;35,N76+M77-V76,IF(A77&lt;'Données projet'!$A$36,$K$205^A77,IF(A77='Données projet'!$A$36,'Données projet'!$B$36,N76+M77-V76)))</f>
        <v>792.00000000000045</v>
      </c>
      <c r="O77" s="13">
        <f>N77*VLOOKUP('Données projet'!$B$9,Paramètres!$A$1:$I$89,3,0)*VLOOKUP('Données projet'!$B$9,Paramètres!$A$1:$I$89,5,0)</f>
        <v>319.17600000000022</v>
      </c>
      <c r="P77" s="13">
        <f t="shared" si="87"/>
        <v>75.181878718947743</v>
      </c>
      <c r="Q77" s="20">
        <f t="shared" si="54"/>
        <v>686.83997210216774</v>
      </c>
      <c r="R77" s="59">
        <f t="shared" si="55"/>
        <v>980.17330543550111</v>
      </c>
      <c r="S77" s="59">
        <f ca="1">AVERAGE(OFFSET($R$3,0,0,'Données projet'!$E$9+1,1))-AVERAGE(OFFSET($H$3,0,0,'Données projet'!$E$9+1,1))</f>
        <v>321.12254860105566</v>
      </c>
      <c r="T77" s="59">
        <f t="shared" si="88"/>
        <v>270.52026164274571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5.5251619756464558</v>
      </c>
      <c r="AA77" s="21">
        <f>EXP(-LN(2)/25)*AA76+(1-EXP(-LN(2)/25))/(LN(2)/25)*Calculateur!V77*Calculateur!X77*VLOOKUP('Données projet'!$B$9,Paramètres!$A$1:$I$89,3,0)*0.475*44/12</f>
        <v>6.0879163695666616</v>
      </c>
      <c r="AB77" s="21">
        <f>EXP(-LN(2)/2)*AB76+(1-EXP(-LN(2)/2))/(LN(2)/2)*V77*Y77*VLOOKUP('Données projet'!$B$9,Paramètres!$A$1:$I$89,3,0)*0.475*44/12</f>
        <v>0</v>
      </c>
      <c r="AC77" s="22">
        <f t="shared" si="57"/>
        <v>11.613078345213118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-3.4106051316484809E-13</v>
      </c>
      <c r="AJ77" s="13">
        <f>AI77*VLOOKUP('Données projet'!$B$10,Paramètres!$A$1:$I$89,3,0)*VLOOKUP('Données projet'!$B$10,Paramètres!$A$1:$I$89,5,0)</f>
        <v>-1.5961632016114892E-13</v>
      </c>
      <c r="AK77" s="13" t="e">
        <f t="shared" si="89"/>
        <v>#NUM!</v>
      </c>
      <c r="AL77" s="20" t="e">
        <f t="shared" si="58"/>
        <v>#NUM!</v>
      </c>
      <c r="AM77" s="59" t="e">
        <f t="shared" si="59"/>
        <v>#NUM!</v>
      </c>
      <c r="AN77" s="59">
        <f ca="1">AVERAGE(OFFSET($AM$3,0,0,'Données projet'!$E$10+1,1))-AVERAGE(OFFSET($H$3,0,0,'Données projet'!$E$10+1,1))</f>
        <v>267.78121291362345</v>
      </c>
      <c r="AO77" s="59">
        <f t="shared" si="90"/>
        <v>320.1780590861174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3.0464807439519692</v>
      </c>
      <c r="AV77" s="21">
        <f>EXP(-LN(2)/25)*AV76+(1-EXP(-LN(2)/25))/(LN(2)/25)*Calculateur!AQ77*Calculateur!AS77*VLOOKUP('Données projet'!$B$10,Paramètres!$A$1:$I$89,3,0)*0.475*44/12</f>
        <v>5.9242799451137946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8.970760689065763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3.4</v>
      </c>
      <c r="BD77" s="12">
        <f>IF('Données projet'!$A$88&gt;35,BD76+BC77-BL76,IF(A77&lt;'Données projet'!$A$88,$BA$205^A77,IF(A77='Données projet'!$A$88,'Données projet'!$B$88,BD76+BC77-BL76)))</f>
        <v>200.59999999999997</v>
      </c>
      <c r="BE77" s="13">
        <f>BD77*VLOOKUP('Données projet'!$B$11,Paramètres!$A$1:$I$89,3,0)*VLOOKUP('Données projet'!$B$11,Paramètres!$A$1:$I$89,5,0)</f>
        <v>175.24415999999999</v>
      </c>
      <c r="BF77" s="13">
        <f t="shared" si="91"/>
        <v>44.262456119927037</v>
      </c>
      <c r="BG77" s="20">
        <f t="shared" si="61"/>
        <v>382.30735640887292</v>
      </c>
      <c r="BH77" s="59">
        <f t="shared" si="62"/>
        <v>675.64068974220618</v>
      </c>
      <c r="BI77" s="59">
        <f ca="1">AVERAGE(OFFSET($BH$3,0,0,'Données projet'!$E$11+1,1))-AVERAGE(OFFSET($H$3,0,0,'Données projet'!$E$11+1,1))</f>
        <v>212.82470567725971</v>
      </c>
      <c r="BJ77" s="59">
        <f t="shared" si="92"/>
        <v>196.91968622092054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0.42357376021410864</v>
      </c>
      <c r="BQ77" s="21">
        <f>EXP(-LN(2)/25)*BQ76+(1-EXP(-LN(2)/25))/(LN(2)/25)*Calculateur!BL77*Calculateur!BN77*VLOOKUP('Données projet'!$B$11,Paramètres!$A$1:$I$89,3,0)*0.475*44/12</f>
        <v>1.2057117204807131</v>
      </c>
      <c r="BR77" s="21">
        <f>EXP(-LN(2)/2)*BR76+(1-EXP(-LN(2)/2))/(LN(2)/2)*BL77*BO77*VLOOKUP('Données projet'!$B$11,Paramètres!$A$1:$I$89,3,0)*0.475*44/12</f>
        <v>0</v>
      </c>
      <c r="BS77" s="22">
        <f t="shared" si="63"/>
        <v>1.6292854806948216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25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35.100000000000023</v>
      </c>
      <c r="D78" s="11">
        <f t="shared" si="86"/>
        <v>10.690190217926903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353.46813501557631</v>
      </c>
      <c r="H78" s="67">
        <f t="shared" si="56"/>
        <v>373.08458129622272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>
        <f>VLOOKUP(A78,'Données projet'!$A$35:$I$55,2,0)</f>
        <v>809</v>
      </c>
      <c r="L78" s="12">
        <f>VLOOKUP(A78,'Données projet'!$A$35:$I$55,9,0)</f>
        <v>17</v>
      </c>
      <c r="M78" s="12">
        <f t="array" ref="M78">INDEX(L:L,MIN(IF(ISNUMBER(L78:L274),ROW(L78:L274),"")))</f>
        <v>17</v>
      </c>
      <c r="N78" s="13">
        <f>IF('Données projet'!$A$36&gt;35,N77+M78-V77,IF(A78&lt;'Données projet'!$A$36,$K$205^A78,IF(A78='Données projet'!$A$36,'Données projet'!$B$36,N77+M78-V77)))</f>
        <v>809.00000000000045</v>
      </c>
      <c r="O78" s="13">
        <f>N78*VLOOKUP('Données projet'!$B$9,Paramètres!$A$1:$I$89,3,0)*VLOOKUP('Données projet'!$B$9,Paramètres!$A$1:$I$89,5,0)</f>
        <v>326.02700000000016</v>
      </c>
      <c r="P78" s="13">
        <f t="shared" si="87"/>
        <v>76.606023141116538</v>
      </c>
      <c r="Q78" s="20">
        <f t="shared" si="54"/>
        <v>701.25251530411163</v>
      </c>
      <c r="R78" s="59">
        <f t="shared" si="55"/>
        <v>994.585848637445</v>
      </c>
      <c r="S78" s="59">
        <f ca="1">AVERAGE(OFFSET($R$3,0,0,'Données projet'!$E$9+1,1))-AVERAGE(OFFSET($H$3,0,0,'Données projet'!$E$9+1,1))</f>
        <v>321.12254860105566</v>
      </c>
      <c r="T78" s="59">
        <f t="shared" si="88"/>
        <v>270.52026164274571</v>
      </c>
      <c r="U78" s="15">
        <f>IF(ISNA(VLOOKUP(A78,'Données projet'!$A$35:$I$55,3,0)),0,VLOOKUP(A78,'Données projet'!$A$35:$I$55,3,0))</f>
        <v>12</v>
      </c>
      <c r="V78" s="15">
        <f>IF(ISNA(VLOOKUP(A78,'Données projet'!$A$35:$I$55,4,0)),0,VLOOKUP(A78,'Données projet'!$A$35:$I$55,4,0))</f>
        <v>47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5.4168169193200724</v>
      </c>
      <c r="AA78" s="21">
        <f>EXP(-LN(2)/25)*AA77+(1-EXP(-LN(2)/25))/(LN(2)/25)*Calculateur!V78*Calculateur!X78*VLOOKUP('Données projet'!$B$9,Paramètres!$A$1:$I$89,3,0)*0.475*44/12</f>
        <v>5.9214419762912538</v>
      </c>
      <c r="AB78" s="21">
        <f>EXP(-LN(2)/2)*AB77+(1-EXP(-LN(2)/2))/(LN(2)/2)*V78*Y78*VLOOKUP('Données projet'!$B$9,Paramètres!$A$1:$I$89,3,0)*0.475*44/12</f>
        <v>0</v>
      </c>
      <c r="AC78" s="22">
        <f t="shared" si="57"/>
        <v>11.338258895611325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-3.4106051316484809E-13</v>
      </c>
      <c r="AJ78" s="13">
        <f>AI78*VLOOKUP('Données projet'!$B$10,Paramètres!$A$1:$I$89,3,0)*VLOOKUP('Données projet'!$B$10,Paramètres!$A$1:$I$89,5,0)</f>
        <v>-1.5961632016114892E-13</v>
      </c>
      <c r="AK78" s="13" t="e">
        <f t="shared" si="89"/>
        <v>#NUM!</v>
      </c>
      <c r="AL78" s="20" t="e">
        <f t="shared" si="58"/>
        <v>#NUM!</v>
      </c>
      <c r="AM78" s="59" t="e">
        <f t="shared" si="59"/>
        <v>#NUM!</v>
      </c>
      <c r="AN78" s="59">
        <f ca="1">AVERAGE(OFFSET($AM$3,0,0,'Données projet'!$E$10+1,1))-AVERAGE(OFFSET($H$3,0,0,'Données projet'!$E$10+1,1))</f>
        <v>267.78121291362345</v>
      </c>
      <c r="AO78" s="59">
        <f t="shared" si="90"/>
        <v>320.1780590861174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2.9867411147328458</v>
      </c>
      <c r="AV78" s="21">
        <f>EXP(-LN(2)/25)*AV77+(1-EXP(-LN(2)/25))/(LN(2)/25)*Calculateur!AQ78*Calculateur!AS78*VLOOKUP('Données projet'!$B$10,Paramètres!$A$1:$I$89,3,0)*0.475*44/12</f>
        <v>5.7622801984703154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8.749021313203162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>
        <f>VLOOKUP(A78,'Données projet'!$A$87:$I$107,2,0)</f>
        <v>204</v>
      </c>
      <c r="BB78" s="12">
        <f>VLOOKUP(A78,'Données projet'!$A$87:$I$107,9,0)</f>
        <v>3.4</v>
      </c>
      <c r="BC78" s="12">
        <f t="array" ref="BC78">INDEX(BB:BB,MIN(IF(ISNUMBER(BB78:BB274),ROW(BB78:BB274),"")))</f>
        <v>3.4</v>
      </c>
      <c r="BD78" s="12">
        <f>IF('Données projet'!$A$88&gt;35,BD77+BC78-BL77,IF(A78&lt;'Données projet'!$A$88,$BA$205^A78,IF(A78='Données projet'!$A$88,'Données projet'!$B$88,BD77+BC78-BL77)))</f>
        <v>203.99999999999997</v>
      </c>
      <c r="BE78" s="13">
        <f>BD78*VLOOKUP('Données projet'!$B$11,Paramètres!$A$1:$I$89,3,0)*VLOOKUP('Données projet'!$B$11,Paramètres!$A$1:$I$89,5,0)</f>
        <v>178.21440000000001</v>
      </c>
      <c r="BF78" s="13">
        <f t="shared" si="91"/>
        <v>44.924692855664368</v>
      </c>
      <c r="BG78" s="20">
        <f t="shared" si="61"/>
        <v>388.63392005694874</v>
      </c>
      <c r="BH78" s="59">
        <f t="shared" si="62"/>
        <v>681.96725339028205</v>
      </c>
      <c r="BI78" s="59">
        <f ca="1">AVERAGE(OFFSET($BH$3,0,0,'Données projet'!$E$11+1,1))-AVERAGE(OFFSET($H$3,0,0,'Données projet'!$E$11+1,1))</f>
        <v>212.82470567725971</v>
      </c>
      <c r="BJ78" s="59">
        <f t="shared" si="92"/>
        <v>196.91968622092054</v>
      </c>
      <c r="BK78" s="15">
        <f>IF(ISNA(VLOOKUP(A78,'Données projet'!$A$87:$I$107,3,0)),0,VLOOKUP(A78,'Données projet'!$A$87:$I$107,3,0))</f>
        <v>12</v>
      </c>
      <c r="BL78" s="15">
        <f>IF(ISNA(VLOOKUP(A78,'Données projet'!$A$87:$I$107,4,0)),0,VLOOKUP(A78,'Données projet'!$A$87:$I$107,4,0))</f>
        <v>12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0.41526773713079329</v>
      </c>
      <c r="BQ78" s="21">
        <f>EXP(-LN(2)/25)*BQ77+(1-EXP(-LN(2)/25))/(LN(2)/25)*Calculateur!BL78*Calculateur!BN78*VLOOKUP('Données projet'!$B$11,Paramètres!$A$1:$I$89,3,0)*0.475*44/12</f>
        <v>1.1727414700785443</v>
      </c>
      <c r="BR78" s="21">
        <f>EXP(-LN(2)/2)*BR77+(1-EXP(-LN(2)/2))/(LN(2)/2)*BL78*BO78*VLOOKUP('Données projet'!$B$11,Paramètres!$A$1:$I$89,3,0)*0.475*44/12</f>
        <v>0</v>
      </c>
      <c r="BS78" s="22">
        <f t="shared" si="63"/>
        <v>1.5880092072093377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25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35.568000000000026</v>
      </c>
      <c r="D79" s="11">
        <f t="shared" si="86"/>
        <v>10.816037660735214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358.05222053900889</v>
      </c>
      <c r="H79" s="67">
        <f t="shared" si="56"/>
        <v>374.11886559244721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15.6</v>
      </c>
      <c r="N79" s="13">
        <f>IF('Données projet'!$A$36&gt;35,N78+M79-V78,IF(A79&lt;'Données projet'!$A$36,$K$205^A79,IF(A79='Données projet'!$A$36,'Données projet'!$B$36,N78+M79-V78)))</f>
        <v>777.60000000000048</v>
      </c>
      <c r="O79" s="13">
        <f>N79*VLOOKUP('Données projet'!$B$9,Paramètres!$A$1:$I$89,3,0)*VLOOKUP('Données projet'!$B$9,Paramètres!$A$1:$I$89,5,0)</f>
        <v>313.37280000000021</v>
      </c>
      <c r="P79" s="13">
        <f t="shared" si="87"/>
        <v>73.972760827003711</v>
      </c>
      <c r="Q79" s="20">
        <f t="shared" si="54"/>
        <v>674.62685177369838</v>
      </c>
      <c r="R79" s="59">
        <f t="shared" si="55"/>
        <v>967.96018510703175</v>
      </c>
      <c r="S79" s="59">
        <f ca="1">AVERAGE(OFFSET($R$3,0,0,'Données projet'!$E$9+1,1))-AVERAGE(OFFSET($H$3,0,0,'Données projet'!$E$9+1,1))</f>
        <v>321.12254860105566</v>
      </c>
      <c r="T79" s="59">
        <f t="shared" si="88"/>
        <v>270.52026164274571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5.3105964434642905</v>
      </c>
      <c r="AA79" s="21">
        <f>EXP(-LN(2)/25)*AA78+(1-EXP(-LN(2)/25))/(LN(2)/25)*Calculateur!V79*Calculateur!X79*VLOOKUP('Données projet'!$B$9,Paramètres!$A$1:$I$89,3,0)*0.475*44/12</f>
        <v>5.75951983405447</v>
      </c>
      <c r="AB79" s="21">
        <f>EXP(-LN(2)/2)*AB78+(1-EXP(-LN(2)/2))/(LN(2)/2)*V79*Y79*VLOOKUP('Données projet'!$B$9,Paramètres!$A$1:$I$89,3,0)*0.475*44/12</f>
        <v>0</v>
      </c>
      <c r="AC79" s="22">
        <f t="shared" si="57"/>
        <v>11.07011627751876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-3.4106051316484809E-13</v>
      </c>
      <c r="AJ79" s="13">
        <f>AI79*VLOOKUP('Données projet'!$B$10,Paramètres!$A$1:$I$89,3,0)*VLOOKUP('Données projet'!$B$10,Paramètres!$A$1:$I$89,5,0)</f>
        <v>-1.5961632016114892E-13</v>
      </c>
      <c r="AK79" s="13" t="e">
        <f t="shared" si="89"/>
        <v>#NUM!</v>
      </c>
      <c r="AL79" s="20" t="e">
        <f t="shared" si="58"/>
        <v>#NUM!</v>
      </c>
      <c r="AM79" s="59" t="e">
        <f t="shared" si="59"/>
        <v>#NUM!</v>
      </c>
      <c r="AN79" s="59">
        <f ca="1">AVERAGE(OFFSET($AM$3,0,0,'Données projet'!$E$10+1,1))-AVERAGE(OFFSET($H$3,0,0,'Données projet'!$E$10+1,1))</f>
        <v>267.78121291362345</v>
      </c>
      <c r="AO79" s="59">
        <f t="shared" si="90"/>
        <v>320.1780590861174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2.9281729432051335</v>
      </c>
      <c r="AV79" s="21">
        <f>EXP(-LN(2)/25)*AV78+(1-EXP(-LN(2)/25))/(LN(2)/25)*Calculateur!AQ79*Calculateur!AS79*VLOOKUP('Données projet'!$B$10,Paramètres!$A$1:$I$89,3,0)*0.475*44/12</f>
        <v>5.6047103434179988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8.5328832866231323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3.2</v>
      </c>
      <c r="BD79" s="12">
        <f>IF('Données projet'!$A$88&gt;35,BD78+BC79-BL78,IF(A79&lt;'Données projet'!$A$88,$BA$205^A79,IF(A79='Données projet'!$A$88,'Données projet'!$B$88,BD78+BC79-BL78)))</f>
        <v>195.19999999999996</v>
      </c>
      <c r="BE79" s="13">
        <f>BD79*VLOOKUP('Données projet'!$B$11,Paramètres!$A$1:$I$89,3,0)*VLOOKUP('Données projet'!$B$11,Paramètres!$A$1:$I$89,5,0)</f>
        <v>170.52671999999998</v>
      </c>
      <c r="BF79" s="13">
        <f t="shared" si="91"/>
        <v>43.207970095682747</v>
      </c>
      <c r="BG79" s="20">
        <f t="shared" si="61"/>
        <v>372.25458524998072</v>
      </c>
      <c r="BH79" s="59">
        <f t="shared" si="62"/>
        <v>665.58791858331404</v>
      </c>
      <c r="BI79" s="59">
        <f ca="1">AVERAGE(OFFSET($BH$3,0,0,'Données projet'!$E$11+1,1))-AVERAGE(OFFSET($H$3,0,0,'Données projet'!$E$11+1,1))</f>
        <v>212.82470567725971</v>
      </c>
      <c r="BJ79" s="59">
        <f t="shared" si="92"/>
        <v>196.91968622092054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0.40712459009396795</v>
      </c>
      <c r="BQ79" s="21">
        <f>EXP(-LN(2)/25)*BQ78+(1-EXP(-LN(2)/25))/(LN(2)/25)*Calculateur!BL79*Calculateur!BN79*VLOOKUP('Données projet'!$B$11,Paramètres!$A$1:$I$89,3,0)*0.475*44/12</f>
        <v>1.1406727929074529</v>
      </c>
      <c r="BR79" s="21">
        <f>EXP(-LN(2)/2)*BR78+(1-EXP(-LN(2)/2))/(LN(2)/2)*BL79*BO79*VLOOKUP('Données projet'!$B$11,Paramètres!$A$1:$I$89,3,0)*0.475*44/12</f>
        <v>0</v>
      </c>
      <c r="BS79" s="22">
        <f t="shared" si="63"/>
        <v>1.5477973830014209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25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36.03600000000003</v>
      </c>
      <c r="D80" s="11">
        <f t="shared" si="86"/>
        <v>10.941692499899752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362.63481929747201</v>
      </c>
      <c r="H80" s="67">
        <f t="shared" si="56"/>
        <v>375.15281443732545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15.6</v>
      </c>
      <c r="N80" s="13">
        <f>IF('Données projet'!$A$36&gt;35,N79+M80-V79,IF(A80&lt;'Données projet'!$A$36,$K$205^A80,IF(A80='Données projet'!$A$36,'Données projet'!$B$36,N79+M80-V79)))</f>
        <v>793.2000000000005</v>
      </c>
      <c r="O80" s="13">
        <f>N80*VLOOKUP('Données projet'!$B$9,Paramètres!$A$1:$I$89,3,0)*VLOOKUP('Données projet'!$B$9,Paramètres!$A$1:$I$89,5,0)</f>
        <v>319.65960000000024</v>
      </c>
      <c r="P80" s="13">
        <f t="shared" si="87"/>
        <v>75.282522436153386</v>
      </c>
      <c r="Q80" s="20">
        <f t="shared" si="54"/>
        <v>687.8575299096342</v>
      </c>
      <c r="R80" s="59">
        <f t="shared" si="55"/>
        <v>981.19086324296745</v>
      </c>
      <c r="S80" s="59">
        <f ca="1">AVERAGE(OFFSET($R$3,0,0,'Données projet'!$E$9+1,1))-AVERAGE(OFFSET($H$3,0,0,'Données projet'!$E$9+1,1))</f>
        <v>321.12254860105566</v>
      </c>
      <c r="T80" s="59">
        <f t="shared" si="88"/>
        <v>270.52026164274571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5.206458886351947</v>
      </c>
      <c r="AA80" s="21">
        <f>EXP(-LN(2)/25)*AA79+(1-EXP(-LN(2)/25))/(LN(2)/25)*Calculateur!V80*Calculateur!X80*VLOOKUP('Données projet'!$B$9,Paramètres!$A$1:$I$89,3,0)*0.475*44/12</f>
        <v>5.602025461312266</v>
      </c>
      <c r="AB80" s="21">
        <f>EXP(-LN(2)/2)*AB79+(1-EXP(-LN(2)/2))/(LN(2)/2)*V80*Y80*VLOOKUP('Données projet'!$B$9,Paramètres!$A$1:$I$89,3,0)*0.475*44/12</f>
        <v>0</v>
      </c>
      <c r="AC80" s="22">
        <f t="shared" si="57"/>
        <v>10.808484347664212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-3.4106051316484809E-13</v>
      </c>
      <c r="AJ80" s="13">
        <f>AI80*VLOOKUP('Données projet'!$B$10,Paramètres!$A$1:$I$89,3,0)*VLOOKUP('Données projet'!$B$10,Paramètres!$A$1:$I$89,5,0)</f>
        <v>-1.5961632016114892E-13</v>
      </c>
      <c r="AK80" s="13" t="e">
        <f t="shared" si="89"/>
        <v>#NUM!</v>
      </c>
      <c r="AL80" s="20" t="e">
        <f t="shared" si="58"/>
        <v>#NUM!</v>
      </c>
      <c r="AM80" s="59" t="e">
        <f t="shared" si="59"/>
        <v>#NUM!</v>
      </c>
      <c r="AN80" s="59">
        <f ca="1">AVERAGE(OFFSET($AM$3,0,0,'Données projet'!$E$10+1,1))-AVERAGE(OFFSET($H$3,0,0,'Données projet'!$E$10+1,1))</f>
        <v>267.78121291362345</v>
      </c>
      <c r="AO80" s="59">
        <f t="shared" si="90"/>
        <v>320.1780590861174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2.8707532577980226</v>
      </c>
      <c r="AV80" s="21">
        <f>EXP(-LN(2)/25)*AV79+(1-EXP(-LN(2)/25))/(LN(2)/25)*Calculateur!AQ80*Calculateur!AS80*VLOOKUP('Données projet'!$B$10,Paramètres!$A$1:$I$89,3,0)*0.475*44/12</f>
        <v>5.4514492443383267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8.3222025021363493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3.2</v>
      </c>
      <c r="BD80" s="12">
        <f>IF('Données projet'!$A$88&gt;35,BD79+BC80-BL79,IF(A80&lt;'Données projet'!$A$88,$BA$205^A80,IF(A80='Données projet'!$A$88,'Données projet'!$B$88,BD79+BC80-BL79)))</f>
        <v>198.39999999999995</v>
      </c>
      <c r="BE80" s="13">
        <f>BD80*VLOOKUP('Données projet'!$B$11,Paramètres!$A$1:$I$89,3,0)*VLOOKUP('Données projet'!$B$11,Paramètres!$A$1:$I$89,5,0)</f>
        <v>173.32223999999999</v>
      </c>
      <c r="BF80" s="13">
        <f t="shared" si="91"/>
        <v>43.833254629845122</v>
      </c>
      <c r="BG80" s="20">
        <f t="shared" si="61"/>
        <v>378.2124864803136</v>
      </c>
      <c r="BH80" s="59">
        <f t="shared" si="62"/>
        <v>671.54581981364686</v>
      </c>
      <c r="BI80" s="59">
        <f ca="1">AVERAGE(OFFSET($BH$3,0,0,'Données projet'!$E$11+1,1))-AVERAGE(OFFSET($H$3,0,0,'Données projet'!$E$11+1,1))</f>
        <v>212.82470567725971</v>
      </c>
      <c r="BJ80" s="59">
        <f t="shared" si="92"/>
        <v>196.91968622092054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0.39914112520370548</v>
      </c>
      <c r="BQ80" s="21">
        <f>EXP(-LN(2)/25)*BQ79+(1-EXP(-LN(2)/25))/(LN(2)/25)*Calculateur!BL80*Calculateur!BN80*VLOOKUP('Données projet'!$B$11,Paramètres!$A$1:$I$89,3,0)*0.475*44/12</f>
        <v>1.1094810354000235</v>
      </c>
      <c r="BR80" s="21">
        <f>EXP(-LN(2)/2)*BR79+(1-EXP(-LN(2)/2))/(LN(2)/2)*BL80*BO80*VLOOKUP('Données projet'!$B$11,Paramètres!$A$1:$I$89,3,0)*0.475*44/12</f>
        <v>0</v>
      </c>
      <c r="BS80" s="22">
        <f t="shared" si="63"/>
        <v>1.5086221606037289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25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36.504000000000033</v>
      </c>
      <c r="D81" s="11">
        <f t="shared" si="86"/>
        <v>11.067157525971385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367.21595283206005</v>
      </c>
      <c r="H81" s="67">
        <f t="shared" si="56"/>
        <v>376.18643269106684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15.6</v>
      </c>
      <c r="N81" s="13">
        <f>IF('Données projet'!$A$36&gt;35,N80+M81-V80,IF(A81&lt;'Données projet'!$A$36,$K$205^A81,IF(A81='Données projet'!$A$36,'Données projet'!$B$36,N80+M81-V80)))</f>
        <v>808.80000000000052</v>
      </c>
      <c r="O81" s="13">
        <f>N81*VLOOKUP('Données projet'!$B$9,Paramètres!$A$1:$I$89,3,0)*VLOOKUP('Données projet'!$B$9,Paramètres!$A$1:$I$89,5,0)</f>
        <v>325.94640000000021</v>
      </c>
      <c r="P81" s="13">
        <f t="shared" si="87"/>
        <v>76.589288887456121</v>
      </c>
      <c r="Q81" s="20">
        <f t="shared" si="54"/>
        <v>701.0829914789864</v>
      </c>
      <c r="R81" s="59">
        <f t="shared" si="55"/>
        <v>994.41632481231977</v>
      </c>
      <c r="S81" s="59">
        <f ca="1">AVERAGE(OFFSET($R$3,0,0,'Données projet'!$E$9+1,1))-AVERAGE(OFFSET($H$3,0,0,'Données projet'!$E$9+1,1))</f>
        <v>321.12254860105566</v>
      </c>
      <c r="T81" s="59">
        <f t="shared" si="88"/>
        <v>270.52026164274571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5.1043634032169392</v>
      </c>
      <c r="AA81" s="21">
        <f>EXP(-LN(2)/25)*AA80+(1-EXP(-LN(2)/25))/(LN(2)/25)*Calculateur!V81*Calculateur!X81*VLOOKUP('Données projet'!$B$9,Paramètres!$A$1:$I$89,3,0)*0.475*44/12</f>
        <v>5.4488377804749666</v>
      </c>
      <c r="AB81" s="21">
        <f>EXP(-LN(2)/2)*AB80+(1-EXP(-LN(2)/2))/(LN(2)/2)*V81*Y81*VLOOKUP('Données projet'!$B$9,Paramètres!$A$1:$I$89,3,0)*0.475*44/12</f>
        <v>0</v>
      </c>
      <c r="AC81" s="22">
        <f t="shared" si="57"/>
        <v>10.553201183691906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-3.4106051316484809E-13</v>
      </c>
      <c r="AJ81" s="13">
        <f>AI81*VLOOKUP('Données projet'!$B$10,Paramètres!$A$1:$I$89,3,0)*VLOOKUP('Données projet'!$B$10,Paramètres!$A$1:$I$89,5,0)</f>
        <v>-1.5961632016114892E-13</v>
      </c>
      <c r="AK81" s="13" t="e">
        <f t="shared" si="89"/>
        <v>#NUM!</v>
      </c>
      <c r="AL81" s="20" t="e">
        <f t="shared" si="58"/>
        <v>#NUM!</v>
      </c>
      <c r="AM81" s="59" t="e">
        <f t="shared" si="59"/>
        <v>#NUM!</v>
      </c>
      <c r="AN81" s="59">
        <f ca="1">AVERAGE(OFFSET($AM$3,0,0,'Données projet'!$E$10+1,1))-AVERAGE(OFFSET($H$3,0,0,'Données projet'!$E$10+1,1))</f>
        <v>267.78121291362345</v>
      </c>
      <c r="AO81" s="59">
        <f t="shared" si="90"/>
        <v>320.1780590861174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2.8144595373991952</v>
      </c>
      <c r="AV81" s="21">
        <f>EXP(-LN(2)/25)*AV80+(1-EXP(-LN(2)/25))/(LN(2)/25)*Calculateur!AQ81*Calculateur!AS81*VLOOKUP('Données projet'!$B$10,Paramètres!$A$1:$I$89,3,0)*0.475*44/12</f>
        <v>5.3023790780726392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8.1168386154718348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3.2</v>
      </c>
      <c r="BD81" s="12">
        <f>IF('Données projet'!$A$88&gt;35,BD80+BC81-BL80,IF(A81&lt;'Données projet'!$A$88,$BA$205^A81,IF(A81='Données projet'!$A$88,'Données projet'!$B$88,BD80+BC81-BL80)))</f>
        <v>201.59999999999994</v>
      </c>
      <c r="BE81" s="13">
        <f>BD81*VLOOKUP('Données projet'!$B$11,Paramètres!$A$1:$I$89,3,0)*VLOOKUP('Données projet'!$B$11,Paramètres!$A$1:$I$89,5,0)</f>
        <v>176.11775999999998</v>
      </c>
      <c r="BF81" s="13">
        <f t="shared" si="91"/>
        <v>44.457366290237204</v>
      </c>
      <c r="BG81" s="20">
        <f t="shared" si="61"/>
        <v>384.16834495549637</v>
      </c>
      <c r="BH81" s="59">
        <f t="shared" si="62"/>
        <v>677.50167828882968</v>
      </c>
      <c r="BI81" s="59">
        <f ca="1">AVERAGE(OFFSET($BH$3,0,0,'Données projet'!$E$11+1,1))-AVERAGE(OFFSET($H$3,0,0,'Données projet'!$E$11+1,1))</f>
        <v>212.82470567725971</v>
      </c>
      <c r="BJ81" s="59">
        <f t="shared" si="92"/>
        <v>196.91968622092054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0.3913142111905083</v>
      </c>
      <c r="BQ81" s="21">
        <f>EXP(-LN(2)/25)*BQ80+(1-EXP(-LN(2)/25))/(LN(2)/25)*Calculateur!BL81*Calculateur!BN81*VLOOKUP('Données projet'!$B$11,Paramètres!$A$1:$I$89,3,0)*0.475*44/12</f>
        <v>1.0791422181419379</v>
      </c>
      <c r="BR81" s="21">
        <f>EXP(-LN(2)/2)*BR80+(1-EXP(-LN(2)/2))/(LN(2)/2)*BL81*BO81*VLOOKUP('Données projet'!$B$11,Paramètres!$A$1:$I$89,3,0)*0.475*44/12</f>
        <v>0</v>
      </c>
      <c r="BS81" s="22">
        <f t="shared" si="63"/>
        <v>1.4704564293324462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25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36.972000000000037</v>
      </c>
      <c r="D82" s="11">
        <f t="shared" si="86"/>
        <v>11.192435453834337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371.79564209977411</v>
      </c>
      <c r="H82" s="67">
        <f t="shared" si="56"/>
        <v>377.21972508209484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15.6</v>
      </c>
      <c r="N82" s="13">
        <f>IF('Données projet'!$A$36&gt;35,N81+M82-V81,IF(A82&lt;'Données projet'!$A$36,$K$205^A82,IF(A82='Données projet'!$A$36,'Données projet'!$B$36,N81+M82-V81)))</f>
        <v>824.40000000000055</v>
      </c>
      <c r="O82" s="13">
        <f>N82*VLOOKUP('Données projet'!$B$9,Paramètres!$A$1:$I$89,3,0)*VLOOKUP('Données projet'!$B$9,Paramètres!$A$1:$I$89,5,0)</f>
        <v>332.23320000000024</v>
      </c>
      <c r="P82" s="13">
        <f t="shared" si="87"/>
        <v>77.893124611174727</v>
      </c>
      <c r="Q82" s="20">
        <f t="shared" si="54"/>
        <v>714.30334869779642</v>
      </c>
      <c r="R82" s="59">
        <f t="shared" si="55"/>
        <v>1007.6366820311298</v>
      </c>
      <c r="S82" s="59">
        <f ca="1">AVERAGE(OFFSET($R$3,0,0,'Données projet'!$E$9+1,1))-AVERAGE(OFFSET($H$3,0,0,'Données projet'!$E$9+1,1))</f>
        <v>321.12254860105566</v>
      </c>
      <c r="T82" s="59">
        <f t="shared" si="88"/>
        <v>270.52026164274571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5.0042699502341126</v>
      </c>
      <c r="AA82" s="21">
        <f>EXP(-LN(2)/25)*AA81+(1-EXP(-LN(2)/25))/(LN(2)/25)*Calculateur!V82*Calculateur!X82*VLOOKUP('Données projet'!$B$9,Paramètres!$A$1:$I$89,3,0)*0.475*44/12</f>
        <v>5.2998390248259533</v>
      </c>
      <c r="AB82" s="21">
        <f>EXP(-LN(2)/2)*AB81+(1-EXP(-LN(2)/2))/(LN(2)/2)*V82*Y82*VLOOKUP('Données projet'!$B$9,Paramètres!$A$1:$I$89,3,0)*0.475*44/12</f>
        <v>0</v>
      </c>
      <c r="AC82" s="22">
        <f t="shared" si="57"/>
        <v>10.304108975060066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-3.4106051316484809E-13</v>
      </c>
      <c r="AJ82" s="13">
        <f>AI82*VLOOKUP('Données projet'!$B$10,Paramètres!$A$1:$I$89,3,0)*VLOOKUP('Données projet'!$B$10,Paramètres!$A$1:$I$89,5,0)</f>
        <v>-1.5961632016114892E-13</v>
      </c>
      <c r="AK82" s="13" t="e">
        <f t="shared" si="89"/>
        <v>#NUM!</v>
      </c>
      <c r="AL82" s="20" t="e">
        <f t="shared" si="58"/>
        <v>#NUM!</v>
      </c>
      <c r="AM82" s="59" t="e">
        <f t="shared" si="59"/>
        <v>#NUM!</v>
      </c>
      <c r="AN82" s="59">
        <f ca="1">AVERAGE(OFFSET($AM$3,0,0,'Données projet'!$E$10+1,1))-AVERAGE(OFFSET($H$3,0,0,'Données projet'!$E$10+1,1))</f>
        <v>267.78121291362345</v>
      </c>
      <c r="AO82" s="59">
        <f t="shared" si="90"/>
        <v>320.1780590861174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2.7592697025216095</v>
      </c>
      <c r="AV82" s="21">
        <f>EXP(-LN(2)/25)*AV81+(1-EXP(-LN(2)/25))/(LN(2)/25)*Calculateur!AQ82*Calculateur!AS82*VLOOKUP('Données projet'!$B$10,Paramètres!$A$1:$I$89,3,0)*0.475*44/12</f>
        <v>5.1573852433427456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7.9166549458643551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3.2</v>
      </c>
      <c r="BD82" s="12">
        <f>IF('Données projet'!$A$88&gt;35,BD81+BC82-BL81,IF(A82&lt;'Données projet'!$A$88,$BA$205^A82,IF(A82='Données projet'!$A$88,'Données projet'!$B$88,BD81+BC82-BL81)))</f>
        <v>204.79999999999993</v>
      </c>
      <c r="BE82" s="13">
        <f>BD82*VLOOKUP('Données projet'!$B$11,Paramètres!$A$1:$I$89,3,0)*VLOOKUP('Données projet'!$B$11,Paramètres!$A$1:$I$89,5,0)</f>
        <v>178.91327999999996</v>
      </c>
      <c r="BF82" s="13">
        <f t="shared" si="91"/>
        <v>45.080325843494805</v>
      </c>
      <c r="BG82" s="20">
        <f t="shared" si="61"/>
        <v>390.12219684408677</v>
      </c>
      <c r="BH82" s="59">
        <f t="shared" si="62"/>
        <v>683.45553017742009</v>
      </c>
      <c r="BI82" s="59">
        <f ca="1">AVERAGE(OFFSET($BH$3,0,0,'Données projet'!$E$11+1,1))-AVERAGE(OFFSET($H$3,0,0,'Données projet'!$E$11+1,1))</f>
        <v>212.82470567725971</v>
      </c>
      <c r="BJ82" s="59">
        <f t="shared" si="92"/>
        <v>196.91968622092054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0.38364077818716374</v>
      </c>
      <c r="BQ82" s="21">
        <f>EXP(-LN(2)/25)*BQ81+(1-EXP(-LN(2)/25))/(LN(2)/25)*Calculateur!BL82*Calculateur!BN82*VLOOKUP('Données projet'!$B$11,Paramètres!$A$1:$I$89,3,0)*0.475*44/12</f>
        <v>1.0496330174372237</v>
      </c>
      <c r="BR82" s="21">
        <f>EXP(-LN(2)/2)*BR81+(1-EXP(-LN(2)/2))/(LN(2)/2)*BL82*BO82*VLOOKUP('Données projet'!$B$11,Paramètres!$A$1:$I$89,3,0)*0.475*44/12</f>
        <v>0</v>
      </c>
      <c r="BS82" s="22">
        <f t="shared" si="63"/>
        <v>1.4332737956243875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25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37.44000000000004</v>
      </c>
      <c r="D83" s="11">
        <f t="shared" si="86"/>
        <v>11.317528925689196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376.37390749654855</v>
      </c>
      <c r="H83" s="67">
        <f t="shared" si="56"/>
        <v>378.25269621224209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>
        <f>VLOOKUP(A83,'Données projet'!$A$35:$I$55,2,0)</f>
        <v>840</v>
      </c>
      <c r="L83" s="12">
        <f>VLOOKUP(A83,'Données projet'!$A$35:$I$55,9,0)</f>
        <v>15.6</v>
      </c>
      <c r="M83" s="12">
        <f t="array" ref="M83">INDEX(L:L,MIN(IF(ISNUMBER(L83:L279),ROW(L83:L279),"")))</f>
        <v>15.6</v>
      </c>
      <c r="N83" s="13">
        <f>IF('Données projet'!$A$36&gt;35,N82+M83-V82,IF(A83&lt;'Données projet'!$A$36,$K$205^A83,IF(A83='Données projet'!$A$36,'Données projet'!$B$36,N82+M83-V82)))</f>
        <v>840.00000000000057</v>
      </c>
      <c r="O83" s="13">
        <f>N83*VLOOKUP('Données projet'!$B$9,Paramètres!$A$1:$I$89,3,0)*VLOOKUP('Données projet'!$B$9,Paramètres!$A$1:$I$89,5,0)</f>
        <v>338.52000000000021</v>
      </c>
      <c r="P83" s="13">
        <f t="shared" si="87"/>
        <v>79.194091459626776</v>
      </c>
      <c r="Q83" s="20">
        <f t="shared" si="54"/>
        <v>727.51870929218364</v>
      </c>
      <c r="R83" s="59">
        <f t="shared" si="55"/>
        <v>1020.852042625517</v>
      </c>
      <c r="S83" s="59">
        <f ca="1">AVERAGE(OFFSET($R$3,0,0,'Données projet'!$E$9+1,1))-AVERAGE(OFFSET($H$3,0,0,'Données projet'!$E$9+1,1))</f>
        <v>321.12254860105566</v>
      </c>
      <c r="T83" s="59">
        <f t="shared" si="88"/>
        <v>270.52026164274571</v>
      </c>
      <c r="U83" s="15" t="str">
        <f>IF(ISNA(VLOOKUP(A83,'Données projet'!$A$35:$I$55,3,0)),0,VLOOKUP(A83,'Données projet'!$A$35:$I$55,3,0))</f>
        <v>CR</v>
      </c>
      <c r="V83" s="15">
        <f>IF(ISNA(VLOOKUP(A83,'Données projet'!$A$35:$I$55,4,0)),0,VLOOKUP(A83,'Données projet'!$A$35:$I$55,4,0))</f>
        <v>840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4.906139268813301</v>
      </c>
      <c r="AA83" s="21">
        <f>EXP(-LN(2)/25)*AA82+(1-EXP(-LN(2)/25))/(LN(2)/25)*Calculateur!V83*Calculateur!X83*VLOOKUP('Données projet'!$B$9,Paramètres!$A$1:$I$89,3,0)*0.475*44/12</f>
        <v>5.1549146479856658</v>
      </c>
      <c r="AB83" s="21">
        <f>EXP(-LN(2)/2)*AB82+(1-EXP(-LN(2)/2))/(LN(2)/2)*V83*Y83*VLOOKUP('Données projet'!$B$9,Paramètres!$A$1:$I$89,3,0)*0.475*44/12</f>
        <v>0</v>
      </c>
      <c r="AC83" s="22">
        <f t="shared" si="57"/>
        <v>10.061053916798967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-3.4106051316484809E-13</v>
      </c>
      <c r="AJ83" s="13">
        <f>AI83*VLOOKUP('Données projet'!$B$10,Paramètres!$A$1:$I$89,3,0)*VLOOKUP('Données projet'!$B$10,Paramètres!$A$1:$I$89,5,0)</f>
        <v>-1.5961632016114892E-13</v>
      </c>
      <c r="AK83" s="13" t="e">
        <f t="shared" si="89"/>
        <v>#NUM!</v>
      </c>
      <c r="AL83" s="20" t="e">
        <f t="shared" si="58"/>
        <v>#NUM!</v>
      </c>
      <c r="AM83" s="59" t="e">
        <f t="shared" si="59"/>
        <v>#NUM!</v>
      </c>
      <c r="AN83" s="59">
        <f ca="1">AVERAGE(OFFSET($AM$3,0,0,'Données projet'!$E$10+1,1))-AVERAGE(OFFSET($H$3,0,0,'Données projet'!$E$10+1,1))</f>
        <v>267.78121291362345</v>
      </c>
      <c r="AO83" s="59">
        <f t="shared" si="90"/>
        <v>320.1780590861174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2.7051621066434981</v>
      </c>
      <c r="AV83" s="21">
        <f>EXP(-LN(2)/25)*AV82+(1-EXP(-LN(2)/25))/(LN(2)/25)*Calculateur!AQ83*Calculateur!AS83*VLOOKUP('Données projet'!$B$10,Paramètres!$A$1:$I$89,3,0)*0.475*44/12</f>
        <v>5.0163562726484354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7.7215183792919335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>
        <f>VLOOKUP(A83,'Données projet'!$A$87:$I$107,2,0)</f>
        <v>208</v>
      </c>
      <c r="BB83" s="12">
        <f>VLOOKUP(A83,'Données projet'!$A$87:$I$107,9,0)</f>
        <v>3.2</v>
      </c>
      <c r="BC83" s="12">
        <f t="array" ref="BC83">INDEX(BB:BB,MIN(IF(ISNUMBER(BB83:BB279),ROW(BB83:BB279),"")))</f>
        <v>3.2</v>
      </c>
      <c r="BD83" s="12">
        <f>IF('Données projet'!$A$88&gt;35,BD82+BC83-BL82,IF(A83&lt;'Données projet'!$A$88,$BA$205^A83,IF(A83='Données projet'!$A$88,'Données projet'!$B$88,BD82+BC83-BL82)))</f>
        <v>207.99999999999991</v>
      </c>
      <c r="BE83" s="13">
        <f>BD83*VLOOKUP('Données projet'!$B$11,Paramètres!$A$1:$I$89,3,0)*VLOOKUP('Données projet'!$B$11,Paramètres!$A$1:$I$89,5,0)</f>
        <v>181.70879999999994</v>
      </c>
      <c r="BF83" s="13">
        <f t="shared" si="91"/>
        <v>45.702153370067769</v>
      </c>
      <c r="BG83" s="20">
        <f t="shared" si="61"/>
        <v>396.07407711953459</v>
      </c>
      <c r="BH83" s="59">
        <f t="shared" si="62"/>
        <v>689.40741045286791</v>
      </c>
      <c r="BI83" s="59">
        <f ca="1">AVERAGE(OFFSET($BH$3,0,0,'Données projet'!$E$11+1,1))-AVERAGE(OFFSET($H$3,0,0,'Données projet'!$E$11+1,1))</f>
        <v>212.82470567725971</v>
      </c>
      <c r="BJ83" s="59">
        <f t="shared" si="92"/>
        <v>196.91968622092054</v>
      </c>
      <c r="BK83" s="15">
        <f>IF(ISNA(VLOOKUP(A83,'Données projet'!$A$87:$I$107,3,0)),0,VLOOKUP(A83,'Données projet'!$A$87:$I$107,3,0))</f>
        <v>13</v>
      </c>
      <c r="BL83" s="21">
        <f>IF(ISNA(VLOOKUP(A83,'Données projet'!$A$87:$I$107,4,0)),0,VLOOKUP(A83,'Données projet'!$A$87:$I$107,4,0))</f>
        <v>11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0.37611781652468279</v>
      </c>
      <c r="BQ83" s="21">
        <f>EXP(-LN(2)/25)*BQ82+(1-EXP(-LN(2)/25))/(LN(2)/25)*Calculateur!BL83*Calculateur!BN83*VLOOKUP('Données projet'!$B$11,Paramètres!$A$1:$I$89,3,0)*0.475*44/12</f>
        <v>1.0209307473776015</v>
      </c>
      <c r="BR83" s="21">
        <f>EXP(-LN(2)/2)*BR82+(1-EXP(-LN(2)/2))/(LN(2)/2)*BL83*BO83*VLOOKUP('Données projet'!$B$11,Paramètres!$A$1:$I$89,3,0)*0.475*44/12</f>
        <v>0</v>
      </c>
      <c r="BS83" s="22">
        <f t="shared" si="63"/>
        <v>1.3970485639022843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25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37.908000000000044</v>
      </c>
      <c r="D84" s="11">
        <f t="shared" si="86"/>
        <v>11.442440513882541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380.95076887909363</v>
      </c>
      <c r="H84" s="67">
        <f t="shared" si="56"/>
        <v>379.2853505616788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5.6843418860808015E-13</v>
      </c>
      <c r="O84" s="13">
        <f>N84*VLOOKUP('Données projet'!$B$9,Paramètres!$A$1:$I$89,3,0)*VLOOKUP('Données projet'!$B$9,Paramètres!$A$1:$I$89,5,0)</f>
        <v>2.2907897800905631E-13</v>
      </c>
      <c r="P84" s="13">
        <f t="shared" si="87"/>
        <v>3.1248920576624499E-12</v>
      </c>
      <c r="Q84" s="20">
        <f t="shared" si="54"/>
        <v>5.8414995537945398E-12</v>
      </c>
      <c r="R84" s="59">
        <f t="shared" si="55"/>
        <v>293.33333333333917</v>
      </c>
      <c r="S84" s="59">
        <f ca="1">AVERAGE(OFFSET($R$3,0,0,'Données projet'!$E$9+1,1))-AVERAGE(OFFSET($H$3,0,0,'Données projet'!$E$9+1,1))</f>
        <v>321.12254860105566</v>
      </c>
      <c r="T84" s="59">
        <f t="shared" si="88"/>
        <v>270.52026164274571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4.8099328702013464</v>
      </c>
      <c r="AA84" s="21">
        <f>EXP(-LN(2)/25)*AA83+(1-EXP(-LN(2)/25))/(LN(2)/25)*Calculateur!V84*Calculateur!X84*VLOOKUP('Données projet'!$B$9,Paramètres!$A$1:$I$89,3,0)*0.475*44/12</f>
        <v>5.0139532358513179</v>
      </c>
      <c r="AB84" s="21">
        <f>EXP(-LN(2)/2)*AB83+(1-EXP(-LN(2)/2))/(LN(2)/2)*V84*Y84*VLOOKUP('Données projet'!$B$9,Paramètres!$A$1:$I$89,3,0)*0.475*44/12</f>
        <v>0</v>
      </c>
      <c r="AC84" s="22">
        <f t="shared" si="57"/>
        <v>9.8238861060526652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-3.4106051316484809E-13</v>
      </c>
      <c r="AJ84" s="13">
        <f>AI84*VLOOKUP('Données projet'!$B$10,Paramètres!$A$1:$I$89,3,0)*VLOOKUP('Données projet'!$B$10,Paramètres!$A$1:$I$89,5,0)</f>
        <v>-1.5961632016114892E-13</v>
      </c>
      <c r="AK84" s="13" t="e">
        <f t="shared" si="89"/>
        <v>#NUM!</v>
      </c>
      <c r="AL84" s="20" t="e">
        <f t="shared" si="58"/>
        <v>#NUM!</v>
      </c>
      <c r="AM84" s="59" t="e">
        <f t="shared" si="59"/>
        <v>#NUM!</v>
      </c>
      <c r="AN84" s="59">
        <f ca="1">AVERAGE(OFFSET($AM$3,0,0,'Données projet'!$E$10+1,1))-AVERAGE(OFFSET($H$3,0,0,'Données projet'!$E$10+1,1))</f>
        <v>267.78121291362345</v>
      </c>
      <c r="AO84" s="59">
        <f t="shared" si="90"/>
        <v>320.1780590861174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2.6521155277181814</v>
      </c>
      <c r="AV84" s="21">
        <f>EXP(-LN(2)/25)*AV83+(1-EXP(-LN(2)/25))/(LN(2)/25)*Calculateur!AQ84*Calculateur!AS84*VLOOKUP('Données projet'!$B$10,Paramètres!$A$1:$I$89,3,0)*0.475*44/12</f>
        <v>4.879183746574153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7.5312992742923344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2.8</v>
      </c>
      <c r="BD84" s="12">
        <f>IF('Données projet'!$A$88&gt;35,BD83+BC84-BL83,IF(A84&lt;'Données projet'!$A$88,$BA$205^A84,IF(A84='Données projet'!$A$88,'Données projet'!$B$88,BD83+BC84-BL83)))</f>
        <v>199.79999999999993</v>
      </c>
      <c r="BE84" s="13">
        <f>BD84*VLOOKUP('Données projet'!$B$11,Paramètres!$A$1:$I$89,3,0)*VLOOKUP('Données projet'!$B$11,Paramètres!$A$1:$I$89,5,0)</f>
        <v>174.54527999999993</v>
      </c>
      <c r="BF84" s="13">
        <f t="shared" si="91"/>
        <v>44.106446559111959</v>
      </c>
      <c r="BG84" s="20">
        <f t="shared" si="61"/>
        <v>380.81842375711989</v>
      </c>
      <c r="BH84" s="59">
        <f t="shared" si="62"/>
        <v>674.1517570904532</v>
      </c>
      <c r="BI84" s="59">
        <f ca="1">AVERAGE(OFFSET($BH$3,0,0,'Données projet'!$E$11+1,1))-AVERAGE(OFFSET($H$3,0,0,'Données projet'!$E$11+1,1))</f>
        <v>212.82470567725971</v>
      </c>
      <c r="BJ84" s="59">
        <f t="shared" si="92"/>
        <v>196.91968622092054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0.36874237555184958</v>
      </c>
      <c r="BQ84" s="21">
        <f>EXP(-LN(2)/25)*BQ83+(1-EXP(-LN(2)/25))/(LN(2)/25)*Calculateur!BL84*Calculateur!BN84*VLOOKUP('Données projet'!$B$11,Paramètres!$A$1:$I$89,3,0)*0.475*44/12</f>
        <v>0.99301334240214634</v>
      </c>
      <c r="BR84" s="21">
        <f>EXP(-LN(2)/2)*BR83+(1-EXP(-LN(2)/2))/(LN(2)/2)*BL84*BO84*VLOOKUP('Données projet'!$B$11,Paramètres!$A$1:$I$89,3,0)*0.475*44/12</f>
        <v>0</v>
      </c>
      <c r="BS84" s="22">
        <f t="shared" si="63"/>
        <v>1.3617557179539959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25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38.376000000000047</v>
      </c>
      <c r="D85" s="11">
        <f t="shared" si="86"/>
        <v>11.567172723592876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385.52624558562957</v>
      </c>
      <c r="H85" s="67">
        <f t="shared" si="56"/>
        <v>380.31769249359098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5.6843418860808015E-13</v>
      </c>
      <c r="O85" s="13">
        <f>N85*VLOOKUP('Données projet'!$B$9,Paramètres!$A$1:$I$89,3,0)*VLOOKUP('Données projet'!$B$9,Paramètres!$A$1:$I$89,5,0)</f>
        <v>2.2907897800905631E-13</v>
      </c>
      <c r="P85" s="13">
        <f t="shared" si="87"/>
        <v>3.1248920576624499E-12</v>
      </c>
      <c r="Q85" s="20">
        <f t="shared" si="54"/>
        <v>5.8414995537945398E-12</v>
      </c>
      <c r="R85" s="59">
        <f t="shared" si="55"/>
        <v>293.33333333333917</v>
      </c>
      <c r="S85" s="59">
        <f ca="1">AVERAGE(OFFSET($R$3,0,0,'Données projet'!$E$9+1,1))-AVERAGE(OFFSET($H$3,0,0,'Données projet'!$E$9+1,1))</f>
        <v>321.12254860105566</v>
      </c>
      <c r="T85" s="59">
        <f t="shared" si="88"/>
        <v>270.52026164274571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4.7156130203860629</v>
      </c>
      <c r="AA85" s="21">
        <f>EXP(-LN(2)/25)*AA84+(1-EXP(-LN(2)/25))/(LN(2)/25)*Calculateur!V85*Calculateur!X85*VLOOKUP('Données projet'!$B$9,Paramètres!$A$1:$I$89,3,0)*0.475*44/12</f>
        <v>4.8768464209446227</v>
      </c>
      <c r="AB85" s="21">
        <f>EXP(-LN(2)/2)*AB84+(1-EXP(-LN(2)/2))/(LN(2)/2)*V85*Y85*VLOOKUP('Données projet'!$B$9,Paramètres!$A$1:$I$89,3,0)*0.475*44/12</f>
        <v>0</v>
      </c>
      <c r="AC85" s="22">
        <f t="shared" si="57"/>
        <v>9.5924594413306856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-3.4106051316484809E-13</v>
      </c>
      <c r="AJ85" s="13">
        <f>AI85*VLOOKUP('Données projet'!$B$10,Paramètres!$A$1:$I$89,3,0)*VLOOKUP('Données projet'!$B$10,Paramètres!$A$1:$I$89,5,0)</f>
        <v>-1.5961632016114892E-13</v>
      </c>
      <c r="AK85" s="13" t="e">
        <f t="shared" si="89"/>
        <v>#NUM!</v>
      </c>
      <c r="AL85" s="20" t="e">
        <f t="shared" si="58"/>
        <v>#NUM!</v>
      </c>
      <c r="AM85" s="59" t="e">
        <f t="shared" si="59"/>
        <v>#NUM!</v>
      </c>
      <c r="AN85" s="59">
        <f ca="1">AVERAGE(OFFSET($AM$3,0,0,'Données projet'!$E$10+1,1))-AVERAGE(OFFSET($H$3,0,0,'Données projet'!$E$10+1,1))</f>
        <v>267.78121291362345</v>
      </c>
      <c r="AO85" s="59">
        <f t="shared" si="90"/>
        <v>320.1780590861174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2.6001091598503718</v>
      </c>
      <c r="AV85" s="21">
        <f>EXP(-LN(2)/25)*AV84+(1-EXP(-LN(2)/25))/(LN(2)/25)*Calculateur!AQ85*Calculateur!AS85*VLOOKUP('Données projet'!$B$10,Paramètres!$A$1:$I$89,3,0)*0.475*44/12</f>
        <v>4.7457622104389614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7.3458713702893332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2.8</v>
      </c>
      <c r="BD85" s="12">
        <f>IF('Données projet'!$A$88&gt;35,BD84+BC85-BL84,IF(A85&lt;'Données projet'!$A$88,$BA$205^A85,IF(A85='Données projet'!$A$88,'Données projet'!$B$88,BD84+BC85-BL84)))</f>
        <v>202.59999999999994</v>
      </c>
      <c r="BE85" s="13">
        <f>BD85*VLOOKUP('Données projet'!$B$11,Paramètres!$A$1:$I$89,3,0)*VLOOKUP('Données projet'!$B$11,Paramètres!$A$1:$I$89,5,0)</f>
        <v>176.99135999999996</v>
      </c>
      <c r="BF85" s="13">
        <f t="shared" si="91"/>
        <v>44.65216395512175</v>
      </c>
      <c r="BG85" s="20">
        <f t="shared" si="61"/>
        <v>386.02913755517028</v>
      </c>
      <c r="BH85" s="59">
        <f t="shared" si="62"/>
        <v>679.36247088850359</v>
      </c>
      <c r="BI85" s="59">
        <f ca="1">AVERAGE(OFFSET($BH$3,0,0,'Données projet'!$E$11+1,1))-AVERAGE(OFFSET($H$3,0,0,'Données projet'!$E$11+1,1))</f>
        <v>212.82470567725971</v>
      </c>
      <c r="BJ85" s="59">
        <f t="shared" si="92"/>
        <v>196.91968622092054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0.36151156247791882</v>
      </c>
      <c r="BQ85" s="21">
        <f>EXP(-LN(2)/25)*BQ84+(1-EXP(-LN(2)/25))/(LN(2)/25)*Calculateur!BL85*Calculateur!BN85*VLOOKUP('Données projet'!$B$11,Paramètres!$A$1:$I$89,3,0)*0.475*44/12</f>
        <v>0.96585934033385756</v>
      </c>
      <c r="BR85" s="21">
        <f>EXP(-LN(2)/2)*BR84+(1-EXP(-LN(2)/2))/(LN(2)/2)*BL85*BO85*VLOOKUP('Données projet'!$B$11,Paramètres!$A$1:$I$89,3,0)*0.475*44/12</f>
        <v>0</v>
      </c>
      <c r="BS85" s="22">
        <f t="shared" si="63"/>
        <v>1.3273709028117764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25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38.844000000000051</v>
      </c>
      <c r="D86" s="11">
        <f t="shared" si="86"/>
        <v>11.691727995381735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390.10035645557872</v>
      </c>
      <c r="H86" s="67">
        <f t="shared" si="56"/>
        <v>381.34972625862326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5.6843418860808015E-13</v>
      </c>
      <c r="O86" s="13">
        <f>N86*VLOOKUP('Données projet'!$B$9,Paramètres!$A$1:$I$89,3,0)*VLOOKUP('Données projet'!$B$9,Paramètres!$A$1:$I$89,5,0)</f>
        <v>2.2907897800905631E-13</v>
      </c>
      <c r="P86" s="13">
        <f t="shared" si="87"/>
        <v>3.1248920576624499E-12</v>
      </c>
      <c r="Q86" s="20">
        <f t="shared" si="54"/>
        <v>5.8414995537945398E-12</v>
      </c>
      <c r="R86" s="59">
        <f t="shared" si="55"/>
        <v>293.33333333333917</v>
      </c>
      <c r="S86" s="59">
        <f ca="1">AVERAGE(OFFSET($R$3,0,0,'Données projet'!$E$9+1,1))-AVERAGE(OFFSET($H$3,0,0,'Données projet'!$E$9+1,1))</f>
        <v>321.12254860105566</v>
      </c>
      <c r="T86" s="59">
        <f t="shared" si="88"/>
        <v>270.52026164274571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4.6231427252962298</v>
      </c>
      <c r="AA86" s="21">
        <f>EXP(-LN(2)/25)*AA85+(1-EXP(-LN(2)/25))/(LN(2)/25)*Calculateur!V86*Calculateur!X86*VLOOKUP('Données projet'!$B$9,Paramètres!$A$1:$I$89,3,0)*0.475*44/12</f>
        <v>4.7434887991016845</v>
      </c>
      <c r="AB86" s="21">
        <f>EXP(-LN(2)/2)*AB85+(1-EXP(-LN(2)/2))/(LN(2)/2)*V86*Y86*VLOOKUP('Données projet'!$B$9,Paramètres!$A$1:$I$89,3,0)*0.475*44/12</f>
        <v>0</v>
      </c>
      <c r="AC86" s="22">
        <f t="shared" si="57"/>
        <v>9.3666315243979135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-3.4106051316484809E-13</v>
      </c>
      <c r="AJ86" s="13">
        <f>AI86*VLOOKUP('Données projet'!$B$10,Paramètres!$A$1:$I$89,3,0)*VLOOKUP('Données projet'!$B$10,Paramètres!$A$1:$I$89,5,0)</f>
        <v>-1.5961632016114892E-13</v>
      </c>
      <c r="AK86" s="13" t="e">
        <f t="shared" si="89"/>
        <v>#NUM!</v>
      </c>
      <c r="AL86" s="20" t="e">
        <f t="shared" si="58"/>
        <v>#NUM!</v>
      </c>
      <c r="AM86" s="59" t="e">
        <f t="shared" si="59"/>
        <v>#NUM!</v>
      </c>
      <c r="AN86" s="59">
        <f ca="1">AVERAGE(OFFSET($AM$3,0,0,'Données projet'!$E$10+1,1))-AVERAGE(OFFSET($H$3,0,0,'Données projet'!$E$10+1,1))</f>
        <v>267.78121291362345</v>
      </c>
      <c r="AO86" s="59">
        <f t="shared" si="90"/>
        <v>320.1780590861174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2.5491226051356981</v>
      </c>
      <c r="AV86" s="21">
        <f>EXP(-LN(2)/25)*AV85+(1-EXP(-LN(2)/25))/(LN(2)/25)*Calculateur!AQ86*Calculateur!AS86*VLOOKUP('Données projet'!$B$10,Paramètres!$A$1:$I$89,3,0)*0.475*44/12</f>
        <v>4.6159890932257204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7.165111698361418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2.8</v>
      </c>
      <c r="BD86" s="12">
        <f>IF('Données projet'!$A$88&gt;35,BD85+BC86-BL85,IF(A86&lt;'Données projet'!$A$88,$BA$205^A86,IF(A86='Données projet'!$A$88,'Données projet'!$B$88,BD85+BC86-BL85)))</f>
        <v>205.39999999999995</v>
      </c>
      <c r="BE86" s="13">
        <f>BD86*VLOOKUP('Données projet'!$B$11,Paramètres!$A$1:$I$89,3,0)*VLOOKUP('Données projet'!$B$11,Paramètres!$A$1:$I$89,5,0)</f>
        <v>179.43743999999998</v>
      </c>
      <c r="BF86" s="13">
        <f t="shared" si="91"/>
        <v>45.197004138831623</v>
      </c>
      <c r="BG86" s="20">
        <f t="shared" si="61"/>
        <v>391.23832354179837</v>
      </c>
      <c r="BH86" s="59">
        <f t="shared" si="62"/>
        <v>684.57165687513168</v>
      </c>
      <c r="BI86" s="59">
        <f ca="1">AVERAGE(OFFSET($BH$3,0,0,'Données projet'!$E$11+1,1))-AVERAGE(OFFSET($H$3,0,0,'Données projet'!$E$11+1,1))</f>
        <v>212.82470567725971</v>
      </c>
      <c r="BJ86" s="59">
        <f t="shared" si="92"/>
        <v>196.91968622092054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0.35442254123800737</v>
      </c>
      <c r="BQ86" s="21">
        <f>EXP(-LN(2)/25)*BQ85+(1-EXP(-LN(2)/25))/(LN(2)/25)*Calculateur!BL86*Calculateur!BN86*VLOOKUP('Données projet'!$B$11,Paramètres!$A$1:$I$89,3,0)*0.475*44/12</f>
        <v>0.93944786588009299</v>
      </c>
      <c r="BR86" s="21">
        <f>EXP(-LN(2)/2)*BR85+(1-EXP(-LN(2)/2))/(LN(2)/2)*BL86*BO86*VLOOKUP('Données projet'!$B$11,Paramètres!$A$1:$I$89,3,0)*0.475*44/12</f>
        <v>0</v>
      </c>
      <c r="BS86" s="22">
        <f t="shared" si="63"/>
        <v>1.2938704071181004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25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39.312000000000054</v>
      </c>
      <c r="D87" s="11">
        <f t="shared" si="86"/>
        <v>11.816108707618415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394.67311984828297</v>
      </c>
      <c r="H87" s="67">
        <f t="shared" si="56"/>
        <v>382.38145599910212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5.6843418860808015E-13</v>
      </c>
      <c r="O87" s="13">
        <f>N87*VLOOKUP('Données projet'!$B$9,Paramètres!$A$1:$I$89,3,0)*VLOOKUP('Données projet'!$B$9,Paramètres!$A$1:$I$89,5,0)</f>
        <v>2.2907897800905631E-13</v>
      </c>
      <c r="P87" s="13">
        <f t="shared" si="87"/>
        <v>3.1248920576624499E-12</v>
      </c>
      <c r="Q87" s="20">
        <f t="shared" si="54"/>
        <v>5.8414995537945398E-12</v>
      </c>
      <c r="R87" s="59">
        <f t="shared" si="55"/>
        <v>293.33333333333917</v>
      </c>
      <c r="S87" s="59">
        <f ca="1">AVERAGE(OFFSET($R$3,0,0,'Données projet'!$E$9+1,1))-AVERAGE(OFFSET($H$3,0,0,'Données projet'!$E$9+1,1))</f>
        <v>321.12254860105566</v>
      </c>
      <c r="T87" s="59">
        <f t="shared" si="88"/>
        <v>270.52026164274571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4.5324857162917969</v>
      </c>
      <c r="AA87" s="21">
        <f>EXP(-LN(2)/25)*AA86+(1-EXP(-LN(2)/25))/(LN(2)/25)*Calculateur!V87*Calculateur!X87*VLOOKUP('Données projet'!$B$9,Paramètres!$A$1:$I$89,3,0)*0.475*44/12</f>
        <v>4.6137778484410141</v>
      </c>
      <c r="AB87" s="21">
        <f>EXP(-LN(2)/2)*AB86+(1-EXP(-LN(2)/2))/(LN(2)/2)*V87*Y87*VLOOKUP('Données projet'!$B$9,Paramètres!$A$1:$I$89,3,0)*0.475*44/12</f>
        <v>0</v>
      </c>
      <c r="AC87" s="22">
        <f t="shared" si="57"/>
        <v>9.146263564732811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-3.4106051316484809E-13</v>
      </c>
      <c r="AJ87" s="13">
        <f>AI87*VLOOKUP('Données projet'!$B$10,Paramètres!$A$1:$I$89,3,0)*VLOOKUP('Données projet'!$B$10,Paramètres!$A$1:$I$89,5,0)</f>
        <v>-1.5961632016114892E-13</v>
      </c>
      <c r="AK87" s="13" t="e">
        <f t="shared" si="89"/>
        <v>#NUM!</v>
      </c>
      <c r="AL87" s="20" t="e">
        <f t="shared" si="58"/>
        <v>#NUM!</v>
      </c>
      <c r="AM87" s="59" t="e">
        <f t="shared" si="59"/>
        <v>#NUM!</v>
      </c>
      <c r="AN87" s="59">
        <f ca="1">AVERAGE(OFFSET($AM$3,0,0,'Données projet'!$E$10+1,1))-AVERAGE(OFFSET($H$3,0,0,'Données projet'!$E$10+1,1))</f>
        <v>267.78121291362345</v>
      </c>
      <c r="AO87" s="59">
        <f t="shared" si="90"/>
        <v>320.1780590861174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2.4991358656602514</v>
      </c>
      <c r="AV87" s="21">
        <f>EXP(-LN(2)/25)*AV86+(1-EXP(-LN(2)/25))/(LN(2)/25)*Calculateur!AQ87*Calculateur!AS87*VLOOKUP('Données projet'!$B$10,Paramètres!$A$1:$I$89,3,0)*0.475*44/12</f>
        <v>4.4897646287271469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6.9889004943873978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2.8</v>
      </c>
      <c r="BD87" s="12">
        <f>IF('Données projet'!$A$88&gt;35,BD86+BC87-BL86,IF(A87&lt;'Données projet'!$A$88,$BA$205^A87,IF(A87='Données projet'!$A$88,'Données projet'!$B$88,BD86+BC87-BL86)))</f>
        <v>208.19999999999996</v>
      </c>
      <c r="BE87" s="13">
        <f>BD87*VLOOKUP('Données projet'!$B$11,Paramètres!$A$1:$I$89,3,0)*VLOOKUP('Données projet'!$B$11,Paramètres!$A$1:$I$89,5,0)</f>
        <v>181.88351999999998</v>
      </c>
      <c r="BF87" s="13">
        <f t="shared" si="91"/>
        <v>45.740980450513447</v>
      </c>
      <c r="BG87" s="20">
        <f t="shared" si="61"/>
        <v>396.4460049513109</v>
      </c>
      <c r="BH87" s="59">
        <f t="shared" si="62"/>
        <v>689.77933828464415</v>
      </c>
      <c r="BI87" s="59">
        <f ca="1">AVERAGE(OFFSET($BH$3,0,0,'Données projet'!$E$11+1,1))-AVERAGE(OFFSET($H$3,0,0,'Données projet'!$E$11+1,1))</f>
        <v>212.82470567725971</v>
      </c>
      <c r="BJ87" s="59">
        <f t="shared" si="92"/>
        <v>196.91968622092054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0.34747253138073453</v>
      </c>
      <c r="BQ87" s="21">
        <f>EXP(-LN(2)/25)*BQ86+(1-EXP(-LN(2)/25))/(LN(2)/25)*Calculateur!BL87*Calculateur!BN87*VLOOKUP('Données projet'!$B$11,Paramètres!$A$1:$I$89,3,0)*0.475*44/12</f>
        <v>0.91375861458418572</v>
      </c>
      <c r="BR87" s="21">
        <f>EXP(-LN(2)/2)*BR86+(1-EXP(-LN(2)/2))/(LN(2)/2)*BL87*BO87*VLOOKUP('Données projet'!$B$11,Paramètres!$A$1:$I$89,3,0)*0.475*44/12</f>
        <v>0</v>
      </c>
      <c r="BS87" s="22">
        <f t="shared" si="63"/>
        <v>1.2612311459649201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25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39.780000000000058</v>
      </c>
      <c r="D88" s="11">
        <f t="shared" si="86"/>
        <v>11.940317178785941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399.24455366080423</v>
      </c>
      <c r="H88" s="67">
        <f t="shared" si="56"/>
        <v>383.41288575305225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5.6843418860808015E-13</v>
      </c>
      <c r="O88" s="13">
        <f>N88*VLOOKUP('Données projet'!$B$9,Paramètres!$A$1:$I$89,3,0)*VLOOKUP('Données projet'!$B$9,Paramètres!$A$1:$I$89,5,0)</f>
        <v>2.2907897800905631E-13</v>
      </c>
      <c r="P88" s="13">
        <f t="shared" si="87"/>
        <v>3.1248920576624499E-12</v>
      </c>
      <c r="Q88" s="20">
        <f t="shared" si="54"/>
        <v>5.8414995537945398E-12</v>
      </c>
      <c r="R88" s="59">
        <f t="shared" si="55"/>
        <v>293.33333333333917</v>
      </c>
      <c r="S88" s="59">
        <f ca="1">AVERAGE(OFFSET($R$3,0,0,'Données projet'!$E$9+1,1))-AVERAGE(OFFSET($H$3,0,0,'Données projet'!$E$9+1,1))</f>
        <v>321.12254860105566</v>
      </c>
      <c r="T88" s="59">
        <f t="shared" si="88"/>
        <v>270.52026164274571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4.4436064359386256</v>
      </c>
      <c r="AA88" s="21">
        <f>EXP(-LN(2)/25)*AA87+(1-EXP(-LN(2)/25))/(LN(2)/25)*Calculateur!V88*Calculateur!X88*VLOOKUP('Données projet'!$B$9,Paramètres!$A$1:$I$89,3,0)*0.475*44/12</f>
        <v>4.4876138505473628</v>
      </c>
      <c r="AB88" s="21">
        <f>EXP(-LN(2)/2)*AB87+(1-EXP(-LN(2)/2))/(LN(2)/2)*V88*Y88*VLOOKUP('Données projet'!$B$9,Paramètres!$A$1:$I$89,3,0)*0.475*44/12</f>
        <v>0</v>
      </c>
      <c r="AC88" s="22">
        <f t="shared" si="57"/>
        <v>8.9312202864859884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-3.4106051316484809E-13</v>
      </c>
      <c r="AJ88" s="13">
        <f>AI88*VLOOKUP('Données projet'!$B$10,Paramètres!$A$1:$I$89,3,0)*VLOOKUP('Données projet'!$B$10,Paramètres!$A$1:$I$89,5,0)</f>
        <v>-1.5961632016114892E-13</v>
      </c>
      <c r="AK88" s="13" t="e">
        <f t="shared" si="89"/>
        <v>#NUM!</v>
      </c>
      <c r="AL88" s="20" t="e">
        <f t="shared" si="58"/>
        <v>#NUM!</v>
      </c>
      <c r="AM88" s="59" t="e">
        <f t="shared" si="59"/>
        <v>#NUM!</v>
      </c>
      <c r="AN88" s="59">
        <f ca="1">AVERAGE(OFFSET($AM$3,0,0,'Données projet'!$E$10+1,1))-AVERAGE(OFFSET($H$3,0,0,'Données projet'!$E$10+1,1))</f>
        <v>267.78121291362345</v>
      </c>
      <c r="AO88" s="59">
        <f t="shared" si="90"/>
        <v>320.1780590861174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2.4501293356570177</v>
      </c>
      <c r="AV88" s="21">
        <f>EXP(-LN(2)/25)*AV87+(1-EXP(-LN(2)/25))/(LN(2)/25)*Calculateur!AQ88*Calculateur!AS88*VLOOKUP('Données projet'!$B$10,Paramètres!$A$1:$I$89,3,0)*0.475*44/12</f>
        <v>4.3669917788481429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6.8171211145051611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>
        <f>VLOOKUP(A88,'Données projet'!$A$87:$I$107,2,0)</f>
        <v>211</v>
      </c>
      <c r="BB88" s="12">
        <f>VLOOKUP(A88,'Données projet'!$A$87:$I$107,9,0)</f>
        <v>2.8</v>
      </c>
      <c r="BC88" s="12">
        <f t="array" ref="BC88">INDEX(BB:BB,MIN(IF(ISNUMBER(BB88:BB284),ROW(BB88:BB284),"")))</f>
        <v>2.8</v>
      </c>
      <c r="BD88" s="12">
        <f>IF('Données projet'!$A$88&gt;35,BD87+BC88-BL87,IF(A88&lt;'Données projet'!$A$88,$BA$205^A88,IF(A88='Données projet'!$A$88,'Données projet'!$B$88,BD87+BC88-BL87)))</f>
        <v>210.99999999999997</v>
      </c>
      <c r="BE88" s="13">
        <f>BD88*VLOOKUP('Données projet'!$B$11,Paramètres!$A$1:$I$89,3,0)*VLOOKUP('Données projet'!$B$11,Paramètres!$A$1:$I$89,5,0)</f>
        <v>184.3296</v>
      </c>
      <c r="BF88" s="13">
        <f t="shared" si="91"/>
        <v>46.284105851003062</v>
      </c>
      <c r="BG88" s="20">
        <f t="shared" si="61"/>
        <v>401.65220435716361</v>
      </c>
      <c r="BH88" s="59">
        <f t="shared" si="62"/>
        <v>694.98553769049693</v>
      </c>
      <c r="BI88" s="59">
        <f ca="1">AVERAGE(OFFSET($BH$3,0,0,'Données projet'!$E$11+1,1))-AVERAGE(OFFSET($H$3,0,0,'Données projet'!$E$11+1,1))</f>
        <v>212.82470567725971</v>
      </c>
      <c r="BJ88" s="59">
        <f t="shared" si="92"/>
        <v>196.91968622092054</v>
      </c>
      <c r="BK88" s="15">
        <f>IF(ISNA(VLOOKUP(A88,'Données projet'!$A$87:$I$107,3,0)),0,VLOOKUP(A88,'Données projet'!$A$87:$I$107,3,0))</f>
        <v>14</v>
      </c>
      <c r="BL88" s="15">
        <f>IF(ISNA(VLOOKUP(A88,'Données projet'!$A$87:$I$107,4,0)),0,VLOOKUP(A88,'Données projet'!$A$87:$I$107,4,0))</f>
        <v>10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0.34065880697767542</v>
      </c>
      <c r="BQ88" s="21">
        <f>EXP(-LN(2)/25)*BQ87+(1-EXP(-LN(2)/25))/(LN(2)/25)*Calculateur!BL88*Calculateur!BN88*VLOOKUP('Données projet'!$B$11,Paramètres!$A$1:$I$89,3,0)*0.475*44/12</f>
        <v>0.88877183721590403</v>
      </c>
      <c r="BR88" s="21">
        <f>EXP(-LN(2)/2)*BR87+(1-EXP(-LN(2)/2))/(LN(2)/2)*BL88*BO88*VLOOKUP('Données projet'!$B$11,Paramètres!$A$1:$I$89,3,0)*0.475*44/12</f>
        <v>0</v>
      </c>
      <c r="BS88" s="22">
        <f t="shared" si="63"/>
        <v>1.2294306441935794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25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40.248000000000062</v>
      </c>
      <c r="D89" s="11">
        <f t="shared" si="86"/>
        <v>12.064355669675374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403.81467534486302</v>
      </c>
      <c r="H89" s="67">
        <f t="shared" si="56"/>
        <v>384.44401945801803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5.6843418860808015E-13</v>
      </c>
      <c r="O89" s="13">
        <f>N89*VLOOKUP('Données projet'!$B$9,Paramètres!$A$1:$I$89,3,0)*VLOOKUP('Données projet'!$B$9,Paramètres!$A$1:$I$89,5,0)</f>
        <v>2.2907897800905631E-13</v>
      </c>
      <c r="P89" s="13">
        <f t="shared" si="87"/>
        <v>3.1248920576624499E-12</v>
      </c>
      <c r="Q89" s="20">
        <f t="shared" si="54"/>
        <v>5.8414995537945398E-12</v>
      </c>
      <c r="R89" s="59">
        <f t="shared" si="55"/>
        <v>293.33333333333917</v>
      </c>
      <c r="S89" s="59">
        <f ca="1">AVERAGE(OFFSET($R$3,0,0,'Données projet'!$E$9+1,1))-AVERAGE(OFFSET($H$3,0,0,'Données projet'!$E$9+1,1))</f>
        <v>321.12254860105566</v>
      </c>
      <c r="T89" s="59">
        <f t="shared" si="88"/>
        <v>270.52026164274571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4.3564700240621717</v>
      </c>
      <c r="AA89" s="21">
        <f>EXP(-LN(2)/25)*AA88+(1-EXP(-LN(2)/25))/(LN(2)/25)*Calculateur!V89*Calculateur!X89*VLOOKUP('Données projet'!$B$9,Paramètres!$A$1:$I$89,3,0)*0.475*44/12</f>
        <v>4.3648998138107897</v>
      </c>
      <c r="AB89" s="21">
        <f>EXP(-LN(2)/2)*AB88+(1-EXP(-LN(2)/2))/(LN(2)/2)*V89*Y89*VLOOKUP('Données projet'!$B$9,Paramètres!$A$1:$I$89,3,0)*0.475*44/12</f>
        <v>0</v>
      </c>
      <c r="AC89" s="22">
        <f t="shared" si="57"/>
        <v>8.7213698378729614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-3.4106051316484809E-13</v>
      </c>
      <c r="AJ89" s="13">
        <f>AI89*VLOOKUP('Données projet'!$B$10,Paramètres!$A$1:$I$89,3,0)*VLOOKUP('Données projet'!$B$10,Paramètres!$A$1:$I$89,5,0)</f>
        <v>-1.5961632016114892E-13</v>
      </c>
      <c r="AK89" s="13" t="e">
        <f t="shared" si="89"/>
        <v>#NUM!</v>
      </c>
      <c r="AL89" s="20" t="e">
        <f t="shared" si="58"/>
        <v>#NUM!</v>
      </c>
      <c r="AM89" s="59" t="e">
        <f t="shared" si="59"/>
        <v>#NUM!</v>
      </c>
      <c r="AN89" s="59">
        <f ca="1">AVERAGE(OFFSET($AM$3,0,0,'Données projet'!$E$10+1,1))-AVERAGE(OFFSET($H$3,0,0,'Données projet'!$E$10+1,1))</f>
        <v>267.78121291362345</v>
      </c>
      <c r="AO89" s="59">
        <f t="shared" si="90"/>
        <v>320.1780590861174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2.4020837938161157</v>
      </c>
      <c r="AV89" s="21">
        <f>EXP(-LN(2)/25)*AV88+(1-EXP(-LN(2)/25))/(LN(2)/25)*Calculateur!AQ89*Calculateur!AS89*VLOOKUP('Données projet'!$B$10,Paramètres!$A$1:$I$89,3,0)*0.475*44/12</f>
        <v>4.2475761590054235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6.6496599528215388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2.8</v>
      </c>
      <c r="BD89" s="12">
        <f>IF('Données projet'!$A$88&gt;35,BD88+BC89-BL88,IF(A89&lt;'Données projet'!$A$88,$BA$205^A89,IF(A89='Données projet'!$A$88,'Données projet'!$B$88,BD88+BC89-BL88)))</f>
        <v>203.79999999999998</v>
      </c>
      <c r="BE89" s="13">
        <f>BD89*VLOOKUP('Données projet'!$B$11,Paramètres!$A$1:$I$89,3,0)*VLOOKUP('Données projet'!$B$11,Paramètres!$A$1:$I$89,5,0)</f>
        <v>178.03968</v>
      </c>
      <c r="BF89" s="13">
        <f t="shared" si="91"/>
        <v>44.885773518007284</v>
      </c>
      <c r="BG89" s="20">
        <f t="shared" si="61"/>
        <v>388.26183154386268</v>
      </c>
      <c r="BH89" s="59">
        <f t="shared" si="62"/>
        <v>681.595164877196</v>
      </c>
      <c r="BI89" s="59">
        <f ca="1">AVERAGE(OFFSET($BH$3,0,0,'Données projet'!$E$11+1,1))-AVERAGE(OFFSET($H$3,0,0,'Données projet'!$E$11+1,1))</f>
        <v>212.82470567725971</v>
      </c>
      <c r="BJ89" s="59">
        <f t="shared" si="92"/>
        <v>196.91968622092054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0.33397869555419873</v>
      </c>
      <c r="BQ89" s="21">
        <f>EXP(-LN(2)/25)*BQ88+(1-EXP(-LN(2)/25))/(LN(2)/25)*Calculateur!BL89*Calculateur!BN89*VLOOKUP('Données projet'!$B$11,Paramètres!$A$1:$I$89,3,0)*0.475*44/12</f>
        <v>0.86446832458875555</v>
      </c>
      <c r="BR89" s="21">
        <f>EXP(-LN(2)/2)*BR88+(1-EXP(-LN(2)/2))/(LN(2)/2)*BL89*BO89*VLOOKUP('Données projet'!$B$11,Paramètres!$A$1:$I$89,3,0)*0.475*44/12</f>
        <v>0</v>
      </c>
      <c r="BS89" s="22">
        <f t="shared" si="63"/>
        <v>1.1984470201429542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25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40.716000000000065</v>
      </c>
      <c r="D90" s="11">
        <f t="shared" si="86"/>
        <v>12.188226385475193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408.38350192296684</v>
      </c>
      <c r="H90" s="67">
        <f t="shared" si="56"/>
        <v>385.47486095470271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5.6843418860808015E-13</v>
      </c>
      <c r="O90" s="13">
        <f>N90*VLOOKUP('Données projet'!$B$9,Paramètres!$A$1:$I$89,3,0)*VLOOKUP('Données projet'!$B$9,Paramètres!$A$1:$I$89,5,0)</f>
        <v>2.2907897800905631E-13</v>
      </c>
      <c r="P90" s="13">
        <f t="shared" si="87"/>
        <v>3.1248920576624499E-12</v>
      </c>
      <c r="Q90" s="20">
        <f t="shared" si="54"/>
        <v>5.8414995537945398E-12</v>
      </c>
      <c r="R90" s="59">
        <f t="shared" si="55"/>
        <v>293.33333333333917</v>
      </c>
      <c r="S90" s="59">
        <f ca="1">AVERAGE(OFFSET($R$3,0,0,'Données projet'!$E$9+1,1))-AVERAGE(OFFSET($H$3,0,0,'Données projet'!$E$9+1,1))</f>
        <v>321.12254860105566</v>
      </c>
      <c r="T90" s="59">
        <f t="shared" si="88"/>
        <v>270.52026164274571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4.2710423040746521</v>
      </c>
      <c r="AA90" s="21">
        <f>EXP(-LN(2)/25)*AA89+(1-EXP(-LN(2)/25))/(LN(2)/25)*Calculateur!V90*Calculateur!X90*VLOOKUP('Données projet'!$B$9,Paramètres!$A$1:$I$89,3,0)*0.475*44/12</f>
        <v>4.245541398862029</v>
      </c>
      <c r="AB90" s="21">
        <f>EXP(-LN(2)/2)*AB89+(1-EXP(-LN(2)/2))/(LN(2)/2)*V90*Y90*VLOOKUP('Données projet'!$B$9,Paramètres!$A$1:$I$89,3,0)*0.475*44/12</f>
        <v>0</v>
      </c>
      <c r="AC90" s="22">
        <f t="shared" si="57"/>
        <v>8.516583702936682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-3.4106051316484809E-13</v>
      </c>
      <c r="AJ90" s="13">
        <f>AI90*VLOOKUP('Données projet'!$B$10,Paramètres!$A$1:$I$89,3,0)*VLOOKUP('Données projet'!$B$10,Paramètres!$A$1:$I$89,5,0)</f>
        <v>-1.5961632016114892E-13</v>
      </c>
      <c r="AK90" s="13" t="e">
        <f t="shared" si="89"/>
        <v>#NUM!</v>
      </c>
      <c r="AL90" s="20" t="e">
        <f t="shared" si="58"/>
        <v>#NUM!</v>
      </c>
      <c r="AM90" s="59" t="e">
        <f t="shared" si="59"/>
        <v>#NUM!</v>
      </c>
      <c r="AN90" s="59">
        <f ca="1">AVERAGE(OFFSET($AM$3,0,0,'Données projet'!$E$10+1,1))-AVERAGE(OFFSET($H$3,0,0,'Données projet'!$E$10+1,1))</f>
        <v>267.78121291362345</v>
      </c>
      <c r="AO90" s="59">
        <f t="shared" si="90"/>
        <v>320.1780590861174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2.3549803957458266</v>
      </c>
      <c r="AV90" s="21">
        <f>EXP(-LN(2)/25)*AV89+(1-EXP(-LN(2)/25))/(LN(2)/25)*Calculateur!AQ90*Calculateur!AS90*VLOOKUP('Données projet'!$B$10,Paramètres!$A$1:$I$89,3,0)*0.475*44/12</f>
        <v>4.1314259655670984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6.486406361312925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2.8</v>
      </c>
      <c r="BD90" s="12">
        <f>IF('Données projet'!$A$88&gt;35,BD89+BC90-BL89,IF(A90&lt;'Données projet'!$A$88,$BA$205^A90,IF(A90='Données projet'!$A$88,'Données projet'!$B$88,BD89+BC90-BL89)))</f>
        <v>206.6</v>
      </c>
      <c r="BE90" s="13">
        <f>BD90*VLOOKUP('Données projet'!$B$11,Paramètres!$A$1:$I$89,3,0)*VLOOKUP('Données projet'!$B$11,Paramètres!$A$1:$I$89,5,0)</f>
        <v>180.48576000000003</v>
      </c>
      <c r="BF90" s="13">
        <f t="shared" si="91"/>
        <v>45.430241859839441</v>
      </c>
      <c r="BG90" s="20">
        <f t="shared" si="61"/>
        <v>393.47036990588708</v>
      </c>
      <c r="BH90" s="59">
        <f t="shared" si="62"/>
        <v>686.80370323922034</v>
      </c>
      <c r="BI90" s="59">
        <f ca="1">AVERAGE(OFFSET($BH$3,0,0,'Données projet'!$E$11+1,1))-AVERAGE(OFFSET($H$3,0,0,'Données projet'!$E$11+1,1))</f>
        <v>212.82470567725971</v>
      </c>
      <c r="BJ90" s="59">
        <f t="shared" si="92"/>
        <v>196.91968622092054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0.32742957704127079</v>
      </c>
      <c r="BQ90" s="21">
        <f>EXP(-LN(2)/25)*BQ89+(1-EXP(-LN(2)/25))/(LN(2)/25)*Calculateur!BL90*Calculateur!BN90*VLOOKUP('Données projet'!$B$11,Paramètres!$A$1:$I$89,3,0)*0.475*44/12</f>
        <v>0.8408293927924626</v>
      </c>
      <c r="BR90" s="21">
        <f>EXP(-LN(2)/2)*BR89+(1-EXP(-LN(2)/2))/(LN(2)/2)*BL90*BO90*VLOOKUP('Données projet'!$B$11,Paramètres!$A$1:$I$89,3,0)*0.475*44/12</f>
        <v>0</v>
      </c>
      <c r="BS90" s="22">
        <f t="shared" si="63"/>
        <v>1.1682589698337333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25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41.184000000000069</v>
      </c>
      <c r="D91" s="11">
        <f t="shared" si="86"/>
        <v>12.311931477761863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412.95105000377634</v>
      </c>
      <c r="H91" s="67">
        <f t="shared" si="56"/>
        <v>386.50541399043533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5.6843418860808015E-13</v>
      </c>
      <c r="O91" s="13">
        <f>N91*VLOOKUP('Données projet'!$B$9,Paramètres!$A$1:$I$89,3,0)*VLOOKUP('Données projet'!$B$9,Paramètres!$A$1:$I$89,5,0)</f>
        <v>2.2907897800905631E-13</v>
      </c>
      <c r="P91" s="13">
        <f t="shared" si="87"/>
        <v>3.1248920576624499E-12</v>
      </c>
      <c r="Q91" s="20">
        <f t="shared" si="54"/>
        <v>5.8414995537945398E-12</v>
      </c>
      <c r="R91" s="59">
        <f t="shared" si="55"/>
        <v>293.33333333333917</v>
      </c>
      <c r="S91" s="59">
        <f ca="1">AVERAGE(OFFSET($R$3,0,0,'Données projet'!$E$9+1,1))-AVERAGE(OFFSET($H$3,0,0,'Données projet'!$E$9+1,1))</f>
        <v>321.12254860105566</v>
      </c>
      <c r="T91" s="59">
        <f t="shared" si="88"/>
        <v>270.52026164274571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4.1872897695703237</v>
      </c>
      <c r="AA91" s="21">
        <f>EXP(-LN(2)/25)*AA90+(1-EXP(-LN(2)/25))/(LN(2)/25)*Calculateur!V91*Calculateur!X91*VLOOKUP('Données projet'!$B$9,Paramètres!$A$1:$I$89,3,0)*0.475*44/12</f>
        <v>4.1294468460468279</v>
      </c>
      <c r="AB91" s="21">
        <f>EXP(-LN(2)/2)*AB90+(1-EXP(-LN(2)/2))/(LN(2)/2)*V91*Y91*VLOOKUP('Données projet'!$B$9,Paramètres!$A$1:$I$89,3,0)*0.475*44/12</f>
        <v>0</v>
      </c>
      <c r="AC91" s="22">
        <f t="shared" si="57"/>
        <v>8.3167366156171525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-3.4106051316484809E-13</v>
      </c>
      <c r="AJ91" s="13">
        <f>AI91*VLOOKUP('Données projet'!$B$10,Paramètres!$A$1:$I$89,3,0)*VLOOKUP('Données projet'!$B$10,Paramètres!$A$1:$I$89,5,0)</f>
        <v>-1.5961632016114892E-13</v>
      </c>
      <c r="AK91" s="13" t="e">
        <f t="shared" si="89"/>
        <v>#NUM!</v>
      </c>
      <c r="AL91" s="20" t="e">
        <f t="shared" si="58"/>
        <v>#NUM!</v>
      </c>
      <c r="AM91" s="59" t="e">
        <f t="shared" si="59"/>
        <v>#NUM!</v>
      </c>
      <c r="AN91" s="59">
        <f ca="1">AVERAGE(OFFSET($AM$3,0,0,'Données projet'!$E$10+1,1))-AVERAGE(OFFSET($H$3,0,0,'Données projet'!$E$10+1,1))</f>
        <v>267.78121291362345</v>
      </c>
      <c r="AO91" s="59">
        <f t="shared" si="90"/>
        <v>320.1780590861174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2.30880066658146</v>
      </c>
      <c r="AV91" s="21">
        <f>EXP(-LN(2)/25)*AV90+(1-EXP(-LN(2)/25))/(LN(2)/25)*Calculateur!AQ91*Calculateur!AS91*VLOOKUP('Données projet'!$B$10,Paramètres!$A$1:$I$89,3,0)*0.475*44/12</f>
        <v>4.0184519052764172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6.3272525718578772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2.8</v>
      </c>
      <c r="BD91" s="12">
        <f>IF('Données projet'!$A$88&gt;35,BD90+BC91-BL90,IF(A91&lt;'Données projet'!$A$88,$BA$205^A91,IF(A91='Données projet'!$A$88,'Données projet'!$B$88,BD90+BC91-BL90)))</f>
        <v>209.4</v>
      </c>
      <c r="BE91" s="13">
        <f>BD91*VLOOKUP('Données projet'!$B$11,Paramètres!$A$1:$I$89,3,0)*VLOOKUP('Données projet'!$B$11,Paramètres!$A$1:$I$89,5,0)</f>
        <v>182.93184000000002</v>
      </c>
      <c r="BF91" s="13">
        <f t="shared" si="91"/>
        <v>45.973851929814685</v>
      </c>
      <c r="BG91" s="20">
        <f t="shared" si="61"/>
        <v>398.67741344442726</v>
      </c>
      <c r="BH91" s="59">
        <f t="shared" si="62"/>
        <v>692.01074677776057</v>
      </c>
      <c r="BI91" s="59">
        <f ca="1">AVERAGE(OFFSET($BH$3,0,0,'Données projet'!$E$11+1,1))-AVERAGE(OFFSET($H$3,0,0,'Données projet'!$E$11+1,1))</f>
        <v>212.82470567725971</v>
      </c>
      <c r="BJ91" s="59">
        <f t="shared" si="92"/>
        <v>196.91968622092054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0.32100888274781353</v>
      </c>
      <c r="BQ91" s="21">
        <f>EXP(-LN(2)/25)*BQ90+(1-EXP(-LN(2)/25))/(LN(2)/25)*Calculateur!BL91*Calculateur!BN91*VLOOKUP('Données projet'!$B$11,Paramètres!$A$1:$I$89,3,0)*0.475*44/12</f>
        <v>0.81783686882925666</v>
      </c>
      <c r="BR91" s="21">
        <f>EXP(-LN(2)/2)*BR90+(1-EXP(-LN(2)/2))/(LN(2)/2)*BL91*BO91*VLOOKUP('Données projet'!$B$11,Paramètres!$A$1:$I$89,3,0)*0.475*44/12</f>
        <v>0</v>
      </c>
      <c r="BS91" s="22">
        <f t="shared" si="63"/>
        <v>1.1388457515770702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25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41.652000000000072</v>
      </c>
      <c r="D92" s="11">
        <f t="shared" si="86"/>
        <v>12.435473046397316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417.51733579675187</v>
      </c>
      <c r="H92" s="67">
        <f t="shared" si="56"/>
        <v>387.53568222247543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5.6843418860808015E-13</v>
      </c>
      <c r="O92" s="13">
        <f>N92*VLOOKUP('Données projet'!$B$9,Paramètres!$A$1:$I$89,3,0)*VLOOKUP('Données projet'!$B$9,Paramètres!$A$1:$I$89,5,0)</f>
        <v>2.2907897800905631E-13</v>
      </c>
      <c r="P92" s="13">
        <f t="shared" si="87"/>
        <v>3.1248920576624499E-12</v>
      </c>
      <c r="Q92" s="20">
        <f t="shared" si="54"/>
        <v>5.8414995537945398E-12</v>
      </c>
      <c r="R92" s="59">
        <f t="shared" si="55"/>
        <v>293.33333333333917</v>
      </c>
      <c r="S92" s="59">
        <f ca="1">AVERAGE(OFFSET($R$3,0,0,'Données projet'!$E$9+1,1))-AVERAGE(OFFSET($H$3,0,0,'Données projet'!$E$9+1,1))</f>
        <v>321.12254860105566</v>
      </c>
      <c r="T92" s="59">
        <f t="shared" si="88"/>
        <v>270.52026164274571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4.1051795711836228</v>
      </c>
      <c r="AA92" s="21">
        <f>EXP(-LN(2)/25)*AA91+(1-EXP(-LN(2)/25))/(LN(2)/25)*Calculateur!V92*Calculateur!X92*VLOOKUP('Données projet'!$B$9,Paramètres!$A$1:$I$89,3,0)*0.475*44/12</f>
        <v>4.0165269048835057</v>
      </c>
      <c r="AB92" s="21">
        <f>EXP(-LN(2)/2)*AB91+(1-EXP(-LN(2)/2))/(LN(2)/2)*V92*Y92*VLOOKUP('Données projet'!$B$9,Paramètres!$A$1:$I$89,3,0)*0.475*44/12</f>
        <v>0</v>
      </c>
      <c r="AC92" s="22">
        <f t="shared" si="57"/>
        <v>8.1217064760671285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-3.4106051316484809E-13</v>
      </c>
      <c r="AJ92" s="13">
        <f>AI92*VLOOKUP('Données projet'!$B$10,Paramètres!$A$1:$I$89,3,0)*VLOOKUP('Données projet'!$B$10,Paramètres!$A$1:$I$89,5,0)</f>
        <v>-1.5961632016114892E-13</v>
      </c>
      <c r="AK92" s="13" t="e">
        <f t="shared" si="89"/>
        <v>#NUM!</v>
      </c>
      <c r="AL92" s="20" t="e">
        <f t="shared" si="58"/>
        <v>#NUM!</v>
      </c>
      <c r="AM92" s="59" t="e">
        <f t="shared" si="59"/>
        <v>#NUM!</v>
      </c>
      <c r="AN92" s="59">
        <f ca="1">AVERAGE(OFFSET($AM$3,0,0,'Données projet'!$E$10+1,1))-AVERAGE(OFFSET($H$3,0,0,'Données projet'!$E$10+1,1))</f>
        <v>267.78121291362345</v>
      </c>
      <c r="AO92" s="59">
        <f t="shared" si="90"/>
        <v>320.1780590861174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2.2635264937391533</v>
      </c>
      <c r="AV92" s="21">
        <f>EXP(-LN(2)/25)*AV91+(1-EXP(-LN(2)/25))/(LN(2)/25)*Calculateur!AQ92*Calculateur!AS92*VLOOKUP('Données projet'!$B$10,Paramètres!$A$1:$I$89,3,0)*0.475*44/12</f>
        <v>3.908567126605432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6.1720936203445849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2.8</v>
      </c>
      <c r="BD92" s="12">
        <f>IF('Données projet'!$A$88&gt;35,BD91+BC92-BL91,IF(A92&lt;'Données projet'!$A$88,$BA$205^A92,IF(A92='Données projet'!$A$88,'Données projet'!$B$88,BD91+BC92-BL91)))</f>
        <v>212.20000000000002</v>
      </c>
      <c r="BE92" s="13">
        <f>BD92*VLOOKUP('Données projet'!$B$11,Paramètres!$A$1:$I$89,3,0)*VLOOKUP('Données projet'!$B$11,Paramètres!$A$1:$I$89,5,0)</f>
        <v>185.37792000000005</v>
      </c>
      <c r="BF92" s="13">
        <f t="shared" si="91"/>
        <v>46.516616531004161</v>
      </c>
      <c r="BG92" s="20">
        <f t="shared" si="61"/>
        <v>403.88298445816571</v>
      </c>
      <c r="BH92" s="59">
        <f t="shared" si="62"/>
        <v>697.21631779149902</v>
      </c>
      <c r="BI92" s="59">
        <f ca="1">AVERAGE(OFFSET($BH$3,0,0,'Données projet'!$E$11+1,1))-AVERAGE(OFFSET($H$3,0,0,'Données projet'!$E$11+1,1))</f>
        <v>212.82470567725971</v>
      </c>
      <c r="BJ92" s="59">
        <f t="shared" si="92"/>
        <v>196.91968622092054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0.31471409435321412</v>
      </c>
      <c r="BQ92" s="21">
        <f>EXP(-LN(2)/25)*BQ91+(1-EXP(-LN(2)/25))/(LN(2)/25)*Calculateur!BL92*Calculateur!BN92*VLOOKUP('Données projet'!$B$11,Paramètres!$A$1:$I$89,3,0)*0.475*44/12</f>
        <v>0.79547307664294886</v>
      </c>
      <c r="BR92" s="21">
        <f>EXP(-LN(2)/2)*BR91+(1-EXP(-LN(2)/2))/(LN(2)/2)*BL92*BO92*VLOOKUP('Données projet'!$B$11,Paramètres!$A$1:$I$89,3,0)*0.475*44/12</f>
        <v>0</v>
      </c>
      <c r="BS92" s="22">
        <f t="shared" si="63"/>
        <v>1.110187170996163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25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42.120000000000076</v>
      </c>
      <c r="D93" s="11">
        <f t="shared" si="86"/>
        <v>12.558853141338776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422.08237512612442</v>
      </c>
      <c r="H93" s="67">
        <f t="shared" si="56"/>
        <v>388.56566922116514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5.6843418860808015E-13</v>
      </c>
      <c r="O93" s="13">
        <f>N93*VLOOKUP('Données projet'!$B$9,Paramètres!$A$1:$I$89,3,0)*VLOOKUP('Données projet'!$B$9,Paramètres!$A$1:$I$89,5,0)</f>
        <v>2.2907897800905631E-13</v>
      </c>
      <c r="P93" s="13">
        <f t="shared" si="87"/>
        <v>3.1248920576624499E-12</v>
      </c>
      <c r="Q93" s="20">
        <f t="shared" si="54"/>
        <v>5.8414995537945398E-12</v>
      </c>
      <c r="R93" s="59">
        <f t="shared" si="55"/>
        <v>293.33333333333917</v>
      </c>
      <c r="S93" s="59">
        <f ca="1">AVERAGE(OFFSET($R$3,0,0,'Données projet'!$E$9+1,1))-AVERAGE(OFFSET($H$3,0,0,'Données projet'!$E$9+1,1))</f>
        <v>321.12254860105566</v>
      </c>
      <c r="T93" s="59">
        <f t="shared" si="88"/>
        <v>270.52026164274571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4.0246795037050092</v>
      </c>
      <c r="AA93" s="21">
        <f>EXP(-LN(2)/25)*AA92+(1-EXP(-LN(2)/25))/(LN(2)/25)*Calculateur!V93*Calculateur!X93*VLOOKUP('Données projet'!$B$9,Paramètres!$A$1:$I$89,3,0)*0.475*44/12</f>
        <v>3.9066947654494961</v>
      </c>
      <c r="AB93" s="21">
        <f>EXP(-LN(2)/2)*AB92+(1-EXP(-LN(2)/2))/(LN(2)/2)*V93*Y93*VLOOKUP('Données projet'!$B$9,Paramètres!$A$1:$I$89,3,0)*0.475*44/12</f>
        <v>0</v>
      </c>
      <c r="AC93" s="22">
        <f t="shared" si="57"/>
        <v>7.9313742691545048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-3.4106051316484809E-13</v>
      </c>
      <c r="AJ93" s="13">
        <f>AI93*VLOOKUP('Données projet'!$B$10,Paramètres!$A$1:$I$89,3,0)*VLOOKUP('Données projet'!$B$10,Paramètres!$A$1:$I$89,5,0)</f>
        <v>-1.5961632016114892E-13</v>
      </c>
      <c r="AK93" s="13" t="e">
        <f t="shared" si="89"/>
        <v>#NUM!</v>
      </c>
      <c r="AL93" s="20" t="e">
        <f t="shared" si="58"/>
        <v>#NUM!</v>
      </c>
      <c r="AM93" s="59" t="e">
        <f t="shared" si="59"/>
        <v>#NUM!</v>
      </c>
      <c r="AN93" s="59">
        <f ca="1">AVERAGE(OFFSET($AM$3,0,0,'Données projet'!$E$10+1,1))-AVERAGE(OFFSET($H$3,0,0,'Données projet'!$E$10+1,1))</f>
        <v>267.78121291362345</v>
      </c>
      <c r="AO93" s="59">
        <f t="shared" si="90"/>
        <v>320.1780590861174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2.2191401198117653</v>
      </c>
      <c r="AV93" s="21">
        <f>EXP(-LN(2)/25)*AV92+(1-EXP(-LN(2)/25))/(LN(2)/25)*Calculateur!AQ93*Calculateur!AS93*VLOOKUP('Données projet'!$B$10,Paramètres!$A$1:$I$89,3,0)*0.475*44/12</f>
        <v>3.8016871529857945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6.0208272727975594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>
        <f>VLOOKUP(A93,'Données projet'!$A$87:$I$107,2,0)</f>
        <v>215</v>
      </c>
      <c r="BB93" s="12">
        <f>VLOOKUP(A93,'Données projet'!$A$87:$I$107,9,0)</f>
        <v>2.8</v>
      </c>
      <c r="BC93" s="12">
        <f t="array" ref="BC93">INDEX(BB:BB,MIN(IF(ISNUMBER(BB93:BB289),ROW(BB93:BB289),"")))</f>
        <v>2.8</v>
      </c>
      <c r="BD93" s="12">
        <f>IF('Données projet'!$A$88&gt;35,BD92+BC93-BL92,IF(A93&lt;'Données projet'!$A$88,$BA$205^A93,IF(A93='Données projet'!$A$88,'Données projet'!$B$88,BD92+BC93-BL92)))</f>
        <v>215.00000000000003</v>
      </c>
      <c r="BE93" s="13">
        <f>BD93*VLOOKUP('Données projet'!$B$11,Paramètres!$A$1:$I$89,3,0)*VLOOKUP('Données projet'!$B$11,Paramètres!$A$1:$I$89,5,0)</f>
        <v>187.82400000000007</v>
      </c>
      <c r="BF93" s="13">
        <f t="shared" si="91"/>
        <v>47.05854810918273</v>
      </c>
      <c r="BG93" s="20">
        <f t="shared" si="61"/>
        <v>409.08710462349336</v>
      </c>
      <c r="BH93" s="59">
        <f t="shared" si="62"/>
        <v>702.42043795682662</v>
      </c>
      <c r="BI93" s="59">
        <f ca="1">AVERAGE(OFFSET($BH$3,0,0,'Données projet'!$E$11+1,1))-AVERAGE(OFFSET($H$3,0,0,'Données projet'!$E$11+1,1))</f>
        <v>212.82470567725971</v>
      </c>
      <c r="BJ93" s="59">
        <f t="shared" si="92"/>
        <v>196.91968622092054</v>
      </c>
      <c r="BK93" s="15">
        <f>IF(ISNA(VLOOKUP(A93,'Données projet'!$A$87:$I$107,3,0)),0,VLOOKUP(A93,'Données projet'!$A$87:$I$107,3,0))</f>
        <v>15</v>
      </c>
      <c r="BL93" s="15">
        <f>IF(ISNA(VLOOKUP(A93,'Données projet'!$A$87:$I$107,4,0)),0,VLOOKUP(A93,'Données projet'!$A$87:$I$107,4,0))</f>
        <v>10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0.308542742919591</v>
      </c>
      <c r="BQ93" s="21">
        <f>EXP(-LN(2)/25)*BQ92+(1-EXP(-LN(2)/25))/(LN(2)/25)*Calculateur!BL93*Calculateur!BN93*VLOOKUP('Données projet'!$B$11,Paramètres!$A$1:$I$89,3,0)*0.475*44/12</f>
        <v>0.77372082353003635</v>
      </c>
      <c r="BR93" s="21">
        <f>EXP(-LN(2)/2)*BR92+(1-EXP(-LN(2)/2))/(LN(2)/2)*BL93*BO93*VLOOKUP('Données projet'!$B$11,Paramètres!$A$1:$I$89,3,0)*0.475*44/12</f>
        <v>0</v>
      </c>
      <c r="BS93" s="22">
        <f t="shared" si="63"/>
        <v>1.0822635664496274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25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42.588000000000079</v>
      </c>
      <c r="D94" s="11">
        <f t="shared" si="86"/>
        <v>12.682073764365786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426.64618344422774</v>
      </c>
      <c r="H94" s="67">
        <f t="shared" si="56"/>
        <v>389.59537847293717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5.6843418860808015E-13</v>
      </c>
      <c r="O94" s="13">
        <f>N94*VLOOKUP('Données projet'!$B$9,Paramètres!$A$1:$I$89,3,0)*VLOOKUP('Données projet'!$B$9,Paramètres!$A$1:$I$89,5,0)</f>
        <v>2.2907897800905631E-13</v>
      </c>
      <c r="P94" s="13">
        <f t="shared" si="87"/>
        <v>3.1248920576624499E-12</v>
      </c>
      <c r="Q94" s="20">
        <f t="shared" si="54"/>
        <v>5.8414995537945398E-12</v>
      </c>
      <c r="R94" s="59">
        <f t="shared" si="55"/>
        <v>293.33333333333917</v>
      </c>
      <c r="S94" s="59">
        <f ca="1">AVERAGE(OFFSET($R$3,0,0,'Données projet'!$E$9+1,1))-AVERAGE(OFFSET($H$3,0,0,'Données projet'!$E$9+1,1))</f>
        <v>321.12254860105566</v>
      </c>
      <c r="T94" s="59">
        <f t="shared" si="88"/>
        <v>270.52026164274571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3.9457579934494587</v>
      </c>
      <c r="AA94" s="21">
        <f>EXP(-LN(2)/25)*AA93+(1-EXP(-LN(2)/25))/(LN(2)/25)*Calculateur!V94*Calculateur!X94*VLOOKUP('Données projet'!$B$9,Paramètres!$A$1:$I$89,3,0)*0.475*44/12</f>
        <v>3.7998659916441309</v>
      </c>
      <c r="AB94" s="21">
        <f>EXP(-LN(2)/2)*AB93+(1-EXP(-LN(2)/2))/(LN(2)/2)*V94*Y94*VLOOKUP('Données projet'!$B$9,Paramètres!$A$1:$I$89,3,0)*0.475*44/12</f>
        <v>0</v>
      </c>
      <c r="AC94" s="22">
        <f t="shared" si="57"/>
        <v>7.7456239850935891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-3.4106051316484809E-13</v>
      </c>
      <c r="AJ94" s="13">
        <f>AI94*VLOOKUP('Données projet'!$B$10,Paramètres!$A$1:$I$89,3,0)*VLOOKUP('Données projet'!$B$10,Paramètres!$A$1:$I$89,5,0)</f>
        <v>-1.5961632016114892E-13</v>
      </c>
      <c r="AK94" s="13" t="e">
        <f t="shared" si="89"/>
        <v>#NUM!</v>
      </c>
      <c r="AL94" s="20" t="e">
        <f t="shared" si="58"/>
        <v>#NUM!</v>
      </c>
      <c r="AM94" s="59" t="e">
        <f t="shared" si="59"/>
        <v>#NUM!</v>
      </c>
      <c r="AN94" s="59">
        <f ca="1">AVERAGE(OFFSET($AM$3,0,0,'Données projet'!$E$10+1,1))-AVERAGE(OFFSET($H$3,0,0,'Données projet'!$E$10+1,1))</f>
        <v>267.78121291362345</v>
      </c>
      <c r="AO94" s="59">
        <f t="shared" si="90"/>
        <v>320.1780590861174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2.1756241356040786</v>
      </c>
      <c r="AV94" s="21">
        <f>EXP(-LN(2)/25)*AV93+(1-EXP(-LN(2)/25))/(LN(2)/25)*Calculateur!AQ94*Calculateur!AS94*VLOOKUP('Données projet'!$B$10,Paramètres!$A$1:$I$89,3,0)*0.475*44/12</f>
        <v>3.6977298178653593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5.8733539534694383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2.8</v>
      </c>
      <c r="BD94" s="12">
        <f>IF('Données projet'!$A$88&gt;35,BD93+BC94-BL93,IF(A94&lt;'Données projet'!$A$88,$BA$205^A94,IF(A94='Données projet'!$A$88,'Données projet'!$B$88,BD93+BC94-BL93)))</f>
        <v>207.80000000000004</v>
      </c>
      <c r="BE94" s="13">
        <f>BD94*VLOOKUP('Données projet'!$B$11,Paramètres!$A$1:$I$89,3,0)*VLOOKUP('Données projet'!$B$11,Paramètres!$A$1:$I$89,5,0)</f>
        <v>181.53408000000007</v>
      </c>
      <c r="BF94" s="13">
        <f t="shared" si="91"/>
        <v>45.663321943731901</v>
      </c>
      <c r="BG94" s="20">
        <f t="shared" si="61"/>
        <v>395.7021417186665</v>
      </c>
      <c r="BH94" s="59">
        <f t="shared" si="62"/>
        <v>689.03547505199981</v>
      </c>
      <c r="BI94" s="59">
        <f ca="1">AVERAGE(OFFSET($BH$3,0,0,'Données projet'!$E$11+1,1))-AVERAGE(OFFSET($H$3,0,0,'Données projet'!$E$11+1,1))</f>
        <v>212.82470567725971</v>
      </c>
      <c r="BJ94" s="59">
        <f t="shared" si="92"/>
        <v>196.91968622092054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0.30249240792342852</v>
      </c>
      <c r="BQ94" s="21">
        <f>EXP(-LN(2)/25)*BQ93+(1-EXP(-LN(2)/25))/(LN(2)/25)*Calculateur!BL94*Calculateur!BN94*VLOOKUP('Données projet'!$B$11,Paramètres!$A$1:$I$89,3,0)*0.475*44/12</f>
        <v>0.75256338692239777</v>
      </c>
      <c r="BR94" s="21">
        <f>EXP(-LN(2)/2)*BR93+(1-EXP(-LN(2)/2))/(LN(2)/2)*BL94*BO94*VLOOKUP('Données projet'!$B$11,Paramètres!$A$1:$I$89,3,0)*0.475*44/12</f>
        <v>0</v>
      </c>
      <c r="BS94" s="22">
        <f t="shared" si="63"/>
        <v>1.0550557948458263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25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43.056000000000083</v>
      </c>
      <c r="D95" s="11">
        <f t="shared" si="86"/>
        <v>12.805136870729203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431.20877584422607</v>
      </c>
      <c r="H95" s="67">
        <f t="shared" si="56"/>
        <v>390.62481338318679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5.6843418860808015E-13</v>
      </c>
      <c r="O95" s="13">
        <f>N95*VLOOKUP('Données projet'!$B$9,Paramètres!$A$1:$I$89,3,0)*VLOOKUP('Données projet'!$B$9,Paramètres!$A$1:$I$89,5,0)</f>
        <v>2.2907897800905631E-13</v>
      </c>
      <c r="P95" s="13">
        <f t="shared" si="87"/>
        <v>3.1248920576624499E-12</v>
      </c>
      <c r="Q95" s="20">
        <f t="shared" si="54"/>
        <v>5.8414995537945398E-12</v>
      </c>
      <c r="R95" s="59">
        <f t="shared" si="55"/>
        <v>293.33333333333917</v>
      </c>
      <c r="S95" s="59">
        <f ca="1">AVERAGE(OFFSET($R$3,0,0,'Données projet'!$E$9+1,1))-AVERAGE(OFFSET($H$3,0,0,'Données projet'!$E$9+1,1))</f>
        <v>321.12254860105566</v>
      </c>
      <c r="T95" s="59">
        <f t="shared" si="88"/>
        <v>270.52026164274571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3.8683840858726515</v>
      </c>
      <c r="AA95" s="21">
        <f>EXP(-LN(2)/25)*AA94+(1-EXP(-LN(2)/25))/(LN(2)/25)*Calculateur!V95*Calculateur!X95*VLOOKUP('Données projet'!$B$9,Paramètres!$A$1:$I$89,3,0)*0.475*44/12</f>
        <v>3.6959584562763541</v>
      </c>
      <c r="AB95" s="21">
        <f>EXP(-LN(2)/2)*AB94+(1-EXP(-LN(2)/2))/(LN(2)/2)*V95*Y95*VLOOKUP('Données projet'!$B$9,Paramètres!$A$1:$I$89,3,0)*0.475*44/12</f>
        <v>0</v>
      </c>
      <c r="AC95" s="22">
        <f t="shared" si="57"/>
        <v>7.5643425421490056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-3.4106051316484809E-13</v>
      </c>
      <c r="AJ95" s="13">
        <f>AI95*VLOOKUP('Données projet'!$B$10,Paramètres!$A$1:$I$89,3,0)*VLOOKUP('Données projet'!$B$10,Paramètres!$A$1:$I$89,5,0)</f>
        <v>-1.5961632016114892E-13</v>
      </c>
      <c r="AK95" s="13" t="e">
        <f t="shared" si="89"/>
        <v>#NUM!</v>
      </c>
      <c r="AL95" s="20" t="e">
        <f t="shared" si="58"/>
        <v>#NUM!</v>
      </c>
      <c r="AM95" s="59" t="e">
        <f t="shared" si="59"/>
        <v>#NUM!</v>
      </c>
      <c r="AN95" s="59">
        <f ca="1">AVERAGE(OFFSET($AM$3,0,0,'Données projet'!$E$10+1,1))-AVERAGE(OFFSET($H$3,0,0,'Données projet'!$E$10+1,1))</f>
        <v>267.78121291362345</v>
      </c>
      <c r="AO95" s="59">
        <f t="shared" si="90"/>
        <v>320.1780590861174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2.132961473304575</v>
      </c>
      <c r="AV95" s="21">
        <f>EXP(-LN(2)/25)*AV94+(1-EXP(-LN(2)/25))/(LN(2)/25)*Calculateur!AQ95*Calculateur!AS95*VLOOKUP('Données projet'!$B$10,Paramètres!$A$1:$I$89,3,0)*0.475*44/12</f>
        <v>3.5966152015406712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5.7295766748452461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2.8</v>
      </c>
      <c r="BD95" s="12">
        <f>IF('Données projet'!$A$88&gt;35,BD94+BC95-BL94,IF(A95&lt;'Données projet'!$A$88,$BA$205^A95,IF(A95='Données projet'!$A$88,'Données projet'!$B$88,BD94+BC95-BL94)))</f>
        <v>210.60000000000005</v>
      </c>
      <c r="BE95" s="13">
        <f>BD95*VLOOKUP('Données projet'!$B$11,Paramètres!$A$1:$I$89,3,0)*VLOOKUP('Données projet'!$B$11,Paramètres!$A$1:$I$89,5,0)</f>
        <v>183.98016000000007</v>
      </c>
      <c r="BF95" s="13">
        <f t="shared" si="91"/>
        <v>46.206568123393758</v>
      </c>
      <c r="BG95" s="20">
        <f t="shared" si="61"/>
        <v>400.9085514815776</v>
      </c>
      <c r="BH95" s="59">
        <f t="shared" si="62"/>
        <v>694.24188481491092</v>
      </c>
      <c r="BI95" s="59">
        <f ca="1">AVERAGE(OFFSET($BH$3,0,0,'Données projet'!$E$11+1,1))-AVERAGE(OFFSET($H$3,0,0,'Données projet'!$E$11+1,1))</f>
        <v>212.82470567725971</v>
      </c>
      <c r="BJ95" s="59">
        <f t="shared" si="92"/>
        <v>196.91968622092054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0.29656071630620084</v>
      </c>
      <c r="BQ95" s="21">
        <f>EXP(-LN(2)/25)*BQ94+(1-EXP(-LN(2)/25))/(LN(2)/25)*Calculateur!BL95*Calculateur!BN95*VLOOKUP('Données projet'!$B$11,Paramètres!$A$1:$I$89,3,0)*0.475*44/12</f>
        <v>0.73198450153141625</v>
      </c>
      <c r="BR95" s="21">
        <f>EXP(-LN(2)/2)*BR94+(1-EXP(-LN(2)/2))/(LN(2)/2)*BL95*BO95*VLOOKUP('Données projet'!$B$11,Paramètres!$A$1:$I$89,3,0)*0.475*44/12</f>
        <v>0</v>
      </c>
      <c r="BS95" s="22">
        <f t="shared" si="63"/>
        <v>1.0285452178376171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25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43.524000000000086</v>
      </c>
      <c r="D96" s="11">
        <f t="shared" si="86"/>
        <v>12.928044370726413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435.77016707227472</v>
      </c>
      <c r="H96" s="67">
        <f t="shared" si="56"/>
        <v>391.65397727901529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5.6843418860808015E-13</v>
      </c>
      <c r="O96" s="13">
        <f>N96*VLOOKUP('Données projet'!$B$9,Paramètres!$A$1:$I$89,3,0)*VLOOKUP('Données projet'!$B$9,Paramètres!$A$1:$I$89,5,0)</f>
        <v>2.2907897800905631E-13</v>
      </c>
      <c r="P96" s="13">
        <f t="shared" si="87"/>
        <v>3.1248920576624499E-12</v>
      </c>
      <c r="Q96" s="20">
        <f t="shared" si="54"/>
        <v>5.8414995537945398E-12</v>
      </c>
      <c r="R96" s="59">
        <f t="shared" si="55"/>
        <v>293.33333333333917</v>
      </c>
      <c r="S96" s="59">
        <f ca="1">AVERAGE(OFFSET($R$3,0,0,'Données projet'!$E$9+1,1))-AVERAGE(OFFSET($H$3,0,0,'Données projet'!$E$9+1,1))</f>
        <v>321.12254860105566</v>
      </c>
      <c r="T96" s="59">
        <f t="shared" si="88"/>
        <v>270.52026164274571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3.7925274334300019</v>
      </c>
      <c r="AA96" s="21">
        <f>EXP(-LN(2)/25)*AA95+(1-EXP(-LN(2)/25))/(LN(2)/25)*Calculateur!V96*Calculateur!X96*VLOOKUP('Données projet'!$B$9,Paramètres!$A$1:$I$89,3,0)*0.475*44/12</f>
        <v>3.5948922779274692</v>
      </c>
      <c r="AB96" s="21">
        <f>EXP(-LN(2)/2)*AB95+(1-EXP(-LN(2)/2))/(LN(2)/2)*V96*Y96*VLOOKUP('Données projet'!$B$9,Paramètres!$A$1:$I$89,3,0)*0.475*44/12</f>
        <v>0</v>
      </c>
      <c r="AC96" s="22">
        <f t="shared" si="57"/>
        <v>7.3874197113574711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-3.4106051316484809E-13</v>
      </c>
      <c r="AJ96" s="13">
        <f>AI96*VLOOKUP('Données projet'!$B$10,Paramètres!$A$1:$I$89,3,0)*VLOOKUP('Données projet'!$B$10,Paramètres!$A$1:$I$89,5,0)</f>
        <v>-1.5961632016114892E-13</v>
      </c>
      <c r="AK96" s="13" t="e">
        <f t="shared" si="89"/>
        <v>#NUM!</v>
      </c>
      <c r="AL96" s="20" t="e">
        <f t="shared" si="58"/>
        <v>#NUM!</v>
      </c>
      <c r="AM96" s="59" t="e">
        <f t="shared" si="59"/>
        <v>#NUM!</v>
      </c>
      <c r="AN96" s="59">
        <f ca="1">AVERAGE(OFFSET($AM$3,0,0,'Données projet'!$E$10+1,1))-AVERAGE(OFFSET($H$3,0,0,'Données projet'!$E$10+1,1))</f>
        <v>267.78121291362345</v>
      </c>
      <c r="AO96" s="59">
        <f t="shared" si="90"/>
        <v>320.1780590861174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2.09113539979111</v>
      </c>
      <c r="AV96" s="21">
        <f>EXP(-LN(2)/25)*AV95+(1-EXP(-LN(2)/25))/(LN(2)/25)*Calculateur!AQ96*Calculateur!AS96*VLOOKUP('Données projet'!$B$10,Paramètres!$A$1:$I$89,3,0)*0.475*44/12</f>
        <v>3.4982655697167684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5.5894009695078779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2.8</v>
      </c>
      <c r="BD96" s="12">
        <f>IF('Données projet'!$A$88&gt;35,BD95+BC96-BL95,IF(A96&lt;'Données projet'!$A$88,$BA$205^A96,IF(A96='Données projet'!$A$88,'Données projet'!$B$88,BD95+BC96-BL95)))</f>
        <v>213.40000000000006</v>
      </c>
      <c r="BE96" s="13">
        <f>BD96*VLOOKUP('Données projet'!$B$11,Paramètres!$A$1:$I$89,3,0)*VLOOKUP('Données projet'!$B$11,Paramètres!$A$1:$I$89,5,0)</f>
        <v>186.42624000000009</v>
      </c>
      <c r="BF96" s="13">
        <f t="shared" si="91"/>
        <v>46.748974211060826</v>
      </c>
      <c r="BG96" s="20">
        <f t="shared" si="61"/>
        <v>406.11349808426439</v>
      </c>
      <c r="BH96" s="59">
        <f t="shared" si="62"/>
        <v>699.44683141759765</v>
      </c>
      <c r="BI96" s="59">
        <f ca="1">AVERAGE(OFFSET($BH$3,0,0,'Données projet'!$E$11+1,1))-AVERAGE(OFFSET($H$3,0,0,'Données projet'!$E$11+1,1))</f>
        <v>212.82470567725971</v>
      </c>
      <c r="BJ96" s="59">
        <f t="shared" si="92"/>
        <v>196.91968622092054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0.29074534154361237</v>
      </c>
      <c r="BQ96" s="21">
        <f>EXP(-LN(2)/25)*BQ95+(1-EXP(-LN(2)/25))/(LN(2)/25)*Calculateur!BL96*Calculateur!BN96*VLOOKUP('Données projet'!$B$11,Paramètres!$A$1:$I$89,3,0)*0.475*44/12</f>
        <v>0.71196834684364774</v>
      </c>
      <c r="BR96" s="21">
        <f>EXP(-LN(2)/2)*BR95+(1-EXP(-LN(2)/2))/(LN(2)/2)*BL96*BO96*VLOOKUP('Données projet'!$B$11,Paramètres!$A$1:$I$89,3,0)*0.475*44/12</f>
        <v>0</v>
      </c>
      <c r="BS96" s="22">
        <f t="shared" si="63"/>
        <v>1.00271368838726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25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43.99200000000009</v>
      </c>
      <c r="D97" s="11">
        <f t="shared" si="86"/>
        <v>13.050798131206898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440.33037153914165</v>
      </c>
      <c r="H97" s="67">
        <f t="shared" si="56"/>
        <v>392.68287341185214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5.6843418860808015E-13</v>
      </c>
      <c r="O97" s="13">
        <f>N97*VLOOKUP('Données projet'!$B$9,Paramètres!$A$1:$I$89,3,0)*VLOOKUP('Données projet'!$B$9,Paramètres!$A$1:$I$89,5,0)</f>
        <v>2.2907897800905631E-13</v>
      </c>
      <c r="P97" s="13">
        <f t="shared" si="87"/>
        <v>3.1248920576624499E-12</v>
      </c>
      <c r="Q97" s="20">
        <f t="shared" si="54"/>
        <v>5.8414995537945398E-12</v>
      </c>
      <c r="R97" s="59">
        <f t="shared" si="55"/>
        <v>293.33333333333917</v>
      </c>
      <c r="S97" s="59">
        <f ca="1">AVERAGE(OFFSET($R$3,0,0,'Données projet'!$E$9+1,1))-AVERAGE(OFFSET($H$3,0,0,'Données projet'!$E$9+1,1))</f>
        <v>321.12254860105566</v>
      </c>
      <c r="T97" s="59">
        <f t="shared" si="88"/>
        <v>270.52026164274571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3.718158283673763</v>
      </c>
      <c r="AA97" s="21">
        <f>EXP(-LN(2)/25)*AA96+(1-EXP(-LN(2)/25))/(LN(2)/25)*Calculateur!V97*Calculateur!X97*VLOOKUP('Données projet'!$B$9,Paramètres!$A$1:$I$89,3,0)*0.475*44/12</f>
        <v>3.4965897595403739</v>
      </c>
      <c r="AB97" s="21">
        <f>EXP(-LN(2)/2)*AB96+(1-EXP(-LN(2)/2))/(LN(2)/2)*V97*Y97*VLOOKUP('Données projet'!$B$9,Paramètres!$A$1:$I$89,3,0)*0.475*44/12</f>
        <v>0</v>
      </c>
      <c r="AC97" s="22">
        <f t="shared" si="57"/>
        <v>7.2147480432141364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-3.4106051316484809E-13</v>
      </c>
      <c r="AJ97" s="13">
        <f>AI97*VLOOKUP('Données projet'!$B$10,Paramètres!$A$1:$I$89,3,0)*VLOOKUP('Données projet'!$B$10,Paramètres!$A$1:$I$89,5,0)</f>
        <v>-1.5961632016114892E-13</v>
      </c>
      <c r="AK97" s="13" t="e">
        <f t="shared" si="89"/>
        <v>#NUM!</v>
      </c>
      <c r="AL97" s="20" t="e">
        <f t="shared" si="58"/>
        <v>#NUM!</v>
      </c>
      <c r="AM97" s="59" t="e">
        <f t="shared" si="59"/>
        <v>#NUM!</v>
      </c>
      <c r="AN97" s="59">
        <f ca="1">AVERAGE(OFFSET($AM$3,0,0,'Données projet'!$E$10+1,1))-AVERAGE(OFFSET($H$3,0,0,'Données projet'!$E$10+1,1))</f>
        <v>267.78121291362345</v>
      </c>
      <c r="AO97" s="59">
        <f t="shared" si="90"/>
        <v>320.1780590861174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2.0501295100678583</v>
      </c>
      <c r="AV97" s="21">
        <f>EXP(-LN(2)/25)*AV96+(1-EXP(-LN(2)/25))/(LN(2)/25)*Calculateur!AQ97*Calculateur!AS97*VLOOKUP('Données projet'!$B$10,Paramètres!$A$1:$I$89,3,0)*0.475*44/12</f>
        <v>3.4026053137470726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5.4527348238149305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2.8</v>
      </c>
      <c r="BD97" s="12">
        <f>IF('Données projet'!$A$88&gt;35,BD96+BC97-BL96,IF(A97&lt;'Données projet'!$A$88,$BA$205^A97,IF(A97='Données projet'!$A$88,'Données projet'!$B$88,BD96+BC97-BL96)))</f>
        <v>216.20000000000007</v>
      </c>
      <c r="BE97" s="13">
        <f>BD97*VLOOKUP('Données projet'!$B$11,Paramètres!$A$1:$I$89,3,0)*VLOOKUP('Données projet'!$B$11,Paramètres!$A$1:$I$89,5,0)</f>
        <v>188.87232000000009</v>
      </c>
      <c r="BF97" s="13">
        <f t="shared" si="91"/>
        <v>47.290552503862891</v>
      </c>
      <c r="BG97" s="20">
        <f t="shared" si="61"/>
        <v>411.31700294422802</v>
      </c>
      <c r="BH97" s="59">
        <f t="shared" si="62"/>
        <v>704.65033627756134</v>
      </c>
      <c r="BI97" s="59">
        <f ca="1">AVERAGE(OFFSET($BH$3,0,0,'Données projet'!$E$11+1,1))-AVERAGE(OFFSET($H$3,0,0,'Données projet'!$E$11+1,1))</f>
        <v>212.82470567725971</v>
      </c>
      <c r="BJ97" s="59">
        <f t="shared" si="92"/>
        <v>196.91968622092054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0.28504400273308989</v>
      </c>
      <c r="BQ97" s="21">
        <f>EXP(-LN(2)/25)*BQ96+(1-EXP(-LN(2)/25))/(LN(2)/25)*Calculateur!BL97*Calculateur!BN97*VLOOKUP('Données projet'!$B$11,Paramètres!$A$1:$I$89,3,0)*0.475*44/12</f>
        <v>0.69249953495842009</v>
      </c>
      <c r="BR97" s="21">
        <f>EXP(-LN(2)/2)*BR96+(1-EXP(-LN(2)/2))/(LN(2)/2)*BL97*BO97*VLOOKUP('Données projet'!$B$11,Paramètres!$A$1:$I$89,3,0)*0.475*44/12</f>
        <v>0</v>
      </c>
      <c r="BS97" s="22">
        <f t="shared" si="63"/>
        <v>0.97754353769151003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25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44.460000000000093</v>
      </c>
      <c r="D98" s="11">
        <f t="shared" si="86"/>
        <v>13.173399977011883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444.88940333132058</v>
      </c>
      <c r="H98" s="67">
        <f t="shared" si="56"/>
        <v>393.7115049599625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5.6843418860808015E-13</v>
      </c>
      <c r="O98" s="13">
        <f>N98*VLOOKUP('Données projet'!$B$9,Paramètres!$A$1:$I$89,3,0)*VLOOKUP('Données projet'!$B$9,Paramètres!$A$1:$I$89,5,0)</f>
        <v>2.2907897800905631E-13</v>
      </c>
      <c r="P98" s="13">
        <f t="shared" si="87"/>
        <v>3.1248920576624499E-12</v>
      </c>
      <c r="Q98" s="20">
        <f t="shared" si="54"/>
        <v>5.8414995537945398E-12</v>
      </c>
      <c r="R98" s="59">
        <f t="shared" si="55"/>
        <v>293.33333333333917</v>
      </c>
      <c r="S98" s="59">
        <f ca="1">AVERAGE(OFFSET($R$3,0,0,'Données projet'!$E$9+1,1))-AVERAGE(OFFSET($H$3,0,0,'Données projet'!$E$9+1,1))</f>
        <v>321.12254860105566</v>
      </c>
      <c r="T98" s="59">
        <f t="shared" si="88"/>
        <v>270.52026164274571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3.6452474675835416</v>
      </c>
      <c r="AA98" s="21">
        <f>EXP(-LN(2)/25)*AA97+(1-EXP(-LN(2)/25))/(LN(2)/25)*Calculateur!V98*Calculateur!X98*VLOOKUP('Données projet'!$B$9,Paramètres!$A$1:$I$89,3,0)*0.475*44/12</f>
        <v>3.4009753286880784</v>
      </c>
      <c r="AB98" s="21">
        <f>EXP(-LN(2)/2)*AB97+(1-EXP(-LN(2)/2))/(LN(2)/2)*V98*Y98*VLOOKUP('Données projet'!$B$9,Paramètres!$A$1:$I$89,3,0)*0.475*44/12</f>
        <v>0</v>
      </c>
      <c r="AC98" s="22">
        <f t="shared" si="57"/>
        <v>7.0462227962716195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-3.4106051316484809E-13</v>
      </c>
      <c r="AJ98" s="13">
        <f>AI98*VLOOKUP('Données projet'!$B$10,Paramètres!$A$1:$I$89,3,0)*VLOOKUP('Données projet'!$B$10,Paramètres!$A$1:$I$89,5,0)</f>
        <v>-1.5961632016114892E-13</v>
      </c>
      <c r="AK98" s="13" t="e">
        <f t="shared" si="89"/>
        <v>#NUM!</v>
      </c>
      <c r="AL98" s="20" t="e">
        <f t="shared" si="58"/>
        <v>#NUM!</v>
      </c>
      <c r="AM98" s="59" t="e">
        <f t="shared" si="59"/>
        <v>#NUM!</v>
      </c>
      <c r="AN98" s="59">
        <f ca="1">AVERAGE(OFFSET($AM$3,0,0,'Données projet'!$E$10+1,1))-AVERAGE(OFFSET($H$3,0,0,'Données projet'!$E$10+1,1))</f>
        <v>267.78121291362345</v>
      </c>
      <c r="AO98" s="59">
        <f t="shared" si="90"/>
        <v>320.1780590861174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2.0099277208309565</v>
      </c>
      <c r="AV98" s="21">
        <f>EXP(-LN(2)/25)*AV97+(1-EXP(-LN(2)/25))/(LN(2)/25)*Calculateur!AQ98*Calculateur!AS98*VLOOKUP('Données projet'!$B$10,Paramètres!$A$1:$I$89,3,0)*0.475*44/12</f>
        <v>3.3095608925074225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5.319488613338379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>
        <f>VLOOKUP(A98,'Données projet'!$A$87:$I$107,2,0)</f>
        <v>219</v>
      </c>
      <c r="BB98" s="12">
        <f>VLOOKUP(A98,'Données projet'!$A$87:$I$107,9,0)</f>
        <v>2.8</v>
      </c>
      <c r="BC98" s="12">
        <f t="array" ref="BC98">INDEX(BB:BB,MIN(IF(ISNUMBER(BB98:BB294),ROW(BB98:BB294),"")))</f>
        <v>2.8</v>
      </c>
      <c r="BD98" s="12">
        <f>IF('Données projet'!$A$88&gt;35,BD97+BC98-BL97,IF(A98&lt;'Données projet'!$A$88,$BA$205^A98,IF(A98='Données projet'!$A$88,'Données projet'!$B$88,BD97+BC98-BL97)))</f>
        <v>219.00000000000009</v>
      </c>
      <c r="BE98" s="13">
        <f>BD98*VLOOKUP('Données projet'!$B$11,Paramètres!$A$1:$I$89,3,0)*VLOOKUP('Données projet'!$B$11,Paramètres!$A$1:$I$89,5,0)</f>
        <v>191.31840000000008</v>
      </c>
      <c r="BF98" s="13">
        <f t="shared" si="91"/>
        <v>47.831314962098396</v>
      </c>
      <c r="BG98" s="20">
        <f t="shared" si="61"/>
        <v>416.51908689232147</v>
      </c>
      <c r="BH98" s="59">
        <f t="shared" si="62"/>
        <v>709.85242022565478</v>
      </c>
      <c r="BI98" s="59">
        <f ca="1">AVERAGE(OFFSET($BH$3,0,0,'Données projet'!$E$11+1,1))-AVERAGE(OFFSET($H$3,0,0,'Données projet'!$E$11+1,1))</f>
        <v>212.82470567725971</v>
      </c>
      <c r="BJ98" s="59">
        <f t="shared" si="92"/>
        <v>196.91968622092054</v>
      </c>
      <c r="BK98" s="15">
        <f>IF(ISNA(VLOOKUP(A98,'Données projet'!$A$87:$I$107,3,0)),0,VLOOKUP(A98,'Données projet'!$A$87:$I$107,3,0))</f>
        <v>16</v>
      </c>
      <c r="BL98" s="15">
        <f>IF(ISNA(VLOOKUP(A98,'Données projet'!$A$87:$I$107,4,0)),0,VLOOKUP(A98,'Données projet'!$A$87:$I$107,4,0))</f>
        <v>11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0.27945446369916843</v>
      </c>
      <c r="BQ98" s="21">
        <f>EXP(-LN(2)/25)*BQ97+(1-EXP(-LN(2)/25))/(LN(2)/25)*Calculateur!BL98*Calculateur!BN98*VLOOKUP('Données projet'!$B$11,Paramètres!$A$1:$I$89,3,0)*0.475*44/12</f>
        <v>0.67356309875801423</v>
      </c>
      <c r="BR98" s="21">
        <f>EXP(-LN(2)/2)*BR97+(1-EXP(-LN(2)/2))/(LN(2)/2)*BL98*BO98*VLOOKUP('Données projet'!$B$11,Paramètres!$A$1:$I$89,3,0)*0.475*44/12</f>
        <v>0</v>
      </c>
      <c r="BS98" s="22">
        <f t="shared" si="63"/>
        <v>0.95301756245718261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25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44.928000000000097</v>
      </c>
      <c r="D99" s="11">
        <f t="shared" si="86"/>
        <v>13.295851692351626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449.44727622166243</v>
      </c>
      <c r="H99" s="67">
        <f t="shared" si="56"/>
        <v>394.73987503084589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5.6843418860808015E-13</v>
      </c>
      <c r="O99" s="13">
        <f>N99*VLOOKUP('Données projet'!$B$9,Paramètres!$A$1:$I$89,3,0)*VLOOKUP('Données projet'!$B$9,Paramètres!$A$1:$I$89,5,0)</f>
        <v>2.2907897800905631E-13</v>
      </c>
      <c r="P99" s="13">
        <f t="shared" si="87"/>
        <v>3.1248920576624499E-12</v>
      </c>
      <c r="Q99" s="20">
        <f t="shared" ref="Q99:Q130" si="107">(O99+P99)*0.475*44/12</f>
        <v>5.8414995537945398E-12</v>
      </c>
      <c r="R99" s="59">
        <f t="shared" si="55"/>
        <v>293.33333333333917</v>
      </c>
      <c r="S99" s="59">
        <f ca="1">AVERAGE(OFFSET($R$3,0,0,'Données projet'!$E$9+1,1))-AVERAGE(OFFSET($H$3,0,0,'Données projet'!$E$9+1,1))</f>
        <v>321.12254860105566</v>
      </c>
      <c r="T99" s="59">
        <f t="shared" si="88"/>
        <v>270.52026164274571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3.5737663881256427</v>
      </c>
      <c r="AA99" s="21">
        <f>EXP(-LN(2)/25)*AA98+(1-EXP(-LN(2)/25))/(LN(2)/25)*Calculateur!V99*Calculateur!X99*VLOOKUP('Données projet'!$B$9,Paramètres!$A$1:$I$89,3,0)*0.475*44/12</f>
        <v>3.3079754794755836</v>
      </c>
      <c r="AB99" s="21">
        <f>EXP(-LN(2)/2)*AB98+(1-EXP(-LN(2)/2))/(LN(2)/2)*V99*Y99*VLOOKUP('Données projet'!$B$9,Paramètres!$A$1:$I$89,3,0)*0.475*44/12</f>
        <v>0</v>
      </c>
      <c r="AC99" s="22">
        <f t="shared" si="57"/>
        <v>6.8817418676012263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-3.4106051316484809E-13</v>
      </c>
      <c r="AJ99" s="13">
        <f>AI99*VLOOKUP('Données projet'!$B$10,Paramètres!$A$1:$I$89,3,0)*VLOOKUP('Données projet'!$B$10,Paramètres!$A$1:$I$89,5,0)</f>
        <v>-1.5961632016114892E-13</v>
      </c>
      <c r="AK99" s="13" t="e">
        <f t="shared" si="89"/>
        <v>#NUM!</v>
      </c>
      <c r="AL99" s="20" t="e">
        <f t="shared" si="58"/>
        <v>#NUM!</v>
      </c>
      <c r="AM99" s="59" t="e">
        <f t="shared" si="59"/>
        <v>#NUM!</v>
      </c>
      <c r="AN99" s="59">
        <f ca="1">AVERAGE(OFFSET($AM$3,0,0,'Données projet'!$E$10+1,1))-AVERAGE(OFFSET($H$3,0,0,'Données projet'!$E$10+1,1))</f>
        <v>267.78121291362345</v>
      </c>
      <c r="AO99" s="59">
        <f t="shared" si="90"/>
        <v>320.1780590861174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1.9705142641603202</v>
      </c>
      <c r="AV99" s="21">
        <f>EXP(-LN(2)/25)*AV98+(1-EXP(-LN(2)/25))/(LN(2)/25)*Calculateur!AQ99*Calculateur!AS99*VLOOKUP('Données projet'!$B$10,Paramètres!$A$1:$I$89,3,0)*0.475*44/12</f>
        <v>3.219060775859564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5.1895750400198839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3</v>
      </c>
      <c r="BD99" s="12">
        <f>IF('Données projet'!$A$88&gt;35,BD98+BC99-BL98,IF(A99&lt;'Données projet'!$A$88,$BA$205^A99,IF(A99='Données projet'!$A$88,'Données projet'!$B$88,BD98+BC99-BL98)))</f>
        <v>211.00000000000009</v>
      </c>
      <c r="BE99" s="13">
        <f>BD99*VLOOKUP('Données projet'!$B$11,Paramètres!$A$1:$I$89,3,0)*VLOOKUP('Données projet'!$B$11,Paramètres!$A$1:$I$89,5,0)</f>
        <v>184.32960000000008</v>
      </c>
      <c r="BF99" s="13">
        <f t="shared" si="91"/>
        <v>46.284105851003098</v>
      </c>
      <c r="BG99" s="20">
        <f t="shared" si="61"/>
        <v>401.65220435716384</v>
      </c>
      <c r="BH99" s="59">
        <f t="shared" si="62"/>
        <v>694.98553769049715</v>
      </c>
      <c r="BI99" s="59">
        <f ca="1">AVERAGE(OFFSET($BH$3,0,0,'Données projet'!$E$11+1,1))-AVERAGE(OFFSET($H$3,0,0,'Données projet'!$E$11+1,1))</f>
        <v>212.82470567725971</v>
      </c>
      <c r="BJ99" s="59">
        <f t="shared" si="92"/>
        <v>196.91968622092054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0.27397453211642003</v>
      </c>
      <c r="BQ99" s="21">
        <f>EXP(-LN(2)/25)*BQ98+(1-EXP(-LN(2)/25))/(LN(2)/25)*Calculateur!BL99*Calculateur!BN99*VLOOKUP('Données projet'!$B$11,Paramètres!$A$1:$I$89,3,0)*0.475*44/12</f>
        <v>0.65514448040133244</v>
      </c>
      <c r="BR99" s="21">
        <f>EXP(-LN(2)/2)*BR98+(1-EXP(-LN(2)/2))/(LN(2)/2)*BL99*BO99*VLOOKUP('Données projet'!$B$11,Paramètres!$A$1:$I$89,3,0)*0.475*44/12</f>
        <v>0</v>
      </c>
      <c r="BS99" s="22">
        <f t="shared" si="63"/>
        <v>0.92911901251775242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25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45.3960000000001</v>
      </c>
      <c r="D100" s="11">
        <f t="shared" si="86"/>
        <v>13.418155022123713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454.00400367955223</v>
      </c>
      <c r="H100" s="67">
        <f t="shared" si="56"/>
        <v>395.76798666353227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5.6843418860808015E-13</v>
      </c>
      <c r="O100" s="13">
        <f>N100*VLOOKUP('Données projet'!$B$9,Paramètres!$A$1:$I$89,3,0)*VLOOKUP('Données projet'!$B$9,Paramètres!$A$1:$I$89,5,0)</f>
        <v>2.2907897800905631E-13</v>
      </c>
      <c r="P100" s="13">
        <f t="shared" si="87"/>
        <v>3.1248920576624499E-12</v>
      </c>
      <c r="Q100" s="20">
        <f t="shared" si="107"/>
        <v>5.8414995537945398E-12</v>
      </c>
      <c r="R100" s="59">
        <f t="shared" si="55"/>
        <v>293.33333333333917</v>
      </c>
      <c r="S100" s="59">
        <f ca="1">AVERAGE(OFFSET($R$3,0,0,'Données projet'!$E$9+1,1))-AVERAGE(OFFSET($H$3,0,0,'Données projet'!$E$9+1,1))</f>
        <v>321.12254860105566</v>
      </c>
      <c r="T100" s="59">
        <f t="shared" si="88"/>
        <v>270.52026164274571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3.50368700903676</v>
      </c>
      <c r="AA100" s="21">
        <f>EXP(-LN(2)/25)*AA99+(1-EXP(-LN(2)/25))/(LN(2)/25)*Calculateur!V100*Calculateur!X100*VLOOKUP('Données projet'!$B$9,Paramètres!$A$1:$I$89,3,0)*0.475*44/12</f>
        <v>3.2175187160304537</v>
      </c>
      <c r="AB100" s="21">
        <f>EXP(-LN(2)/2)*AB99+(1-EXP(-LN(2)/2))/(LN(2)/2)*V100*Y100*VLOOKUP('Données projet'!$B$9,Paramètres!$A$1:$I$89,3,0)*0.475*44/12</f>
        <v>0</v>
      </c>
      <c r="AC100" s="22">
        <f t="shared" si="57"/>
        <v>6.7212057250672137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-3.4106051316484809E-13</v>
      </c>
      <c r="AJ100" s="13">
        <f>AI100*VLOOKUP('Données projet'!$B$10,Paramètres!$A$1:$I$89,3,0)*VLOOKUP('Données projet'!$B$10,Paramètres!$A$1:$I$89,5,0)</f>
        <v>-1.5961632016114892E-13</v>
      </c>
      <c r="AK100" s="13" t="e">
        <f t="shared" si="89"/>
        <v>#NUM!</v>
      </c>
      <c r="AL100" s="20" t="e">
        <f t="shared" si="58"/>
        <v>#NUM!</v>
      </c>
      <c r="AM100" s="59" t="e">
        <f t="shared" si="59"/>
        <v>#NUM!</v>
      </c>
      <c r="AN100" s="59">
        <f ca="1">AVERAGE(OFFSET($AM$3,0,0,'Données projet'!$E$10+1,1))-AVERAGE(OFFSET($H$3,0,0,'Données projet'!$E$10+1,1))</f>
        <v>267.78121291362345</v>
      </c>
      <c r="AO100" s="59">
        <f t="shared" si="90"/>
        <v>320.1780590861174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1.9318736813351602</v>
      </c>
      <c r="AV100" s="21">
        <f>EXP(-LN(2)/25)*AV99+(1-EXP(-LN(2)/25))/(LN(2)/25)*Calculateur!AQ100*Calculateur!AS100*VLOOKUP('Données projet'!$B$10,Paramètres!$A$1:$I$89,3,0)*0.475*44/12</f>
        <v>3.1310353896606351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5.0629090709957953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3</v>
      </c>
      <c r="BD100" s="12">
        <f>IF('Données projet'!$A$88&gt;35,BD99+BC100-BL99,IF(A100&lt;'Données projet'!$A$88,$BA$205^A100,IF(A100='Données projet'!$A$88,'Données projet'!$B$88,BD99+BC100-BL99)))</f>
        <v>214.00000000000009</v>
      </c>
      <c r="BE100" s="13">
        <f>BD100*VLOOKUP('Données projet'!$B$11,Paramètres!$A$1:$I$89,3,0)*VLOOKUP('Données projet'!$B$11,Paramètres!$A$1:$I$89,5,0)</f>
        <v>186.95040000000009</v>
      </c>
      <c r="BF100" s="13">
        <f t="shared" si="91"/>
        <v>46.865095976617653</v>
      </c>
      <c r="BG100" s="20">
        <f t="shared" si="61"/>
        <v>407.22865549260922</v>
      </c>
      <c r="BH100" s="59">
        <f t="shared" si="62"/>
        <v>700.56198882594254</v>
      </c>
      <c r="BI100" s="59">
        <f ca="1">AVERAGE(OFFSET($BH$3,0,0,'Données projet'!$E$11+1,1))-AVERAGE(OFFSET($H$3,0,0,'Données projet'!$E$11+1,1))</f>
        <v>212.82470567725971</v>
      </c>
      <c r="BJ100" s="59">
        <f t="shared" si="92"/>
        <v>196.91968622092054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0.26860205864958109</v>
      </c>
      <c r="BQ100" s="21">
        <f>EXP(-LN(2)/25)*BQ99+(1-EXP(-LN(2)/25))/(LN(2)/25)*Calculateur!BL100*Calculateur!BN100*VLOOKUP('Données projet'!$B$11,Paramètres!$A$1:$I$89,3,0)*0.475*44/12</f>
        <v>0.63722952013220713</v>
      </c>
      <c r="BR100" s="21">
        <f>EXP(-LN(2)/2)*BR99+(1-EXP(-LN(2)/2))/(LN(2)/2)*BL100*BO100*VLOOKUP('Données projet'!$B$11,Paramètres!$A$1:$I$89,3,0)*0.475*44/12</f>
        <v>0</v>
      </c>
      <c r="BS100" s="22">
        <f t="shared" si="63"/>
        <v>0.90583157878178822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25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45.864000000000104</v>
      </c>
      <c r="D101" s="11">
        <f t="shared" si="86"/>
        <v>13.540311673175431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458.55959888065331</v>
      </c>
      <c r="H101" s="67">
        <f t="shared" si="56"/>
        <v>396.79584283078071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5.6843418860808015E-13</v>
      </c>
      <c r="O101" s="13">
        <f>N101*VLOOKUP('Données projet'!$B$9,Paramètres!$A$1:$I$89,3,0)*VLOOKUP('Données projet'!$B$9,Paramètres!$A$1:$I$89,5,0)</f>
        <v>2.2907897800905631E-13</v>
      </c>
      <c r="P101" s="13">
        <f t="shared" si="87"/>
        <v>3.1248920576624499E-12</v>
      </c>
      <c r="Q101" s="20">
        <f t="shared" si="107"/>
        <v>5.8414995537945398E-12</v>
      </c>
      <c r="R101" s="59">
        <f t="shared" si="55"/>
        <v>293.33333333333917</v>
      </c>
      <c r="S101" s="59">
        <f ca="1">AVERAGE(OFFSET($R$3,0,0,'Données projet'!$E$9+1,1))-AVERAGE(OFFSET($H$3,0,0,'Données projet'!$E$9+1,1))</f>
        <v>321.12254860105566</v>
      </c>
      <c r="T101" s="59">
        <f t="shared" si="88"/>
        <v>270.52026164274571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3.4349818438276096</v>
      </c>
      <c r="AA101" s="21">
        <f>EXP(-LN(2)/25)*AA100+(1-EXP(-LN(2)/25))/(LN(2)/25)*Calculateur!V101*Calculateur!X101*VLOOKUP('Données projet'!$B$9,Paramètres!$A$1:$I$89,3,0)*0.475*44/12</f>
        <v>3.1295354975386456</v>
      </c>
      <c r="AB101" s="21">
        <f>EXP(-LN(2)/2)*AB100+(1-EXP(-LN(2)/2))/(LN(2)/2)*V101*Y101*VLOOKUP('Données projet'!$B$9,Paramètres!$A$1:$I$89,3,0)*0.475*44/12</f>
        <v>0</v>
      </c>
      <c r="AC101" s="22">
        <f t="shared" si="57"/>
        <v>6.5645173413662548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-3.4106051316484809E-13</v>
      </c>
      <c r="AJ101" s="13">
        <f>AI101*VLOOKUP('Données projet'!$B$10,Paramètres!$A$1:$I$89,3,0)*VLOOKUP('Données projet'!$B$10,Paramètres!$A$1:$I$89,5,0)</f>
        <v>-1.5961632016114892E-13</v>
      </c>
      <c r="AK101" s="13" t="e">
        <f t="shared" si="89"/>
        <v>#NUM!</v>
      </c>
      <c r="AL101" s="20" t="e">
        <f t="shared" si="58"/>
        <v>#NUM!</v>
      </c>
      <c r="AM101" s="59" t="e">
        <f t="shared" si="59"/>
        <v>#NUM!</v>
      </c>
      <c r="AN101" s="59">
        <f ca="1">AVERAGE(OFFSET($AM$3,0,0,'Données projet'!$E$10+1,1))-AVERAGE(OFFSET($H$3,0,0,'Données projet'!$E$10+1,1))</f>
        <v>267.78121291362345</v>
      </c>
      <c r="AO101" s="59">
        <f t="shared" si="90"/>
        <v>320.1780590861174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1.8939908167707733</v>
      </c>
      <c r="AV101" s="21">
        <f>EXP(-LN(2)/25)*AV100+(1-EXP(-LN(2)/25))/(LN(2)/25)*Calculateur!AQ101*Calculateur!AS101*VLOOKUP('Données projet'!$B$10,Paramètres!$A$1:$I$89,3,0)*0.475*44/12</f>
        <v>3.0454170622763699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4.9394078790471436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3</v>
      </c>
      <c r="BD101" s="12">
        <f>IF('Données projet'!$A$88&gt;35,BD100+BC101-BL100,IF(A101&lt;'Données projet'!$A$88,$BA$205^A101,IF(A101='Données projet'!$A$88,'Données projet'!$B$88,BD100+BC101-BL100)))</f>
        <v>217.00000000000009</v>
      </c>
      <c r="BE101" s="13">
        <f>BD101*VLOOKUP('Données projet'!$B$11,Paramètres!$A$1:$I$89,3,0)*VLOOKUP('Données projet'!$B$11,Paramètres!$A$1:$I$89,5,0)</f>
        <v>189.57120000000009</v>
      </c>
      <c r="BF101" s="13">
        <f t="shared" si="91"/>
        <v>47.445138796932483</v>
      </c>
      <c r="BG101" s="20">
        <f t="shared" si="61"/>
        <v>412.80345673799087</v>
      </c>
      <c r="BH101" s="59">
        <f t="shared" si="62"/>
        <v>706.13679007132419</v>
      </c>
      <c r="BI101" s="59">
        <f ca="1">AVERAGE(OFFSET($BH$3,0,0,'Données projet'!$E$11+1,1))-AVERAGE(OFFSET($H$3,0,0,'Données projet'!$E$11+1,1))</f>
        <v>212.82470567725971</v>
      </c>
      <c r="BJ101" s="59">
        <f t="shared" si="92"/>
        <v>196.91968622092054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0.2633349361105416</v>
      </c>
      <c r="BQ101" s="21">
        <f>EXP(-LN(2)/25)*BQ100+(1-EXP(-LN(2)/25))/(LN(2)/25)*Calculateur!BL101*Calculateur!BN101*VLOOKUP('Données projet'!$B$11,Paramètres!$A$1:$I$89,3,0)*0.475*44/12</f>
        <v>0.6198044453937479</v>
      </c>
      <c r="BR101" s="21">
        <f>EXP(-LN(2)/2)*BR100+(1-EXP(-LN(2)/2))/(LN(2)/2)*BL101*BO101*VLOOKUP('Données projet'!$B$11,Paramètres!$A$1:$I$89,3,0)*0.475*44/12</f>
        <v>0</v>
      </c>
      <c r="BS101" s="22">
        <f t="shared" si="63"/>
        <v>0.8831393815042895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25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46.332000000000107</v>
      </c>
      <c r="D102" s="11">
        <f t="shared" si="86"/>
        <v>13.662323315513085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463.11407471624216</v>
      </c>
      <c r="H102" s="67">
        <f t="shared" si="56"/>
        <v>397.82344644118547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5.6843418860808015E-13</v>
      </c>
      <c r="O102" s="13">
        <f>N102*VLOOKUP('Données projet'!$B$9,Paramètres!$A$1:$I$89,3,0)*VLOOKUP('Données projet'!$B$9,Paramètres!$A$1:$I$89,5,0)</f>
        <v>2.2907897800905631E-13</v>
      </c>
      <c r="P102" s="13">
        <f t="shared" si="87"/>
        <v>3.1248920576624499E-12</v>
      </c>
      <c r="Q102" s="20">
        <f t="shared" si="107"/>
        <v>5.8414995537945398E-12</v>
      </c>
      <c r="R102" s="59">
        <f t="shared" si="55"/>
        <v>293.33333333333917</v>
      </c>
      <c r="S102" s="59">
        <f ca="1">AVERAGE(OFFSET($R$3,0,0,'Données projet'!$E$9+1,1))-AVERAGE(OFFSET($H$3,0,0,'Données projet'!$E$9+1,1))</f>
        <v>321.12254860105566</v>
      </c>
      <c r="T102" s="59">
        <f t="shared" si="88"/>
        <v>270.52026164274571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3.3676239450021979</v>
      </c>
      <c r="AA102" s="21">
        <f>EXP(-LN(2)/25)*AA101+(1-EXP(-LN(2)/25))/(LN(2)/25)*Calculateur!V102*Calculateur!X102*VLOOKUP('Données projet'!$B$9,Paramètres!$A$1:$I$89,3,0)*0.475*44/12</f>
        <v>3.0439581847833321</v>
      </c>
      <c r="AB102" s="21">
        <f>EXP(-LN(2)/2)*AB101+(1-EXP(-LN(2)/2))/(LN(2)/2)*V102*Y102*VLOOKUP('Données projet'!$B$9,Paramètres!$A$1:$I$89,3,0)*0.475*44/12</f>
        <v>0</v>
      </c>
      <c r="AC102" s="22">
        <f t="shared" si="57"/>
        <v>6.41158212978553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-3.4106051316484809E-13</v>
      </c>
      <c r="AJ102" s="13">
        <f>AI102*VLOOKUP('Données projet'!$B$10,Paramètres!$A$1:$I$89,3,0)*VLOOKUP('Données projet'!$B$10,Paramètres!$A$1:$I$89,5,0)</f>
        <v>-1.5961632016114892E-13</v>
      </c>
      <c r="AK102" s="13" t="e">
        <f t="shared" si="89"/>
        <v>#NUM!</v>
      </c>
      <c r="AL102" s="20" t="e">
        <f t="shared" si="58"/>
        <v>#NUM!</v>
      </c>
      <c r="AM102" s="59" t="e">
        <f t="shared" si="59"/>
        <v>#NUM!</v>
      </c>
      <c r="AN102" s="59">
        <f ca="1">AVERAGE(OFFSET($AM$3,0,0,'Données projet'!$E$10+1,1))-AVERAGE(OFFSET($H$3,0,0,'Données projet'!$E$10+1,1))</f>
        <v>267.78121291362345</v>
      </c>
      <c r="AO102" s="59">
        <f t="shared" si="90"/>
        <v>320.1780590861174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1.8568508120742282</v>
      </c>
      <c r="AV102" s="21">
        <f>EXP(-LN(2)/25)*AV101+(1-EXP(-LN(2)/25))/(LN(2)/25)*Calculateur!AQ102*Calculateur!AS102*VLOOKUP('Données projet'!$B$10,Paramètres!$A$1:$I$89,3,0)*0.475*44/12</f>
        <v>2.9621399725568995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4.8189907846311275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3</v>
      </c>
      <c r="BD102" s="12">
        <f>IF('Données projet'!$A$88&gt;35,BD101+BC102-BL101,IF(A102&lt;'Données projet'!$A$88,$BA$205^A102,IF(A102='Données projet'!$A$88,'Données projet'!$B$88,BD101+BC102-BL101)))</f>
        <v>220.00000000000009</v>
      </c>
      <c r="BE102" s="13">
        <f>BD102*VLOOKUP('Données projet'!$B$11,Paramètres!$A$1:$I$89,3,0)*VLOOKUP('Données projet'!$B$11,Paramètres!$A$1:$I$89,5,0)</f>
        <v>192.19200000000009</v>
      </c>
      <c r="BF102" s="13">
        <f t="shared" si="91"/>
        <v>48.024248921932482</v>
      </c>
      <c r="BG102" s="20">
        <f t="shared" si="61"/>
        <v>418.37663353903253</v>
      </c>
      <c r="BH102" s="59">
        <f t="shared" si="62"/>
        <v>711.70996687236584</v>
      </c>
      <c r="BI102" s="59">
        <f ca="1">AVERAGE(OFFSET($BH$3,0,0,'Données projet'!$E$11+1,1))-AVERAGE(OFFSET($H$3,0,0,'Données projet'!$E$11+1,1))</f>
        <v>212.82470567725971</v>
      </c>
      <c r="BJ102" s="59">
        <f t="shared" si="92"/>
        <v>196.91968622092054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0.25817109863186516</v>
      </c>
      <c r="BQ102" s="21">
        <f>EXP(-LN(2)/25)*BQ101+(1-EXP(-LN(2)/25))/(LN(2)/25)*Calculateur!BL102*Calculateur!BN102*VLOOKUP('Données projet'!$B$11,Paramètres!$A$1:$I$89,3,0)*0.475*44/12</f>
        <v>0.60285586024035664</v>
      </c>
      <c r="BR102" s="21">
        <f>EXP(-LN(2)/2)*BR101+(1-EXP(-LN(2)/2))/(LN(2)/2)*BL102*BO102*VLOOKUP('Données projet'!$B$11,Paramètres!$A$1:$I$89,3,0)*0.475*44/12</f>
        <v>0</v>
      </c>
      <c r="BS102" s="22">
        <f t="shared" si="63"/>
        <v>0.8610269588722218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25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46.800000000000111</v>
      </c>
      <c r="D103" s="11">
        <f t="shared" si="86"/>
        <v>13.784191583461164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467.66744380215727</v>
      </c>
      <c r="H103" s="67">
        <f t="shared" si="56"/>
        <v>398.85080034119505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5.6843418860808015E-13</v>
      </c>
      <c r="O103" s="13">
        <f>N103*VLOOKUP('Données projet'!$B$9,Paramètres!$A$1:$I$89,3,0)*VLOOKUP('Données projet'!$B$9,Paramètres!$A$1:$I$89,5,0)</f>
        <v>2.2907897800905631E-13</v>
      </c>
      <c r="P103" s="13">
        <f t="shared" si="87"/>
        <v>3.1248920576624499E-12</v>
      </c>
      <c r="Q103" s="20">
        <f t="shared" si="107"/>
        <v>5.8414995537945398E-12</v>
      </c>
      <c r="R103" s="59">
        <f t="shared" si="55"/>
        <v>293.33333333333917</v>
      </c>
      <c r="S103" s="59">
        <f ca="1">AVERAGE(OFFSET($R$3,0,0,'Données projet'!$E$9+1,1))-AVERAGE(OFFSET($H$3,0,0,'Données projet'!$E$9+1,1))</f>
        <v>321.12254860105566</v>
      </c>
      <c r="T103" s="59">
        <f t="shared" si="88"/>
        <v>270.52026164274571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3.3015868934884907</v>
      </c>
      <c r="AA103" s="21">
        <f>EXP(-LN(2)/25)*AA102+(1-EXP(-LN(2)/25))/(LN(2)/25)*Calculateur!V103*Calculateur!X103*VLOOKUP('Données projet'!$B$9,Paramètres!$A$1:$I$89,3,0)*0.475*44/12</f>
        <v>2.9607209881456282</v>
      </c>
      <c r="AB103" s="21">
        <f>EXP(-LN(2)/2)*AB102+(1-EXP(-LN(2)/2))/(LN(2)/2)*V103*Y103*VLOOKUP('Données projet'!$B$9,Paramètres!$A$1:$I$89,3,0)*0.475*44/12</f>
        <v>0</v>
      </c>
      <c r="AC103" s="22">
        <f t="shared" si="57"/>
        <v>6.2623078816341184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-3.4106051316484809E-13</v>
      </c>
      <c r="AJ103" s="13">
        <f>AI103*VLOOKUP('Données projet'!$B$10,Paramètres!$A$1:$I$89,3,0)*VLOOKUP('Données projet'!$B$10,Paramètres!$A$1:$I$89,5,0)</f>
        <v>-1.5961632016114892E-13</v>
      </c>
      <c r="AK103" s="13" t="e">
        <f t="shared" si="89"/>
        <v>#NUM!</v>
      </c>
      <c r="AL103" s="20" t="e">
        <f t="shared" si="58"/>
        <v>#NUM!</v>
      </c>
      <c r="AM103" s="59" t="e">
        <f t="shared" si="59"/>
        <v>#NUM!</v>
      </c>
      <c r="AN103" s="59">
        <f ca="1">AVERAGE(OFFSET($AM$3,0,0,'Données projet'!$E$10+1,1))-AVERAGE(OFFSET($H$3,0,0,'Données projet'!$E$10+1,1))</f>
        <v>267.78121291362345</v>
      </c>
      <c r="AO103" s="59">
        <f t="shared" si="90"/>
        <v>320.1780590861174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1.8204391002166163</v>
      </c>
      <c r="AV103" s="21">
        <f>EXP(-LN(2)/25)*AV102+(1-EXP(-LN(2)/25))/(LN(2)/25)*Calculateur!AQ103*Calculateur!AS103*VLOOKUP('Données projet'!$B$10,Paramètres!$A$1:$I$89,3,0)*0.475*44/12</f>
        <v>2.8811400992351599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4.7015791994517766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>
        <f>VLOOKUP(A103,'Données projet'!$A$87:$I$107,2,0)</f>
        <v>223</v>
      </c>
      <c r="BB103" s="12">
        <f>VLOOKUP(A103,'Données projet'!$A$87:$I$107,9,0)</f>
        <v>3</v>
      </c>
      <c r="BC103" s="12">
        <f t="array" ref="BC103">INDEX(BB:BB,MIN(IF(ISNUMBER(BB103:BB299),ROW(BB103:BB299),"")))</f>
        <v>3</v>
      </c>
      <c r="BD103" s="12">
        <f>IF('Données projet'!$A$88&gt;35,BD102+BC103-BL102,IF(A103&lt;'Données projet'!$A$88,$BA$205^A103,IF(A103='Données projet'!$A$88,'Données projet'!$B$88,BD102+BC103-BL102)))</f>
        <v>223.00000000000009</v>
      </c>
      <c r="BE103" s="13">
        <f>BD103*VLOOKUP('Données projet'!$B$11,Paramètres!$A$1:$I$89,3,0)*VLOOKUP('Données projet'!$B$11,Paramètres!$A$1:$I$89,5,0)</f>
        <v>194.81280000000012</v>
      </c>
      <c r="BF103" s="13">
        <f t="shared" si="91"/>
        <v>48.602440540253902</v>
      </c>
      <c r="BG103" s="20">
        <f t="shared" si="61"/>
        <v>423.9482106076091</v>
      </c>
      <c r="BH103" s="59">
        <f t="shared" si="62"/>
        <v>717.28154394094236</v>
      </c>
      <c r="BI103" s="59">
        <f ca="1">AVERAGE(OFFSET($BH$3,0,0,'Données projet'!$E$11+1,1))-AVERAGE(OFFSET($H$3,0,0,'Données projet'!$E$11+1,1))</f>
        <v>212.82470567725971</v>
      </c>
      <c r="BJ103" s="59">
        <f t="shared" si="92"/>
        <v>196.91968622092054</v>
      </c>
      <c r="BK103" s="15" t="str">
        <f>IF(ISNA(VLOOKUP(A103,'Données projet'!$A$87:$I$107,3,0)),0,VLOOKUP(A103,'Données projet'!$A$87:$I$107,3,0))</f>
        <v>CR</v>
      </c>
      <c r="BL103" s="15">
        <f>IF(ISNA(VLOOKUP(A103,'Données projet'!$A$87:$I$107,4,0)),0,VLOOKUP(A103,'Données projet'!$A$87:$I$107,4,0))</f>
        <v>223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0.2531085208565157</v>
      </c>
      <c r="BQ103" s="21">
        <f>EXP(-LN(2)/25)*BQ102+(1-EXP(-LN(2)/25))/(LN(2)/25)*Calculateur!BL103*Calculateur!BN103*VLOOKUP('Données projet'!$B$11,Paramètres!$A$1:$I$89,3,0)*0.475*44/12</f>
        <v>0.58637073503927228</v>
      </c>
      <c r="BR103" s="21">
        <f>EXP(-LN(2)/2)*BR102+(1-EXP(-LN(2)/2))/(LN(2)/2)*BL103*BO103*VLOOKUP('Données projet'!$B$11,Paramètres!$A$1:$I$89,3,0)*0.475*44/12</f>
        <v>0</v>
      </c>
      <c r="BS103" s="22">
        <f t="shared" si="63"/>
        <v>0.83947925589578798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25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47.268000000000114</v>
      </c>
      <c r="D104" s="11">
        <f t="shared" si="86"/>
        <v>13.905918076773704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472.21971848737684</v>
      </c>
      <c r="H104" s="67">
        <f t="shared" si="56"/>
        <v>399.87790731704769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5.6843418860808015E-13</v>
      </c>
      <c r="O104" s="13">
        <f>N104*VLOOKUP('Données projet'!$B$9,Paramètres!$A$1:$I$89,3,0)*VLOOKUP('Données projet'!$B$9,Paramètres!$A$1:$I$89,5,0)</f>
        <v>2.2907897800905631E-13</v>
      </c>
      <c r="P104" s="13">
        <f t="shared" si="87"/>
        <v>3.1248920576624499E-12</v>
      </c>
      <c r="Q104" s="20">
        <f t="shared" si="107"/>
        <v>5.8414995537945398E-12</v>
      </c>
      <c r="R104" s="59">
        <f t="shared" si="55"/>
        <v>293.33333333333917</v>
      </c>
      <c r="S104" s="59">
        <f ca="1">AVERAGE(OFFSET($R$3,0,0,'Données projet'!$E$9+1,1))-AVERAGE(OFFSET($H$3,0,0,'Données projet'!$E$9+1,1))</f>
        <v>321.12254860105566</v>
      </c>
      <c r="T104" s="59">
        <f t="shared" si="88"/>
        <v>270.52026164274571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3.2368447882763434</v>
      </c>
      <c r="AA104" s="21">
        <f>EXP(-LN(2)/25)*AA103+(1-EXP(-LN(2)/25))/(LN(2)/25)*Calculateur!V104*Calculateur!X104*VLOOKUP('Données projet'!$B$9,Paramètres!$A$1:$I$89,3,0)*0.475*44/12</f>
        <v>2.8797599170272359</v>
      </c>
      <c r="AB104" s="21">
        <f>EXP(-LN(2)/2)*AB103+(1-EXP(-LN(2)/2))/(LN(2)/2)*V104*Y104*VLOOKUP('Données projet'!$B$9,Paramètres!$A$1:$I$89,3,0)*0.475*44/12</f>
        <v>0</v>
      </c>
      <c r="AC104" s="22">
        <f t="shared" si="57"/>
        <v>6.1166047053035797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-3.4106051316484809E-13</v>
      </c>
      <c r="AJ104" s="13">
        <f>AI104*VLOOKUP('Données projet'!$B$10,Paramètres!$A$1:$I$89,3,0)*VLOOKUP('Données projet'!$B$10,Paramètres!$A$1:$I$89,5,0)</f>
        <v>-1.5961632016114892E-13</v>
      </c>
      <c r="AK104" s="13" t="e">
        <f t="shared" si="89"/>
        <v>#NUM!</v>
      </c>
      <c r="AL104" s="20" t="e">
        <f t="shared" si="58"/>
        <v>#NUM!</v>
      </c>
      <c r="AM104" s="59" t="e">
        <f t="shared" si="59"/>
        <v>#NUM!</v>
      </c>
      <c r="AN104" s="59">
        <f ca="1">AVERAGE(OFFSET($AM$3,0,0,'Données projet'!$E$10+1,1))-AVERAGE(OFFSET($H$3,0,0,'Données projet'!$E$10+1,1))</f>
        <v>267.78121291362345</v>
      </c>
      <c r="AO104" s="59">
        <f t="shared" si="90"/>
        <v>320.1780590861174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1.7847413998195807</v>
      </c>
      <c r="AV104" s="21">
        <f>EXP(-LN(2)/25)*AV103+(1-EXP(-LN(2)/25))/(LN(2)/25)*Calculateur!AQ104*Calculateur!AS104*VLOOKUP('Données projet'!$B$10,Paramètres!$A$1:$I$89,3,0)*0.475*44/12</f>
        <v>2.8023551717090016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4.5870965715285825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8.5265128291212022E-14</v>
      </c>
      <c r="BE104" s="13">
        <f>BD104*VLOOKUP('Données projet'!$B$11,Paramètres!$A$1:$I$89,3,0)*VLOOKUP('Données projet'!$B$11,Paramètres!$A$1:$I$89,5,0)</f>
        <v>7.4487616075202836E-14</v>
      </c>
      <c r="BF104" s="13">
        <f t="shared" si="91"/>
        <v>1.1580453144473142E-12</v>
      </c>
      <c r="BG104" s="20">
        <f t="shared" si="61"/>
        <v>2.1466615206600508E-12</v>
      </c>
      <c r="BH104" s="59">
        <f t="shared" si="62"/>
        <v>293.33333333333547</v>
      </c>
      <c r="BI104" s="59">
        <f ca="1">AVERAGE(OFFSET($BH$3,0,0,'Données projet'!$E$11+1,1))-AVERAGE(OFFSET($H$3,0,0,'Données projet'!$E$11+1,1))</f>
        <v>212.82470567725971</v>
      </c>
      <c r="BJ104" s="59">
        <f t="shared" si="92"/>
        <v>196.91968622092054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0.24814521714347329</v>
      </c>
      <c r="BQ104" s="21">
        <f>EXP(-LN(2)/25)*BQ103+(1-EXP(-LN(2)/25))/(LN(2)/25)*Calculateur!BL104*Calculateur!BN104*VLOOKUP('Données projet'!$B$11,Paramètres!$A$1:$I$89,3,0)*0.475*44/12</f>
        <v>0.57033639645372658</v>
      </c>
      <c r="BR104" s="21">
        <f>EXP(-LN(2)/2)*BR103+(1-EXP(-LN(2)/2))/(LN(2)/2)*BL104*BO104*VLOOKUP('Données projet'!$B$11,Paramètres!$A$1:$I$89,3,0)*0.475*44/12</f>
        <v>0</v>
      </c>
      <c r="BS104" s="22">
        <f t="shared" si="63"/>
        <v>0.81848161359719984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25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47.736000000000118</v>
      </c>
      <c r="D105" s="11">
        <f t="shared" si="86"/>
        <v>14.027504361700455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476.77091086225005</v>
      </c>
      <c r="H105" s="67">
        <f t="shared" si="56"/>
        <v>400.90477009662845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5.6843418860808015E-13</v>
      </c>
      <c r="O105" s="13">
        <f>N105*VLOOKUP('Données projet'!$B$9,Paramètres!$A$1:$I$89,3,0)*VLOOKUP('Données projet'!$B$9,Paramètres!$A$1:$I$89,5,0)</f>
        <v>2.2907897800905631E-13</v>
      </c>
      <c r="P105" s="13">
        <f t="shared" si="87"/>
        <v>3.1248920576624499E-12</v>
      </c>
      <c r="Q105" s="20">
        <f t="shared" si="107"/>
        <v>5.8414995537945398E-12</v>
      </c>
      <c r="R105" s="59">
        <f t="shared" si="55"/>
        <v>293.33333333333917</v>
      </c>
      <c r="S105" s="59">
        <f ca="1">AVERAGE(OFFSET($R$3,0,0,'Données projet'!$E$9+1,1))-AVERAGE(OFFSET($H$3,0,0,'Données projet'!$E$9+1,1))</f>
        <v>321.12254860105566</v>
      </c>
      <c r="T105" s="59">
        <f t="shared" si="88"/>
        <v>270.52026164274571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3.1733722362586212</v>
      </c>
      <c r="AA105" s="21">
        <f>EXP(-LN(2)/25)*AA104+(1-EXP(-LN(2)/25))/(LN(2)/25)*Calculateur!V105*Calculateur!X105*VLOOKUP('Données projet'!$B$9,Paramètres!$A$1:$I$89,3,0)*0.475*44/12</f>
        <v>2.8010127306561339</v>
      </c>
      <c r="AB105" s="21">
        <f>EXP(-LN(2)/2)*AB104+(1-EXP(-LN(2)/2))/(LN(2)/2)*V105*Y105*VLOOKUP('Données projet'!$B$9,Paramètres!$A$1:$I$89,3,0)*0.475*44/12</f>
        <v>0</v>
      </c>
      <c r="AC105" s="22">
        <f t="shared" si="57"/>
        <v>5.9743849669147551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-3.4106051316484809E-13</v>
      </c>
      <c r="AJ105" s="13">
        <f>AI105*VLOOKUP('Données projet'!$B$10,Paramètres!$A$1:$I$89,3,0)*VLOOKUP('Données projet'!$B$10,Paramètres!$A$1:$I$89,5,0)</f>
        <v>-1.5961632016114892E-13</v>
      </c>
      <c r="AK105" s="13" t="e">
        <f t="shared" si="89"/>
        <v>#NUM!</v>
      </c>
      <c r="AL105" s="20" t="e">
        <f t="shared" si="58"/>
        <v>#NUM!</v>
      </c>
      <c r="AM105" s="59" t="e">
        <f t="shared" si="59"/>
        <v>#NUM!</v>
      </c>
      <c r="AN105" s="59">
        <f ca="1">AVERAGE(OFFSET($AM$3,0,0,'Données projet'!$E$10+1,1))-AVERAGE(OFFSET($H$3,0,0,'Données projet'!$E$10+1,1))</f>
        <v>267.78121291362345</v>
      </c>
      <c r="AO105" s="59">
        <f t="shared" si="90"/>
        <v>320.1780590861174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1.7497437095538837</v>
      </c>
      <c r="AV105" s="21">
        <f>EXP(-LN(2)/25)*AV104+(1-EXP(-LN(2)/25))/(LN(2)/25)*Calculateur!AQ105*Calculateur!AS105*VLOOKUP('Données projet'!$B$10,Paramètres!$A$1:$I$89,3,0)*0.475*44/12</f>
        <v>2.7257246221691656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4.4754683317230493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8.5265128291212022E-14</v>
      </c>
      <c r="BE105" s="13">
        <f>BD105*VLOOKUP('Données projet'!$B$11,Paramètres!$A$1:$I$89,3,0)*VLOOKUP('Données projet'!$B$11,Paramètres!$A$1:$I$89,5,0)</f>
        <v>7.4487616075202836E-14</v>
      </c>
      <c r="BF105" s="13">
        <f t="shared" si="91"/>
        <v>1.1580453144473142E-12</v>
      </c>
      <c r="BG105" s="20">
        <f t="shared" si="61"/>
        <v>2.1466615206600508E-12</v>
      </c>
      <c r="BH105" s="59">
        <f t="shared" si="62"/>
        <v>293.33333333333547</v>
      </c>
      <c r="BI105" s="59">
        <f ca="1">AVERAGE(OFFSET($BH$3,0,0,'Données projet'!$E$11+1,1))-AVERAGE(OFFSET($H$3,0,0,'Données projet'!$E$11+1,1))</f>
        <v>212.82470567725971</v>
      </c>
      <c r="BJ105" s="59">
        <f t="shared" si="92"/>
        <v>196.91968622092054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0.24327924078892729</v>
      </c>
      <c r="BQ105" s="21">
        <f>EXP(-LN(2)/25)*BQ104+(1-EXP(-LN(2)/25))/(LN(2)/25)*Calculateur!BL105*Calculateur!BN105*VLOOKUP('Données projet'!$B$11,Paramètres!$A$1:$I$89,3,0)*0.475*44/12</f>
        <v>0.55474051770001187</v>
      </c>
      <c r="BR105" s="21">
        <f>EXP(-LN(2)/2)*BR104+(1-EXP(-LN(2)/2))/(LN(2)/2)*BL105*BO105*VLOOKUP('Données projet'!$B$11,Paramètres!$A$1:$I$89,3,0)*0.475*44/12</f>
        <v>0</v>
      </c>
      <c r="BS105" s="22">
        <f t="shared" si="63"/>
        <v>0.79801975848893913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25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48.204000000000121</v>
      </c>
      <c r="D106" s="11">
        <f t="shared" si="86"/>
        <v>14.148951972010016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481.32103276639413</v>
      </c>
      <c r="H106" s="67">
        <f t="shared" si="56"/>
        <v>401.93139135125097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5.6843418860808015E-13</v>
      </c>
      <c r="O106" s="13">
        <f>N106*VLOOKUP('Données projet'!$B$9,Paramètres!$A$1:$I$89,3,0)*VLOOKUP('Données projet'!$B$9,Paramètres!$A$1:$I$89,5,0)</f>
        <v>2.2907897800905631E-13</v>
      </c>
      <c r="P106" s="13">
        <f t="shared" si="87"/>
        <v>3.1248920576624499E-12</v>
      </c>
      <c r="Q106" s="20">
        <f t="shared" si="107"/>
        <v>5.8414995537945398E-12</v>
      </c>
      <c r="R106" s="59">
        <f t="shared" si="55"/>
        <v>293.33333333333917</v>
      </c>
      <c r="S106" s="59">
        <f ca="1">AVERAGE(OFFSET($R$3,0,0,'Données projet'!$E$9+1,1))-AVERAGE(OFFSET($H$3,0,0,'Données projet'!$E$9+1,1))</f>
        <v>321.12254860105566</v>
      </c>
      <c r="T106" s="59">
        <f t="shared" si="88"/>
        <v>270.52026164274571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3.1111443422715324</v>
      </c>
      <c r="AA106" s="21">
        <f>EXP(-LN(2)/25)*AA105+(1-EXP(-LN(2)/25))/(LN(2)/25)*Calculateur!V106*Calculateur!X106*VLOOKUP('Données projet'!$B$9,Paramètres!$A$1:$I$89,3,0)*0.475*44/12</f>
        <v>2.7244188902374842</v>
      </c>
      <c r="AB106" s="21">
        <f>EXP(-LN(2)/2)*AB105+(1-EXP(-LN(2)/2))/(LN(2)/2)*V106*Y106*VLOOKUP('Données projet'!$B$9,Paramètres!$A$1:$I$89,3,0)*0.475*44/12</f>
        <v>0</v>
      </c>
      <c r="AC106" s="22">
        <f t="shared" si="57"/>
        <v>5.835563232509017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-3.4106051316484809E-13</v>
      </c>
      <c r="AJ106" s="13">
        <f>AI106*VLOOKUP('Données projet'!$B$10,Paramètres!$A$1:$I$89,3,0)*VLOOKUP('Données projet'!$B$10,Paramètres!$A$1:$I$89,5,0)</f>
        <v>-1.5961632016114892E-13</v>
      </c>
      <c r="AK106" s="13" t="e">
        <f t="shared" si="89"/>
        <v>#NUM!</v>
      </c>
      <c r="AL106" s="20" t="e">
        <f t="shared" si="58"/>
        <v>#NUM!</v>
      </c>
      <c r="AM106" s="59" t="e">
        <f t="shared" si="59"/>
        <v>#NUM!</v>
      </c>
      <c r="AN106" s="59">
        <f ca="1">AVERAGE(OFFSET($AM$3,0,0,'Données projet'!$E$10+1,1))-AVERAGE(OFFSET($H$3,0,0,'Données projet'!$E$10+1,1))</f>
        <v>267.78121291362345</v>
      </c>
      <c r="AO106" s="59">
        <f t="shared" si="90"/>
        <v>320.1780590861174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1.7154323026478138</v>
      </c>
      <c r="AV106" s="21">
        <f>EXP(-LN(2)/25)*AV105+(1-EXP(-LN(2)/25))/(LN(2)/25)*Calculateur!AQ106*Calculateur!AS106*VLOOKUP('Données projet'!$B$10,Paramètres!$A$1:$I$89,3,0)*0.475*44/12</f>
        <v>2.6511895390363214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4.3666218416841351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8.5265128291212022E-14</v>
      </c>
      <c r="BE106" s="13">
        <f>BD106*VLOOKUP('Données projet'!$B$11,Paramètres!$A$1:$I$89,3,0)*VLOOKUP('Données projet'!$B$11,Paramètres!$A$1:$I$89,5,0)</f>
        <v>7.4487616075202836E-14</v>
      </c>
      <c r="BF106" s="13">
        <f t="shared" si="91"/>
        <v>1.1580453144473142E-12</v>
      </c>
      <c r="BG106" s="20">
        <f t="shared" si="61"/>
        <v>2.1466615206600508E-12</v>
      </c>
      <c r="BH106" s="59">
        <f t="shared" si="62"/>
        <v>293.33333333333547</v>
      </c>
      <c r="BI106" s="59">
        <f ca="1">AVERAGE(OFFSET($BH$3,0,0,'Données projet'!$E$11+1,1))-AVERAGE(OFFSET($H$3,0,0,'Données projet'!$E$11+1,1))</f>
        <v>212.82470567725971</v>
      </c>
      <c r="BJ106" s="59">
        <f t="shared" si="92"/>
        <v>196.91968622092054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0.23850868326274144</v>
      </c>
      <c r="BQ106" s="21">
        <f>EXP(-LN(2)/25)*BQ105+(1-EXP(-LN(2)/25))/(LN(2)/25)*Calculateur!BL106*Calculateur!BN106*VLOOKUP('Données projet'!$B$11,Paramètres!$A$1:$I$89,3,0)*0.475*44/12</f>
        <v>0.53957110907096906</v>
      </c>
      <c r="BR106" s="21">
        <f>EXP(-LN(2)/2)*BR105+(1-EXP(-LN(2)/2))/(LN(2)/2)*BL106*BO106*VLOOKUP('Données projet'!$B$11,Paramètres!$A$1:$I$89,3,0)*0.475*44/12</f>
        <v>0</v>
      </c>
      <c r="BS106" s="22">
        <f t="shared" si="63"/>
        <v>0.7780797923337105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25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48.672000000000125</v>
      </c>
      <c r="D107" s="11">
        <f t="shared" si="86"/>
        <v>14.270262409972092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485.87009579627687</v>
      </c>
      <c r="H107" s="67">
        <f t="shared" si="56"/>
        <v>402.95777369736822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5.6843418860808015E-13</v>
      </c>
      <c r="O107" s="13">
        <f>N107*VLOOKUP('Données projet'!$B$9,Paramètres!$A$1:$I$89,3,0)*VLOOKUP('Données projet'!$B$9,Paramètres!$A$1:$I$89,5,0)</f>
        <v>2.2907897800905631E-13</v>
      </c>
      <c r="P107" s="13">
        <f t="shared" si="87"/>
        <v>3.1248920576624499E-12</v>
      </c>
      <c r="Q107" s="20">
        <f t="shared" si="107"/>
        <v>5.8414995537945398E-12</v>
      </c>
      <c r="R107" s="59">
        <f t="shared" si="55"/>
        <v>293.33333333333917</v>
      </c>
      <c r="S107" s="59">
        <f ca="1">AVERAGE(OFFSET($R$3,0,0,'Données projet'!$E$9+1,1))-AVERAGE(OFFSET($H$3,0,0,'Données projet'!$E$9+1,1))</f>
        <v>321.12254860105566</v>
      </c>
      <c r="T107" s="59">
        <f t="shared" si="88"/>
        <v>270.52026164274571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3.0501366993302628</v>
      </c>
      <c r="AA107" s="21">
        <f>EXP(-LN(2)/25)*AA106+(1-EXP(-LN(2)/25))/(LN(2)/25)*Calculateur!V107*Calculateur!X107*VLOOKUP('Données projet'!$B$9,Paramètres!$A$1:$I$89,3,0)*0.475*44/12</f>
        <v>2.6499195124129775</v>
      </c>
      <c r="AB107" s="21">
        <f>EXP(-LN(2)/2)*AB106+(1-EXP(-LN(2)/2))/(LN(2)/2)*V107*Y107*VLOOKUP('Données projet'!$B$9,Paramètres!$A$1:$I$89,3,0)*0.475*44/12</f>
        <v>0</v>
      </c>
      <c r="AC107" s="22">
        <f t="shared" si="57"/>
        <v>5.7000562117432398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-3.4106051316484809E-13</v>
      </c>
      <c r="AJ107" s="13">
        <f>AI107*VLOOKUP('Données projet'!$B$10,Paramètres!$A$1:$I$89,3,0)*VLOOKUP('Données projet'!$B$10,Paramètres!$A$1:$I$89,5,0)</f>
        <v>-1.5961632016114892E-13</v>
      </c>
      <c r="AK107" s="13" t="e">
        <f t="shared" si="89"/>
        <v>#NUM!</v>
      </c>
      <c r="AL107" s="20" t="e">
        <f t="shared" si="58"/>
        <v>#NUM!</v>
      </c>
      <c r="AM107" s="59" t="e">
        <f t="shared" si="59"/>
        <v>#NUM!</v>
      </c>
      <c r="AN107" s="59">
        <f ca="1">AVERAGE(OFFSET($AM$3,0,0,'Données projet'!$E$10+1,1))-AVERAGE(OFFSET($H$3,0,0,'Données projet'!$E$10+1,1))</f>
        <v>267.78121291362345</v>
      </c>
      <c r="AO107" s="59">
        <f t="shared" si="90"/>
        <v>320.1780590861174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1.6817937215032801</v>
      </c>
      <c r="AV107" s="21">
        <f>EXP(-LN(2)/25)*AV106+(1-EXP(-LN(2)/25))/(LN(2)/25)*Calculateur!AQ107*Calculateur!AS107*VLOOKUP('Données projet'!$B$10,Paramètres!$A$1:$I$89,3,0)*0.475*44/12</f>
        <v>2.5786926216713746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4.2604863431746551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8.5265128291212022E-14</v>
      </c>
      <c r="BE107" s="13">
        <f>BD107*VLOOKUP('Données projet'!$B$11,Paramètres!$A$1:$I$89,3,0)*VLOOKUP('Données projet'!$B$11,Paramètres!$A$1:$I$89,5,0)</f>
        <v>7.4487616075202836E-14</v>
      </c>
      <c r="BF107" s="13">
        <f t="shared" si="91"/>
        <v>1.1580453144473142E-12</v>
      </c>
      <c r="BG107" s="20">
        <f t="shared" si="61"/>
        <v>2.1466615206600508E-12</v>
      </c>
      <c r="BH107" s="59">
        <f t="shared" si="62"/>
        <v>293.33333333333547</v>
      </c>
      <c r="BI107" s="59">
        <f ca="1">AVERAGE(OFFSET($BH$3,0,0,'Données projet'!$E$11+1,1))-AVERAGE(OFFSET($H$3,0,0,'Données projet'!$E$11+1,1))</f>
        <v>212.82470567725971</v>
      </c>
      <c r="BJ107" s="59">
        <f t="shared" si="92"/>
        <v>196.91968622092054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0.23383167345989131</v>
      </c>
      <c r="BQ107" s="21">
        <f>EXP(-LN(2)/25)*BQ106+(1-EXP(-LN(2)/25))/(LN(2)/25)*Calculateur!BL107*Calculateur!BN107*VLOOKUP('Données projet'!$B$11,Paramètres!$A$1:$I$89,3,0)*0.475*44/12</f>
        <v>0.52481650871861196</v>
      </c>
      <c r="BR107" s="21">
        <f>EXP(-LN(2)/2)*BR106+(1-EXP(-LN(2)/2))/(LN(2)/2)*BL107*BO107*VLOOKUP('Données projet'!$B$11,Paramètres!$A$1:$I$89,3,0)*0.475*44/12</f>
        <v>0</v>
      </c>
      <c r="BS107" s="22">
        <f t="shared" si="63"/>
        <v>0.75864818217850327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25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49.140000000000128</v>
      </c>
      <c r="D108" s="11">
        <f t="shared" si="86"/>
        <v>14.3914371473009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490.41811131249915</v>
      </c>
      <c r="H108" s="67">
        <f t="shared" si="56"/>
        <v>403.98391969821591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5.6843418860808015E-13</v>
      </c>
      <c r="O108" s="13">
        <f>N108*VLOOKUP('Données projet'!$B$9,Paramètres!$A$1:$I$89,3,0)*VLOOKUP('Données projet'!$B$9,Paramètres!$A$1:$I$89,5,0)</f>
        <v>2.2907897800905631E-13</v>
      </c>
      <c r="P108" s="13">
        <f t="shared" si="87"/>
        <v>3.1248920576624499E-12</v>
      </c>
      <c r="Q108" s="20">
        <f t="shared" si="107"/>
        <v>5.8414995537945398E-12</v>
      </c>
      <c r="R108" s="59">
        <f t="shared" si="55"/>
        <v>293.33333333333917</v>
      </c>
      <c r="S108" s="59">
        <f ca="1">AVERAGE(OFFSET($R$3,0,0,'Données projet'!$E$9+1,1))-AVERAGE(OFFSET($H$3,0,0,'Données projet'!$E$9+1,1))</f>
        <v>321.12254860105566</v>
      </c>
      <c r="T108" s="59">
        <f t="shared" si="88"/>
        <v>270.52026164274571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2.9903253790560838</v>
      </c>
      <c r="AA108" s="21">
        <f>EXP(-LN(2)/25)*AA107+(1-EXP(-LN(2)/25))/(LN(2)/25)*Calculateur!V108*Calculateur!X108*VLOOKUP('Données projet'!$B$9,Paramètres!$A$1:$I$89,3,0)*0.475*44/12</f>
        <v>2.5774573239928338</v>
      </c>
      <c r="AB108" s="21">
        <f>EXP(-LN(2)/2)*AB107+(1-EXP(-LN(2)/2))/(LN(2)/2)*V108*Y108*VLOOKUP('Données projet'!$B$9,Paramètres!$A$1:$I$89,3,0)*0.475*44/12</f>
        <v>0</v>
      </c>
      <c r="AC108" s="22">
        <f t="shared" si="57"/>
        <v>5.567782703048918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-3.4106051316484809E-13</v>
      </c>
      <c r="AJ108" s="13">
        <f>AI108*VLOOKUP('Données projet'!$B$10,Paramètres!$A$1:$I$89,3,0)*VLOOKUP('Données projet'!$B$10,Paramètres!$A$1:$I$89,5,0)</f>
        <v>-1.5961632016114892E-13</v>
      </c>
      <c r="AK108" s="13" t="e">
        <f t="shared" si="89"/>
        <v>#NUM!</v>
      </c>
      <c r="AL108" s="20" t="e">
        <f t="shared" si="58"/>
        <v>#NUM!</v>
      </c>
      <c r="AM108" s="59" t="e">
        <f t="shared" si="59"/>
        <v>#NUM!</v>
      </c>
      <c r="AN108" s="59">
        <f ca="1">AVERAGE(OFFSET($AM$3,0,0,'Données projet'!$E$10+1,1))-AVERAGE(OFFSET($H$3,0,0,'Données projet'!$E$10+1,1))</f>
        <v>267.78121291362345</v>
      </c>
      <c r="AO108" s="59">
        <f t="shared" si="90"/>
        <v>320.1780590861174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1.6488147724174822</v>
      </c>
      <c r="AV108" s="21">
        <f>EXP(-LN(2)/25)*AV107+(1-EXP(-LN(2)/25))/(LN(2)/25)*Calculateur!AQ108*Calculateur!AS108*VLOOKUP('Données projet'!$B$10,Paramètres!$A$1:$I$89,3,0)*0.475*44/12</f>
        <v>2.5081781363242195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4.1569929087417012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8.5265128291212022E-14</v>
      </c>
      <c r="BE108" s="13">
        <f>BD108*VLOOKUP('Données projet'!$B$11,Paramètres!$A$1:$I$89,3,0)*VLOOKUP('Données projet'!$B$11,Paramètres!$A$1:$I$89,5,0)</f>
        <v>7.4487616075202836E-14</v>
      </c>
      <c r="BF108" s="13">
        <f t="shared" si="91"/>
        <v>1.1580453144473142E-12</v>
      </c>
      <c r="BG108" s="20">
        <f t="shared" si="61"/>
        <v>2.1466615206600508E-12</v>
      </c>
      <c r="BH108" s="59">
        <f t="shared" si="62"/>
        <v>293.33333333333547</v>
      </c>
      <c r="BI108" s="59">
        <f ca="1">AVERAGE(OFFSET($BH$3,0,0,'Données projet'!$E$11+1,1))-AVERAGE(OFFSET($H$3,0,0,'Données projet'!$E$11+1,1))</f>
        <v>212.82470567725971</v>
      </c>
      <c r="BJ108" s="59">
        <f t="shared" si="92"/>
        <v>196.91968622092054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0.22924637696658079</v>
      </c>
      <c r="BQ108" s="21">
        <f>EXP(-LN(2)/25)*BQ107+(1-EXP(-LN(2)/25))/(LN(2)/25)*Calculateur!BL108*Calculateur!BN108*VLOOKUP('Données projet'!$B$11,Paramètres!$A$1:$I$89,3,0)*0.475*44/12</f>
        <v>0.51046537368880085</v>
      </c>
      <c r="BR108" s="21">
        <f>EXP(-LN(2)/2)*BR107+(1-EXP(-LN(2)/2))/(LN(2)/2)*BL108*BO108*VLOOKUP('Données projet'!$B$11,Paramètres!$A$1:$I$89,3,0)*0.475*44/12</f>
        <v>0</v>
      </c>
      <c r="BS108" s="22">
        <f t="shared" si="63"/>
        <v>0.73971175065538164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25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49.608000000000132</v>
      </c>
      <c r="D109" s="11">
        <f t="shared" si="86"/>
        <v>14.512477626061624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494.96509044679243</v>
      </c>
      <c r="H109" s="67">
        <f t="shared" si="56"/>
        <v>405.00983186539088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5.6843418860808015E-13</v>
      </c>
      <c r="O109" s="13">
        <f>N109*VLOOKUP('Données projet'!$B$9,Paramètres!$A$1:$I$89,3,0)*VLOOKUP('Données projet'!$B$9,Paramètres!$A$1:$I$89,5,0)</f>
        <v>2.2907897800905631E-13</v>
      </c>
      <c r="P109" s="13">
        <f t="shared" si="87"/>
        <v>3.1248920576624499E-12</v>
      </c>
      <c r="Q109" s="20">
        <f t="shared" si="107"/>
        <v>5.8414995537945398E-12</v>
      </c>
      <c r="R109" s="59">
        <f t="shared" si="55"/>
        <v>293.33333333333917</v>
      </c>
      <c r="S109" s="59">
        <f ca="1">AVERAGE(OFFSET($R$3,0,0,'Données projet'!$E$9+1,1))-AVERAGE(OFFSET($H$3,0,0,'Données projet'!$E$9+1,1))</f>
        <v>321.12254860105566</v>
      </c>
      <c r="T109" s="59">
        <f t="shared" si="88"/>
        <v>270.52026164274571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2.9316869222911781</v>
      </c>
      <c r="AA109" s="21">
        <f>EXP(-LN(2)/25)*AA108+(1-EXP(-LN(2)/25))/(LN(2)/25)*Calculateur!V109*Calculateur!X109*VLOOKUP('Données projet'!$B$9,Paramètres!$A$1:$I$89,3,0)*0.475*44/12</f>
        <v>2.5069766179256598</v>
      </c>
      <c r="AB109" s="21">
        <f>EXP(-LN(2)/2)*AB108+(1-EXP(-LN(2)/2))/(LN(2)/2)*V109*Y109*VLOOKUP('Données projet'!$B$9,Paramètres!$A$1:$I$89,3,0)*0.475*44/12</f>
        <v>0</v>
      </c>
      <c r="AC109" s="22">
        <f t="shared" si="57"/>
        <v>5.4386635402168384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-3.4106051316484809E-13</v>
      </c>
      <c r="AJ109" s="13">
        <f>AI109*VLOOKUP('Données projet'!$B$10,Paramètres!$A$1:$I$89,3,0)*VLOOKUP('Données projet'!$B$10,Paramètres!$A$1:$I$89,5,0)</f>
        <v>-1.5961632016114892E-13</v>
      </c>
      <c r="AK109" s="13" t="e">
        <f t="shared" si="89"/>
        <v>#NUM!</v>
      </c>
      <c r="AL109" s="20" t="e">
        <f t="shared" si="58"/>
        <v>#NUM!</v>
      </c>
      <c r="AM109" s="59" t="e">
        <f t="shared" si="59"/>
        <v>#NUM!</v>
      </c>
      <c r="AN109" s="59">
        <f ca="1">AVERAGE(OFFSET($AM$3,0,0,'Données projet'!$E$10+1,1))-AVERAGE(OFFSET($H$3,0,0,'Données projet'!$E$10+1,1))</f>
        <v>267.78121291362345</v>
      </c>
      <c r="AO109" s="59">
        <f t="shared" si="90"/>
        <v>320.1780590861174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1.6164825204080842</v>
      </c>
      <c r="AV109" s="21">
        <f>EXP(-LN(2)/25)*AV108+(1-EXP(-LN(2)/25))/(LN(2)/25)*Calculateur!AQ109*Calculateur!AS109*VLOOKUP('Données projet'!$B$10,Paramètres!$A$1:$I$89,3,0)*0.475*44/12</f>
        <v>2.4395918732870778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4.0560743936951624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8.5265128291212022E-14</v>
      </c>
      <c r="BE109" s="13">
        <f>BD109*VLOOKUP('Données projet'!$B$11,Paramètres!$A$1:$I$89,3,0)*VLOOKUP('Données projet'!$B$11,Paramètres!$A$1:$I$89,5,0)</f>
        <v>7.4487616075202836E-14</v>
      </c>
      <c r="BF109" s="13">
        <f t="shared" si="91"/>
        <v>1.1580453144473142E-12</v>
      </c>
      <c r="BG109" s="20">
        <f t="shared" si="61"/>
        <v>2.1466615206600508E-12</v>
      </c>
      <c r="BH109" s="59">
        <f t="shared" si="62"/>
        <v>293.33333333333547</v>
      </c>
      <c r="BI109" s="59">
        <f ca="1">AVERAGE(OFFSET($BH$3,0,0,'Données projet'!$E$11+1,1))-AVERAGE(OFFSET($H$3,0,0,'Données projet'!$E$11+1,1))</f>
        <v>212.82470567725971</v>
      </c>
      <c r="BJ109" s="59">
        <f t="shared" si="92"/>
        <v>196.91968622092054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0.22475099534074938</v>
      </c>
      <c r="BQ109" s="21">
        <f>EXP(-LN(2)/25)*BQ108+(1-EXP(-LN(2)/25))/(LN(2)/25)*Calculateur!BL109*Calculateur!BN109*VLOOKUP('Données projet'!$B$11,Paramètres!$A$1:$I$89,3,0)*0.475*44/12</f>
        <v>0.49650667120107328</v>
      </c>
      <c r="BR109" s="21">
        <f>EXP(-LN(2)/2)*BR108+(1-EXP(-LN(2)/2))/(LN(2)/2)*BL109*BO109*VLOOKUP('Données projet'!$B$11,Paramètres!$A$1:$I$89,3,0)*0.475*44/12</f>
        <v>0</v>
      </c>
      <c r="BS109" s="22">
        <f t="shared" si="63"/>
        <v>0.72125766654182266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25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50.076000000000136</v>
      </c>
      <c r="D110" s="11">
        <f t="shared" si="86"/>
        <v>14.633385259541638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499.51104410874353</v>
      </c>
      <c r="H110" s="67">
        <f t="shared" si="56"/>
        <v>406.03551266036857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5.6843418860808015E-13</v>
      </c>
      <c r="O110" s="13">
        <f>N110*VLOOKUP('Données projet'!$B$9,Paramètres!$A$1:$I$89,3,0)*VLOOKUP('Données projet'!$B$9,Paramètres!$A$1:$I$89,5,0)</f>
        <v>2.2907897800905631E-13</v>
      </c>
      <c r="P110" s="13">
        <f t="shared" si="87"/>
        <v>3.1248920576624499E-12</v>
      </c>
      <c r="Q110" s="20">
        <f t="shared" si="107"/>
        <v>5.8414995537945398E-12</v>
      </c>
      <c r="R110" s="59">
        <f t="shared" si="55"/>
        <v>293.33333333333917</v>
      </c>
      <c r="S110" s="59">
        <f ca="1">AVERAGE(OFFSET($R$3,0,0,'Données projet'!$E$9+1,1))-AVERAGE(OFFSET($H$3,0,0,'Données projet'!$E$9+1,1))</f>
        <v>321.12254860105566</v>
      </c>
      <c r="T110" s="59">
        <f t="shared" si="88"/>
        <v>270.52026164274571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2.8741983298975051</v>
      </c>
      <c r="AA110" s="21">
        <f>EXP(-LN(2)/25)*AA109+(1-EXP(-LN(2)/25))/(LN(2)/25)*Calculateur!V110*Calculateur!X110*VLOOKUP('Données projet'!$B$9,Paramètres!$A$1:$I$89,3,0)*0.475*44/12</f>
        <v>2.4384232104723123</v>
      </c>
      <c r="AB110" s="21">
        <f>EXP(-LN(2)/2)*AB109+(1-EXP(-LN(2)/2))/(LN(2)/2)*V110*Y110*VLOOKUP('Données projet'!$B$9,Paramètres!$A$1:$I$89,3,0)*0.475*44/12</f>
        <v>0</v>
      </c>
      <c r="AC110" s="22">
        <f t="shared" si="57"/>
        <v>5.3126215403698174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-3.4106051316484809E-13</v>
      </c>
      <c r="AJ110" s="13">
        <f>AI110*VLOOKUP('Données projet'!$B$10,Paramètres!$A$1:$I$89,3,0)*VLOOKUP('Données projet'!$B$10,Paramètres!$A$1:$I$89,5,0)</f>
        <v>-1.5961632016114892E-13</v>
      </c>
      <c r="AK110" s="13" t="e">
        <f t="shared" si="89"/>
        <v>#NUM!</v>
      </c>
      <c r="AL110" s="20" t="e">
        <f t="shared" si="58"/>
        <v>#NUM!</v>
      </c>
      <c r="AM110" s="59" t="e">
        <f t="shared" si="59"/>
        <v>#NUM!</v>
      </c>
      <c r="AN110" s="59">
        <f ca="1">AVERAGE(OFFSET($AM$3,0,0,'Données projet'!$E$10+1,1))-AVERAGE(OFFSET($H$3,0,0,'Données projet'!$E$10+1,1))</f>
        <v>267.78121291362345</v>
      </c>
      <c r="AO110" s="59">
        <f t="shared" si="90"/>
        <v>320.1780590861174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1.5847842841398638</v>
      </c>
      <c r="AV110" s="21">
        <f>EXP(-LN(2)/25)*AV109+(1-EXP(-LN(2)/25))/(LN(2)/25)*Calculateur!AQ110*Calculateur!AS110*VLOOKUP('Données projet'!$B$10,Paramètres!$A$1:$I$89,3,0)*0.475*44/12</f>
        <v>2.372881105219482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3.9576653893593461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8.5265128291212022E-14</v>
      </c>
      <c r="BE110" s="13">
        <f>BD110*VLOOKUP('Données projet'!$B$11,Paramètres!$A$1:$I$89,3,0)*VLOOKUP('Données projet'!$B$11,Paramètres!$A$1:$I$89,5,0)</f>
        <v>7.4487616075202836E-14</v>
      </c>
      <c r="BF110" s="13">
        <f t="shared" si="91"/>
        <v>1.1580453144473142E-12</v>
      </c>
      <c r="BG110" s="20">
        <f t="shared" si="61"/>
        <v>2.1466615206600508E-12</v>
      </c>
      <c r="BH110" s="59">
        <f t="shared" si="62"/>
        <v>293.33333333333547</v>
      </c>
      <c r="BI110" s="59">
        <f ca="1">AVERAGE(OFFSET($BH$3,0,0,'Données projet'!$E$11+1,1))-AVERAGE(OFFSET($H$3,0,0,'Données projet'!$E$11+1,1))</f>
        <v>212.82470567725971</v>
      </c>
      <c r="BJ110" s="59">
        <f t="shared" si="92"/>
        <v>196.91968622092054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0.22034376540668846</v>
      </c>
      <c r="BQ110" s="21">
        <f>EXP(-LN(2)/25)*BQ109+(1-EXP(-LN(2)/25))/(LN(2)/25)*Calculateur!BL110*Calculateur!BN110*VLOOKUP('Données projet'!$B$11,Paramètres!$A$1:$I$89,3,0)*0.475*44/12</f>
        <v>0.48292967016692889</v>
      </c>
      <c r="BR110" s="21">
        <f>EXP(-LN(2)/2)*BR109+(1-EXP(-LN(2)/2))/(LN(2)/2)*BL110*BO110*VLOOKUP('Données projet'!$B$11,Paramètres!$A$1:$I$89,3,0)*0.475*44/12</f>
        <v>0</v>
      </c>
      <c r="BS110" s="22">
        <f t="shared" si="63"/>
        <v>0.70327343557361732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25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50.544000000000139</v>
      </c>
      <c r="D111" s="11">
        <f t="shared" si="86"/>
        <v>14.754161433088285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504.05598299226153</v>
      </c>
      <c r="H111" s="67">
        <f t="shared" si="56"/>
        <v>407.06096449596231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5.6843418860808015E-13</v>
      </c>
      <c r="O111" s="13">
        <f>N111*VLOOKUP('Données projet'!$B$9,Paramètres!$A$1:$I$89,3,0)*VLOOKUP('Données projet'!$B$9,Paramètres!$A$1:$I$89,5,0)</f>
        <v>2.2907897800905631E-13</v>
      </c>
      <c r="P111" s="13">
        <f t="shared" si="87"/>
        <v>3.1248920576624499E-12</v>
      </c>
      <c r="Q111" s="20">
        <f t="shared" si="107"/>
        <v>5.8414995537945398E-12</v>
      </c>
      <c r="R111" s="59">
        <f t="shared" si="55"/>
        <v>293.33333333333917</v>
      </c>
      <c r="S111" s="59">
        <f ca="1">AVERAGE(OFFSET($R$3,0,0,'Données projet'!$E$9+1,1))-AVERAGE(OFFSET($H$3,0,0,'Données projet'!$E$9+1,1))</f>
        <v>321.12254860105566</v>
      </c>
      <c r="T111" s="59">
        <f t="shared" si="88"/>
        <v>270.52026164274571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2.8178370537360933</v>
      </c>
      <c r="AA111" s="21">
        <f>EXP(-LN(2)/25)*AA110+(1-EXP(-LN(2)/25))/(LN(2)/25)*Calculateur!V111*Calculateur!X111*VLOOKUP('Données projet'!$B$9,Paramètres!$A$1:$I$89,3,0)*0.475*44/12</f>
        <v>2.3717443995508432</v>
      </c>
      <c r="AB111" s="21">
        <f>EXP(-LN(2)/2)*AB110+(1-EXP(-LN(2)/2))/(LN(2)/2)*V111*Y111*VLOOKUP('Données projet'!$B$9,Paramètres!$A$1:$I$89,3,0)*0.475*44/12</f>
        <v>0</v>
      </c>
      <c r="AC111" s="22">
        <f t="shared" si="57"/>
        <v>5.1895814532869364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-3.4106051316484809E-13</v>
      </c>
      <c r="AJ111" s="13">
        <f>AI111*VLOOKUP('Données projet'!$B$10,Paramètres!$A$1:$I$89,3,0)*VLOOKUP('Données projet'!$B$10,Paramètres!$A$1:$I$89,5,0)</f>
        <v>-1.5961632016114892E-13</v>
      </c>
      <c r="AK111" s="13" t="e">
        <f t="shared" si="89"/>
        <v>#NUM!</v>
      </c>
      <c r="AL111" s="20" t="e">
        <f t="shared" si="58"/>
        <v>#NUM!</v>
      </c>
      <c r="AM111" s="59" t="e">
        <f t="shared" si="59"/>
        <v>#NUM!</v>
      </c>
      <c r="AN111" s="59">
        <f ca="1">AVERAGE(OFFSET($AM$3,0,0,'Données projet'!$E$10+1,1))-AVERAGE(OFFSET($H$3,0,0,'Données projet'!$E$10+1,1))</f>
        <v>267.78121291362345</v>
      </c>
      <c r="AO111" s="59">
        <f t="shared" si="90"/>
        <v>320.1780590861174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1.5537076309508484</v>
      </c>
      <c r="AV111" s="21">
        <f>EXP(-LN(2)/25)*AV110+(1-EXP(-LN(2)/25))/(LN(2)/25)*Calculateur!AQ111*Calculateur!AS111*VLOOKUP('Données projet'!$B$10,Paramètres!$A$1:$I$89,3,0)*0.475*44/12</f>
        <v>2.3079945466128611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3.8617021775637097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8.5265128291212022E-14</v>
      </c>
      <c r="BE111" s="13">
        <f>BD111*VLOOKUP('Données projet'!$B$11,Paramètres!$A$1:$I$89,3,0)*VLOOKUP('Données projet'!$B$11,Paramètres!$A$1:$I$89,5,0)</f>
        <v>7.4487616075202836E-14</v>
      </c>
      <c r="BF111" s="13">
        <f t="shared" si="91"/>
        <v>1.1580453144473142E-12</v>
      </c>
      <c r="BG111" s="20">
        <f t="shared" si="61"/>
        <v>2.1466615206600508E-12</v>
      </c>
      <c r="BH111" s="59">
        <f t="shared" si="62"/>
        <v>293.33333333333547</v>
      </c>
      <c r="BI111" s="59">
        <f ca="1">AVERAGE(OFFSET($BH$3,0,0,'Données projet'!$E$11+1,1))-AVERAGE(OFFSET($H$3,0,0,'Données projet'!$E$11+1,1))</f>
        <v>212.82470567725971</v>
      </c>
      <c r="BJ111" s="59">
        <f t="shared" si="92"/>
        <v>196.91968622092054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0.21602295856348966</v>
      </c>
      <c r="BQ111" s="21">
        <f>EXP(-LN(2)/25)*BQ110+(1-EXP(-LN(2)/25))/(LN(2)/25)*Calculateur!BL111*Calculateur!BN111*VLOOKUP('Données projet'!$B$11,Paramètres!$A$1:$I$89,3,0)*0.475*44/12</f>
        <v>0.46972393294004661</v>
      </c>
      <c r="BR111" s="21">
        <f>EXP(-LN(2)/2)*BR110+(1-EXP(-LN(2)/2))/(LN(2)/2)*BL111*BO111*VLOOKUP('Données projet'!$B$11,Paramètres!$A$1:$I$89,3,0)*0.475*44/12</f>
        <v>0</v>
      </c>
      <c r="BS111" s="22">
        <f t="shared" si="63"/>
        <v>0.68574689150353629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25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51.012000000000143</v>
      </c>
      <c r="D112" s="11">
        <f t="shared" si="86"/>
        <v>14.874807504914717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508.59991758179893</v>
      </c>
      <c r="H112" s="67">
        <f t="shared" si="56"/>
        <v>408.08618973772667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5.6843418860808015E-13</v>
      </c>
      <c r="O112" s="13">
        <f>N112*VLOOKUP('Données projet'!$B$9,Paramètres!$A$1:$I$89,3,0)*VLOOKUP('Données projet'!$B$9,Paramètres!$A$1:$I$89,5,0)</f>
        <v>2.2907897800905631E-13</v>
      </c>
      <c r="P112" s="13">
        <f t="shared" si="87"/>
        <v>3.1248920576624499E-12</v>
      </c>
      <c r="Q112" s="20">
        <f t="shared" si="107"/>
        <v>5.8414995537945398E-12</v>
      </c>
      <c r="R112" s="59">
        <f t="shared" si="55"/>
        <v>293.33333333333917</v>
      </c>
      <c r="S112" s="59">
        <f ca="1">AVERAGE(OFFSET($R$3,0,0,'Données projet'!$E$9+1,1))-AVERAGE(OFFSET($H$3,0,0,'Données projet'!$E$9+1,1))</f>
        <v>321.12254860105566</v>
      </c>
      <c r="T112" s="59">
        <f t="shared" si="88"/>
        <v>270.52026164274571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2.7625809878232226</v>
      </c>
      <c r="AA112" s="21">
        <f>EXP(-LN(2)/25)*AA111+(1-EXP(-LN(2)/25))/(LN(2)/25)*Calculateur!V112*Calculateur!X112*VLOOKUP('Données projet'!$B$9,Paramètres!$A$1:$I$89,3,0)*0.475*44/12</f>
        <v>2.306888924220508</v>
      </c>
      <c r="AB112" s="21">
        <f>EXP(-LN(2)/2)*AB111+(1-EXP(-LN(2)/2))/(LN(2)/2)*V112*Y112*VLOOKUP('Données projet'!$B$9,Paramètres!$A$1:$I$89,3,0)*0.475*44/12</f>
        <v>0</v>
      </c>
      <c r="AC112" s="22">
        <f t="shared" si="57"/>
        <v>5.069469912043731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-3.4106051316484809E-13</v>
      </c>
      <c r="AJ112" s="13">
        <f>AI112*VLOOKUP('Données projet'!$B$10,Paramètres!$A$1:$I$89,3,0)*VLOOKUP('Données projet'!$B$10,Paramètres!$A$1:$I$89,5,0)</f>
        <v>-1.5961632016114892E-13</v>
      </c>
      <c r="AK112" s="13" t="e">
        <f t="shared" si="89"/>
        <v>#NUM!</v>
      </c>
      <c r="AL112" s="20" t="e">
        <f t="shared" si="58"/>
        <v>#NUM!</v>
      </c>
      <c r="AM112" s="59" t="e">
        <f t="shared" si="59"/>
        <v>#NUM!</v>
      </c>
      <c r="AN112" s="59">
        <f ca="1">AVERAGE(OFFSET($AM$3,0,0,'Données projet'!$E$10+1,1))-AVERAGE(OFFSET($H$3,0,0,'Données projet'!$E$10+1,1))</f>
        <v>267.78121291362345</v>
      </c>
      <c r="AO112" s="59">
        <f t="shared" si="90"/>
        <v>320.1780590861174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1.5232403719759826</v>
      </c>
      <c r="AV112" s="21">
        <f>EXP(-LN(2)/25)*AV111+(1-EXP(-LN(2)/25))/(LN(2)/25)*Calculateur!AQ112*Calculateur!AS112*VLOOKUP('Données projet'!$B$10,Paramètres!$A$1:$I$89,3,0)*0.475*44/12</f>
        <v>2.2448823143635743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3.7681226863395567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8.5265128291212022E-14</v>
      </c>
      <c r="BE112" s="13">
        <f>BD112*VLOOKUP('Données projet'!$B$11,Paramètres!$A$1:$I$89,3,0)*VLOOKUP('Données projet'!$B$11,Paramètres!$A$1:$I$89,5,0)</f>
        <v>7.4487616075202836E-14</v>
      </c>
      <c r="BF112" s="13">
        <f t="shared" si="91"/>
        <v>1.1580453144473142E-12</v>
      </c>
      <c r="BG112" s="20">
        <f t="shared" si="61"/>
        <v>2.1466615206600508E-12</v>
      </c>
      <c r="BH112" s="59">
        <f t="shared" si="62"/>
        <v>293.33333333333547</v>
      </c>
      <c r="BI112" s="59">
        <f ca="1">AVERAGE(OFFSET($BH$3,0,0,'Données projet'!$E$11+1,1))-AVERAGE(OFFSET($H$3,0,0,'Données projet'!$E$11+1,1))</f>
        <v>212.82470567725971</v>
      </c>
      <c r="BJ112" s="59">
        <f t="shared" si="92"/>
        <v>196.91968622092054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0.21178688010705404</v>
      </c>
      <c r="BQ112" s="21">
        <f>EXP(-LN(2)/25)*BQ111+(1-EXP(-LN(2)/25))/(LN(2)/25)*Calculateur!BL112*Calculateur!BN112*VLOOKUP('Données projet'!$B$11,Paramètres!$A$1:$I$89,3,0)*0.475*44/12</f>
        <v>0.45687930729209297</v>
      </c>
      <c r="BR112" s="21">
        <f>EXP(-LN(2)/2)*BR111+(1-EXP(-LN(2)/2))/(LN(2)/2)*BL112*BO112*VLOOKUP('Données projet'!$B$11,Paramètres!$A$1:$I$89,3,0)*0.475*44/12</f>
        <v>0</v>
      </c>
      <c r="BS112" s="22">
        <f t="shared" si="63"/>
        <v>0.66866618739914707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25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51.480000000000146</v>
      </c>
      <c r="D113" s="11">
        <f t="shared" si="86"/>
        <v>14.995324806875265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513.14285815833648</v>
      </c>
      <c r="H113" s="67">
        <f t="shared" si="56"/>
        <v>409.11119070530799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5.6843418860808015E-13</v>
      </c>
      <c r="O113" s="13">
        <f>N113*VLOOKUP('Données projet'!$B$9,Paramètres!$A$1:$I$89,3,0)*VLOOKUP('Données projet'!$B$9,Paramètres!$A$1:$I$89,5,0)</f>
        <v>2.2907897800905631E-13</v>
      </c>
      <c r="P113" s="13">
        <f t="shared" si="87"/>
        <v>3.1248920576624499E-12</v>
      </c>
      <c r="Q113" s="20">
        <f t="shared" si="107"/>
        <v>5.8414995537945398E-12</v>
      </c>
      <c r="R113" s="59">
        <f t="shared" si="55"/>
        <v>293.33333333333917</v>
      </c>
      <c r="S113" s="59">
        <f ca="1">AVERAGE(OFFSET($R$3,0,0,'Données projet'!$E$9+1,1))-AVERAGE(OFFSET($H$3,0,0,'Données projet'!$E$9+1,1))</f>
        <v>321.12254860105566</v>
      </c>
      <c r="T113" s="59">
        <f t="shared" si="88"/>
        <v>270.52026164274571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2.7084084596600309</v>
      </c>
      <c r="AA113" s="21">
        <f>EXP(-LN(2)/25)*AA112+(1-EXP(-LN(2)/25))/(LN(2)/25)*Calculateur!V113*Calculateur!X113*VLOOKUP('Données projet'!$B$9,Paramètres!$A$1:$I$89,3,0)*0.475*44/12</f>
        <v>2.2438069252736823</v>
      </c>
      <c r="AB113" s="21">
        <f>EXP(-LN(2)/2)*AB112+(1-EXP(-LN(2)/2))/(LN(2)/2)*V113*Y113*VLOOKUP('Données projet'!$B$9,Paramètres!$A$1:$I$89,3,0)*0.475*44/12</f>
        <v>0</v>
      </c>
      <c r="AC113" s="22">
        <f t="shared" si="57"/>
        <v>4.9522153849337132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-3.4106051316484809E-13</v>
      </c>
      <c r="AJ113" s="13">
        <f>AI113*VLOOKUP('Données projet'!$B$10,Paramètres!$A$1:$I$89,3,0)*VLOOKUP('Données projet'!$B$10,Paramètres!$A$1:$I$89,5,0)</f>
        <v>-1.5961632016114892E-13</v>
      </c>
      <c r="AK113" s="13" t="e">
        <f t="shared" si="89"/>
        <v>#NUM!</v>
      </c>
      <c r="AL113" s="20" t="e">
        <f t="shared" si="58"/>
        <v>#NUM!</v>
      </c>
      <c r="AM113" s="59" t="e">
        <f t="shared" si="59"/>
        <v>#NUM!</v>
      </c>
      <c r="AN113" s="59">
        <f ca="1">AVERAGE(OFFSET($AM$3,0,0,'Données projet'!$E$10+1,1))-AVERAGE(OFFSET($H$3,0,0,'Données projet'!$E$10+1,1))</f>
        <v>267.78121291362345</v>
      </c>
      <c r="AO113" s="59">
        <f t="shared" si="90"/>
        <v>320.1780590861174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1.4933705573664209</v>
      </c>
      <c r="AV113" s="21">
        <f>EXP(-LN(2)/25)*AV112+(1-EXP(-LN(2)/25))/(LN(2)/25)*Calculateur!AQ113*Calculateur!AS113*VLOOKUP('Données projet'!$B$10,Paramètres!$A$1:$I$89,3,0)*0.475*44/12</f>
        <v>2.1834958894240724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3.676866446790493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8.5265128291212022E-14</v>
      </c>
      <c r="BE113" s="13">
        <f>BD113*VLOOKUP('Données projet'!$B$11,Paramètres!$A$1:$I$89,3,0)*VLOOKUP('Données projet'!$B$11,Paramètres!$A$1:$I$89,5,0)</f>
        <v>7.4487616075202836E-14</v>
      </c>
      <c r="BF113" s="13">
        <f t="shared" si="91"/>
        <v>1.1580453144473142E-12</v>
      </c>
      <c r="BG113" s="20">
        <f t="shared" si="61"/>
        <v>2.1466615206600508E-12</v>
      </c>
      <c r="BH113" s="59">
        <f t="shared" si="62"/>
        <v>293.33333333333547</v>
      </c>
      <c r="BI113" s="59">
        <f ca="1">AVERAGE(OFFSET($BH$3,0,0,'Données projet'!$E$11+1,1))-AVERAGE(OFFSET($H$3,0,0,'Données projet'!$E$11+1,1))</f>
        <v>212.82470567725971</v>
      </c>
      <c r="BJ113" s="59">
        <f t="shared" si="92"/>
        <v>196.91968622092054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0.2076338685653964</v>
      </c>
      <c r="BQ113" s="21">
        <f>EXP(-LN(2)/25)*BQ112+(1-EXP(-LN(2)/25))/(LN(2)/25)*Calculateur!BL113*Calculateur!BN113*VLOOKUP('Données projet'!$B$11,Paramètres!$A$1:$I$89,3,0)*0.475*44/12</f>
        <v>0.44438591860795212</v>
      </c>
      <c r="BR113" s="21">
        <f>EXP(-LN(2)/2)*BR112+(1-EXP(-LN(2)/2))/(LN(2)/2)*BL113*BO113*VLOOKUP('Données projet'!$B$11,Paramètres!$A$1:$I$89,3,0)*0.475*44/12</f>
        <v>0</v>
      </c>
      <c r="BS113" s="22">
        <f t="shared" si="63"/>
        <v>0.65201978717334852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25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51.94800000000015</v>
      </c>
      <c r="D114" s="11">
        <f t="shared" si="86"/>
        <v>15.115714645211932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517.68481480514595</v>
      </c>
      <c r="H114" s="67">
        <f t="shared" si="56"/>
        <v>410.13596967374434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5.6843418860808015E-13</v>
      </c>
      <c r="O114" s="13">
        <f>N114*VLOOKUP('Données projet'!$B$9,Paramètres!$A$1:$I$89,3,0)*VLOOKUP('Données projet'!$B$9,Paramètres!$A$1:$I$89,5,0)</f>
        <v>2.2907897800905631E-13</v>
      </c>
      <c r="P114" s="13">
        <f t="shared" si="87"/>
        <v>3.1248920576624499E-12</v>
      </c>
      <c r="Q114" s="20">
        <f t="shared" si="107"/>
        <v>5.8414995537945398E-12</v>
      </c>
      <c r="R114" s="59">
        <f t="shared" si="55"/>
        <v>293.33333333333917</v>
      </c>
      <c r="S114" s="59">
        <f ca="1">AVERAGE(OFFSET($R$3,0,0,'Données projet'!$E$9+1,1))-AVERAGE(OFFSET($H$3,0,0,'Données projet'!$E$9+1,1))</f>
        <v>321.12254860105566</v>
      </c>
      <c r="T114" s="59">
        <f t="shared" si="88"/>
        <v>270.52026164274571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2.6552982217321399</v>
      </c>
      <c r="AA114" s="21">
        <f>EXP(-LN(2)/25)*AA113+(1-EXP(-LN(2)/25))/(LN(2)/25)*Calculateur!V114*Calculateur!X114*VLOOKUP('Données projet'!$B$9,Paramètres!$A$1:$I$89,3,0)*0.475*44/12</f>
        <v>2.1824499069053958</v>
      </c>
      <c r="AB114" s="21">
        <f>EXP(-LN(2)/2)*AB113+(1-EXP(-LN(2)/2))/(LN(2)/2)*V114*Y114*VLOOKUP('Données projet'!$B$9,Paramètres!$A$1:$I$89,3,0)*0.475*44/12</f>
        <v>0</v>
      </c>
      <c r="AC114" s="22">
        <f t="shared" si="57"/>
        <v>4.8377481286375357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-3.4106051316484809E-13</v>
      </c>
      <c r="AJ114" s="13">
        <f>AI114*VLOOKUP('Données projet'!$B$10,Paramètres!$A$1:$I$89,3,0)*VLOOKUP('Données projet'!$B$10,Paramètres!$A$1:$I$89,5,0)</f>
        <v>-1.5961632016114892E-13</v>
      </c>
      <c r="AK114" s="13" t="e">
        <f t="shared" si="89"/>
        <v>#NUM!</v>
      </c>
      <c r="AL114" s="20" t="e">
        <f t="shared" si="58"/>
        <v>#NUM!</v>
      </c>
      <c r="AM114" s="59" t="e">
        <f t="shared" si="59"/>
        <v>#NUM!</v>
      </c>
      <c r="AN114" s="59">
        <f ca="1">AVERAGE(OFFSET($AM$3,0,0,'Données projet'!$E$10+1,1))-AVERAGE(OFFSET($H$3,0,0,'Données projet'!$E$10+1,1))</f>
        <v>267.78121291362345</v>
      </c>
      <c r="AO114" s="59">
        <f t="shared" si="90"/>
        <v>320.1780590861174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1.4640864716025648</v>
      </c>
      <c r="AV114" s="21">
        <f>EXP(-LN(2)/25)*AV113+(1-EXP(-LN(2)/25))/(LN(2)/25)*Calculateur!AQ114*Calculateur!AS114*VLOOKUP('Données projet'!$B$10,Paramètres!$A$1:$I$89,3,0)*0.475*44/12</f>
        <v>2.1237880795027126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3.5878745511052772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8.5265128291212022E-14</v>
      </c>
      <c r="BE114" s="13">
        <f>BD114*VLOOKUP('Données projet'!$B$11,Paramètres!$A$1:$I$89,3,0)*VLOOKUP('Données projet'!$B$11,Paramètres!$A$1:$I$89,5,0)</f>
        <v>7.4487616075202836E-14</v>
      </c>
      <c r="BF114" s="13">
        <f t="shared" si="91"/>
        <v>1.1580453144473142E-12</v>
      </c>
      <c r="BG114" s="20">
        <f t="shared" si="61"/>
        <v>2.1466615206600508E-12</v>
      </c>
      <c r="BH114" s="59">
        <f t="shared" si="62"/>
        <v>293.33333333333547</v>
      </c>
      <c r="BI114" s="59">
        <f ca="1">AVERAGE(OFFSET($BH$3,0,0,'Données projet'!$E$11+1,1))-AVERAGE(OFFSET($H$3,0,0,'Données projet'!$E$11+1,1))</f>
        <v>212.82470567725971</v>
      </c>
      <c r="BJ114" s="59">
        <f t="shared" si="92"/>
        <v>196.91968622092054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0.20356229504698373</v>
      </c>
      <c r="BQ114" s="21">
        <f>EXP(-LN(2)/25)*BQ113+(1-EXP(-LN(2)/25))/(LN(2)/25)*Calculateur!BL114*Calculateur!BN114*VLOOKUP('Données projet'!$B$11,Paramètres!$A$1:$I$89,3,0)*0.475*44/12</f>
        <v>0.43223416229437789</v>
      </c>
      <c r="BR114" s="21">
        <f>EXP(-LN(2)/2)*BR113+(1-EXP(-LN(2)/2))/(LN(2)/2)*BL114*BO114*VLOOKUP('Données projet'!$B$11,Paramètres!$A$1:$I$89,3,0)*0.475*44/12</f>
        <v>0</v>
      </c>
      <c r="BS114" s="22">
        <f t="shared" si="63"/>
        <v>0.63579645734136159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25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52.416000000000153</v>
      </c>
      <c r="D115" s="11">
        <f t="shared" si="86"/>
        <v>15.23597830127307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522.22579741333709</v>
      </c>
      <c r="H115" s="67">
        <f t="shared" si="56"/>
        <v>411.1605288747175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5.6843418860808015E-13</v>
      </c>
      <c r="O115" s="13">
        <f>N115*VLOOKUP('Données projet'!$B$9,Paramètres!$A$1:$I$89,3,0)*VLOOKUP('Données projet'!$B$9,Paramètres!$A$1:$I$89,5,0)</f>
        <v>2.2907897800905631E-13</v>
      </c>
      <c r="P115" s="13">
        <f t="shared" si="87"/>
        <v>3.1248920576624499E-12</v>
      </c>
      <c r="Q115" s="20">
        <f t="shared" si="107"/>
        <v>5.8414995537945398E-12</v>
      </c>
      <c r="R115" s="59">
        <f t="shared" si="55"/>
        <v>293.33333333333917</v>
      </c>
      <c r="S115" s="59">
        <f ca="1">AVERAGE(OFFSET($R$3,0,0,'Données projet'!$E$9+1,1))-AVERAGE(OFFSET($H$3,0,0,'Données projet'!$E$9+1,1))</f>
        <v>321.12254860105566</v>
      </c>
      <c r="T115" s="59">
        <f t="shared" si="88"/>
        <v>270.52026164274571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2.6032294431759686</v>
      </c>
      <c r="AA115" s="21">
        <f>EXP(-LN(2)/25)*AA114+(1-EXP(-LN(2)/25))/(LN(2)/25)*Calculateur!V115*Calculateur!X115*VLOOKUP('Données projet'!$B$9,Paramètres!$A$1:$I$89,3,0)*0.475*44/12</f>
        <v>2.1227706994310154</v>
      </c>
      <c r="AB115" s="21">
        <f>EXP(-LN(2)/2)*AB114+(1-EXP(-LN(2)/2))/(LN(2)/2)*V115*Y115*VLOOKUP('Données projet'!$B$9,Paramètres!$A$1:$I$89,3,0)*0.475*44/12</f>
        <v>0</v>
      </c>
      <c r="AC115" s="22">
        <f t="shared" si="57"/>
        <v>4.726000142606984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-3.4106051316484809E-13</v>
      </c>
      <c r="AJ115" s="13">
        <f>AI115*VLOOKUP('Données projet'!$B$10,Paramètres!$A$1:$I$89,3,0)*VLOOKUP('Données projet'!$B$10,Paramètres!$A$1:$I$89,5,0)</f>
        <v>-1.5961632016114892E-13</v>
      </c>
      <c r="AK115" s="13" t="e">
        <f t="shared" si="89"/>
        <v>#NUM!</v>
      </c>
      <c r="AL115" s="20" t="e">
        <f t="shared" si="58"/>
        <v>#NUM!</v>
      </c>
      <c r="AM115" s="59" t="e">
        <f t="shared" si="59"/>
        <v>#NUM!</v>
      </c>
      <c r="AN115" s="59">
        <f ca="1">AVERAGE(OFFSET($AM$3,0,0,'Données projet'!$E$10+1,1))-AVERAGE(OFFSET($H$3,0,0,'Données projet'!$E$10+1,1))</f>
        <v>267.78121291362345</v>
      </c>
      <c r="AO115" s="59">
        <f t="shared" si="90"/>
        <v>320.1780590861174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1.4353766288990093</v>
      </c>
      <c r="AV115" s="21">
        <f>EXP(-LN(2)/25)*AV114+(1-EXP(-LN(2)/25))/(LN(2)/25)*Calculateur!AQ115*Calculateur!AS115*VLOOKUP('Données projet'!$B$10,Paramètres!$A$1:$I$89,3,0)*0.475*44/12</f>
        <v>2.0657129827835496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3.5010896116825592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8.5265128291212022E-14</v>
      </c>
      <c r="BE115" s="13">
        <f>BD115*VLOOKUP('Données projet'!$B$11,Paramètres!$A$1:$I$89,3,0)*VLOOKUP('Données projet'!$B$11,Paramètres!$A$1:$I$89,5,0)</f>
        <v>7.4487616075202836E-14</v>
      </c>
      <c r="BF115" s="13">
        <f t="shared" si="91"/>
        <v>1.1580453144473142E-12</v>
      </c>
      <c r="BG115" s="20">
        <f t="shared" si="61"/>
        <v>2.1466615206600508E-12</v>
      </c>
      <c r="BH115" s="59">
        <f t="shared" si="62"/>
        <v>293.33333333333547</v>
      </c>
      <c r="BI115" s="59">
        <f ca="1">AVERAGE(OFFSET($BH$3,0,0,'Données projet'!$E$11+1,1))-AVERAGE(OFFSET($H$3,0,0,'Données projet'!$E$11+1,1))</f>
        <v>212.82470567725971</v>
      </c>
      <c r="BJ115" s="59">
        <f t="shared" si="92"/>
        <v>196.91968622092054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0.19957056260185249</v>
      </c>
      <c r="BQ115" s="21">
        <f>EXP(-LN(2)/25)*BQ114+(1-EXP(-LN(2)/25))/(LN(2)/25)*Calculateur!BL115*Calculateur!BN115*VLOOKUP('Données projet'!$B$11,Paramètres!$A$1:$I$89,3,0)*0.475*44/12</f>
        <v>0.42041469639623141</v>
      </c>
      <c r="BR115" s="21">
        <f>EXP(-LN(2)/2)*BR114+(1-EXP(-LN(2)/2))/(LN(2)/2)*BL115*BO115*VLOOKUP('Données projet'!$B$11,Paramètres!$A$1:$I$89,3,0)*0.475*44/12</f>
        <v>0</v>
      </c>
      <c r="BS115" s="22">
        <f t="shared" si="63"/>
        <v>0.61998525899808388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25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52.884000000000157</v>
      </c>
      <c r="D116" s="11">
        <f t="shared" si="86"/>
        <v>15.356117032205747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526.76581568720349</v>
      </c>
      <c r="H116" s="67">
        <f t="shared" si="56"/>
        <v>412.1848704977586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5.6843418860808015E-13</v>
      </c>
      <c r="O116" s="13">
        <f>N116*VLOOKUP('Données projet'!$B$9,Paramètres!$A$1:$I$89,3,0)*VLOOKUP('Données projet'!$B$9,Paramètres!$A$1:$I$89,5,0)</f>
        <v>2.2907897800905631E-13</v>
      </c>
      <c r="P116" s="13">
        <f t="shared" si="87"/>
        <v>3.1248920576624499E-12</v>
      </c>
      <c r="Q116" s="20">
        <f t="shared" si="107"/>
        <v>5.8414995537945398E-12</v>
      </c>
      <c r="R116" s="59">
        <f t="shared" si="55"/>
        <v>293.33333333333917</v>
      </c>
      <c r="S116" s="59">
        <f ca="1">AVERAGE(OFFSET($R$3,0,0,'Données projet'!$E$9+1,1))-AVERAGE(OFFSET($H$3,0,0,'Données projet'!$E$9+1,1))</f>
        <v>321.12254860105566</v>
      </c>
      <c r="T116" s="59">
        <f t="shared" si="88"/>
        <v>270.52026164274571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2.5521817016084647</v>
      </c>
      <c r="AA116" s="21">
        <f>EXP(-LN(2)/25)*AA115+(1-EXP(-LN(2)/25))/(LN(2)/25)*Calculateur!V116*Calculateur!X116*VLOOKUP('Données projet'!$B$9,Paramètres!$A$1:$I$89,3,0)*0.475*44/12</f>
        <v>2.0647234230234148</v>
      </c>
      <c r="AB116" s="21">
        <f>EXP(-LN(2)/2)*AB115+(1-EXP(-LN(2)/2))/(LN(2)/2)*V116*Y116*VLOOKUP('Données projet'!$B$9,Paramètres!$A$1:$I$89,3,0)*0.475*44/12</f>
        <v>0</v>
      </c>
      <c r="AC116" s="22">
        <f t="shared" si="57"/>
        <v>4.6169051246318791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-3.4106051316484809E-13</v>
      </c>
      <c r="AJ116" s="13">
        <f>AI116*VLOOKUP('Données projet'!$B$10,Paramètres!$A$1:$I$89,3,0)*VLOOKUP('Données projet'!$B$10,Paramètres!$A$1:$I$89,5,0)</f>
        <v>-1.5961632016114892E-13</v>
      </c>
      <c r="AK116" s="13" t="e">
        <f t="shared" si="89"/>
        <v>#NUM!</v>
      </c>
      <c r="AL116" s="20" t="e">
        <f t="shared" si="58"/>
        <v>#NUM!</v>
      </c>
      <c r="AM116" s="59" t="e">
        <f t="shared" si="59"/>
        <v>#NUM!</v>
      </c>
      <c r="AN116" s="59">
        <f ca="1">AVERAGE(OFFSET($AM$3,0,0,'Données projet'!$E$10+1,1))-AVERAGE(OFFSET($H$3,0,0,'Données projet'!$E$10+1,1))</f>
        <v>267.78121291362345</v>
      </c>
      <c r="AO116" s="59">
        <f t="shared" si="90"/>
        <v>320.1780590861174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1.4072297686995956</v>
      </c>
      <c r="AV116" s="21">
        <f>EXP(-LN(2)/25)*AV115+(1-EXP(-LN(2)/25))/(LN(2)/25)*Calculateur!AQ116*Calculateur!AS116*VLOOKUP('Données projet'!$B$10,Paramètres!$A$1:$I$89,3,0)*0.475*44/12</f>
        <v>2.009225952638209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3.4164557213378046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8.5265128291212022E-14</v>
      </c>
      <c r="BE116" s="13">
        <f>BD116*VLOOKUP('Données projet'!$B$11,Paramètres!$A$1:$I$89,3,0)*VLOOKUP('Données projet'!$B$11,Paramètres!$A$1:$I$89,5,0)</f>
        <v>7.4487616075202836E-14</v>
      </c>
      <c r="BF116" s="13">
        <f t="shared" si="91"/>
        <v>1.1580453144473142E-12</v>
      </c>
      <c r="BG116" s="20">
        <f t="shared" si="61"/>
        <v>2.1466615206600508E-12</v>
      </c>
      <c r="BH116" s="59">
        <f t="shared" si="62"/>
        <v>293.33333333333547</v>
      </c>
      <c r="BI116" s="59">
        <f ca="1">AVERAGE(OFFSET($BH$3,0,0,'Données projet'!$E$11+1,1))-AVERAGE(OFFSET($H$3,0,0,'Données projet'!$E$11+1,1))</f>
        <v>212.82470567725971</v>
      </c>
      <c r="BJ116" s="59">
        <f t="shared" si="92"/>
        <v>196.91968622092054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0.1956571055952539</v>
      </c>
      <c r="BQ116" s="21">
        <f>EXP(-LN(2)/25)*BQ115+(1-EXP(-LN(2)/25))/(LN(2)/25)*Calculateur!BL116*Calculateur!BN116*VLOOKUP('Données projet'!$B$11,Paramètres!$A$1:$I$89,3,0)*0.475*44/12</f>
        <v>0.40891843441462844</v>
      </c>
      <c r="BR116" s="21">
        <f>EXP(-LN(2)/2)*BR115+(1-EXP(-LN(2)/2))/(LN(2)/2)*BL116*BO116*VLOOKUP('Données projet'!$B$11,Paramètres!$A$1:$I$89,3,0)*0.475*44/12</f>
        <v>0</v>
      </c>
      <c r="BS116" s="22">
        <f t="shared" si="63"/>
        <v>0.60457554000988234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25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53.35200000000016</v>
      </c>
      <c r="D117" s="11">
        <f t="shared" si="86"/>
        <v>15.476132071622883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531.30487914937089</v>
      </c>
      <c r="H117" s="67">
        <f t="shared" si="56"/>
        <v>413.20899669141011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5.6843418860808015E-13</v>
      </c>
      <c r="O117" s="13">
        <f>N117*VLOOKUP('Données projet'!$B$9,Paramètres!$A$1:$I$89,3,0)*VLOOKUP('Données projet'!$B$9,Paramètres!$A$1:$I$89,5,0)</f>
        <v>2.2907897800905631E-13</v>
      </c>
      <c r="P117" s="13">
        <f t="shared" si="87"/>
        <v>3.1248920576624499E-12</v>
      </c>
      <c r="Q117" s="20">
        <f t="shared" si="107"/>
        <v>5.8414995537945398E-12</v>
      </c>
      <c r="R117" s="59">
        <f t="shared" si="55"/>
        <v>293.33333333333917</v>
      </c>
      <c r="S117" s="59">
        <f ca="1">AVERAGE(OFFSET($R$3,0,0,'Données projet'!$E$9+1,1))-AVERAGE(OFFSET($H$3,0,0,'Données projet'!$E$9+1,1))</f>
        <v>321.12254860105566</v>
      </c>
      <c r="T117" s="59">
        <f t="shared" si="88"/>
        <v>270.52026164274571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2.5021349751170514</v>
      </c>
      <c r="AA117" s="21">
        <f>EXP(-LN(2)/25)*AA116+(1-EXP(-LN(2)/25))/(LN(2)/25)*Calculateur!V117*Calculateur!X117*VLOOKUP('Données projet'!$B$9,Paramètres!$A$1:$I$89,3,0)*0.475*44/12</f>
        <v>2.0082634524417537</v>
      </c>
      <c r="AB117" s="21">
        <f>EXP(-LN(2)/2)*AB116+(1-EXP(-LN(2)/2))/(LN(2)/2)*V117*Y117*VLOOKUP('Données projet'!$B$9,Paramètres!$A$1:$I$89,3,0)*0.475*44/12</f>
        <v>0</v>
      </c>
      <c r="AC117" s="22">
        <f t="shared" si="57"/>
        <v>4.5103984275588047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-3.4106051316484809E-13</v>
      </c>
      <c r="AJ117" s="13">
        <f>AI117*VLOOKUP('Données projet'!$B$10,Paramètres!$A$1:$I$89,3,0)*VLOOKUP('Données projet'!$B$10,Paramètres!$A$1:$I$89,5,0)</f>
        <v>-1.5961632016114892E-13</v>
      </c>
      <c r="AK117" s="13" t="e">
        <f t="shared" si="89"/>
        <v>#NUM!</v>
      </c>
      <c r="AL117" s="20" t="e">
        <f t="shared" si="58"/>
        <v>#NUM!</v>
      </c>
      <c r="AM117" s="59" t="e">
        <f t="shared" si="59"/>
        <v>#NUM!</v>
      </c>
      <c r="AN117" s="59">
        <f ca="1">AVERAGE(OFFSET($AM$3,0,0,'Données projet'!$E$10+1,1))-AVERAGE(OFFSET($H$3,0,0,'Données projet'!$E$10+1,1))</f>
        <v>267.78121291362345</v>
      </c>
      <c r="AO117" s="59">
        <f t="shared" si="90"/>
        <v>320.1780590861174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1.3796348512608028</v>
      </c>
      <c r="AV117" s="21">
        <f>EXP(-LN(2)/25)*AV116+(1-EXP(-LN(2)/25))/(LN(2)/25)*Calculateur!AQ117*Calculateur!AS117*VLOOKUP('Données projet'!$B$10,Paramètres!$A$1:$I$89,3,0)*0.475*44/12</f>
        <v>1.9542835633027165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3.3339184145635192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8.5265128291212022E-14</v>
      </c>
      <c r="BE117" s="13">
        <f>BD117*VLOOKUP('Données projet'!$B$11,Paramètres!$A$1:$I$89,3,0)*VLOOKUP('Données projet'!$B$11,Paramètres!$A$1:$I$89,5,0)</f>
        <v>7.4487616075202836E-14</v>
      </c>
      <c r="BF117" s="13">
        <f t="shared" si="91"/>
        <v>1.1580453144473142E-12</v>
      </c>
      <c r="BG117" s="20">
        <f t="shared" si="61"/>
        <v>2.1466615206600508E-12</v>
      </c>
      <c r="BH117" s="59">
        <f t="shared" si="62"/>
        <v>293.33333333333547</v>
      </c>
      <c r="BI117" s="59">
        <f ca="1">AVERAGE(OFFSET($BH$3,0,0,'Données projet'!$E$11+1,1))-AVERAGE(OFFSET($H$3,0,0,'Données projet'!$E$11+1,1))</f>
        <v>212.82470567725971</v>
      </c>
      <c r="BJ117" s="59">
        <f t="shared" si="92"/>
        <v>196.91968622092054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0.19182038909358162</v>
      </c>
      <c r="BQ117" s="21">
        <f>EXP(-LN(2)/25)*BQ116+(1-EXP(-LN(2)/25))/(LN(2)/25)*Calculateur!BL117*Calculateur!BN117*VLOOKUP('Données projet'!$B$11,Paramètres!$A$1:$I$89,3,0)*0.475*44/12</f>
        <v>0.39773653832147454</v>
      </c>
      <c r="BR117" s="21">
        <f>EXP(-LN(2)/2)*BR116+(1-EXP(-LN(2)/2))/(LN(2)/2)*BL117*BO117*VLOOKUP('Données projet'!$B$11,Paramètres!$A$1:$I$89,3,0)*0.475*44/12</f>
        <v>0</v>
      </c>
      <c r="BS117" s="22">
        <f t="shared" si="63"/>
        <v>0.58955692741505616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25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53.820000000000164</v>
      </c>
      <c r="D118" s="11">
        <f t="shared" si="86"/>
        <v>15.596024630246307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535.84299714576218</v>
      </c>
      <c r="H118" s="67">
        <f t="shared" si="56"/>
        <v>414.2329095643459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5.6843418860808015E-13</v>
      </c>
      <c r="O118" s="13">
        <f>N118*VLOOKUP('Données projet'!$B$9,Paramètres!$A$1:$I$89,3,0)*VLOOKUP('Données projet'!$B$9,Paramètres!$A$1:$I$89,5,0)</f>
        <v>2.2907897800905631E-13</v>
      </c>
      <c r="P118" s="13">
        <f t="shared" si="87"/>
        <v>3.1248920576624499E-12</v>
      </c>
      <c r="Q118" s="20">
        <f t="shared" si="107"/>
        <v>5.8414995537945398E-12</v>
      </c>
      <c r="R118" s="59">
        <f t="shared" si="55"/>
        <v>293.33333333333917</v>
      </c>
      <c r="S118" s="59">
        <f ca="1">AVERAGE(OFFSET($R$3,0,0,'Données projet'!$E$9+1,1))-AVERAGE(OFFSET($H$3,0,0,'Données projet'!$E$9+1,1))</f>
        <v>321.12254860105566</v>
      </c>
      <c r="T118" s="59">
        <f t="shared" si="88"/>
        <v>270.52026164274571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2.453069634406646</v>
      </c>
      <c r="AA118" s="21">
        <f>EXP(-LN(2)/25)*AA117+(1-EXP(-LN(2)/25))/(LN(2)/25)*Calculateur!V118*Calculateur!X118*VLOOKUP('Données projet'!$B$9,Paramètres!$A$1:$I$89,3,0)*0.475*44/12</f>
        <v>1.9533473827247489</v>
      </c>
      <c r="AB118" s="21">
        <f>EXP(-LN(2)/2)*AB117+(1-EXP(-LN(2)/2))/(LN(2)/2)*V118*Y118*VLOOKUP('Données projet'!$B$9,Paramètres!$A$1:$I$89,3,0)*0.475*44/12</f>
        <v>0</v>
      </c>
      <c r="AC118" s="22">
        <f t="shared" si="57"/>
        <v>4.4064170171313952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-3.4106051316484809E-13</v>
      </c>
      <c r="AJ118" s="13">
        <f>AI118*VLOOKUP('Données projet'!$B$10,Paramètres!$A$1:$I$89,3,0)*VLOOKUP('Données projet'!$B$10,Paramètres!$A$1:$I$89,5,0)</f>
        <v>-1.5961632016114892E-13</v>
      </c>
      <c r="AK118" s="13" t="e">
        <f t="shared" si="89"/>
        <v>#NUM!</v>
      </c>
      <c r="AL118" s="20" t="e">
        <f t="shared" si="58"/>
        <v>#NUM!</v>
      </c>
      <c r="AM118" s="59" t="e">
        <f t="shared" si="59"/>
        <v>#NUM!</v>
      </c>
      <c r="AN118" s="59">
        <f ca="1">AVERAGE(OFFSET($AM$3,0,0,'Données projet'!$E$10+1,1))-AVERAGE(OFFSET($H$3,0,0,'Données projet'!$E$10+1,1))</f>
        <v>267.78121291362345</v>
      </c>
      <c r="AO118" s="59">
        <f t="shared" si="90"/>
        <v>320.1780590861174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1.3525810533217471</v>
      </c>
      <c r="AV118" s="21">
        <f>EXP(-LN(2)/25)*AV117+(1-EXP(-LN(2)/25))/(LN(2)/25)*Calculateur!AQ118*Calculateur!AS118*VLOOKUP('Données projet'!$B$10,Paramètres!$A$1:$I$89,3,0)*0.475*44/12</f>
        <v>1.9008435764928977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3.2534246298146448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8.5265128291212022E-14</v>
      </c>
      <c r="BE118" s="13">
        <f>BD118*VLOOKUP('Données projet'!$B$11,Paramètres!$A$1:$I$89,3,0)*VLOOKUP('Données projet'!$B$11,Paramètres!$A$1:$I$89,5,0)</f>
        <v>7.4487616075202836E-14</v>
      </c>
      <c r="BF118" s="13">
        <f t="shared" si="91"/>
        <v>1.1580453144473142E-12</v>
      </c>
      <c r="BG118" s="20">
        <f t="shared" si="61"/>
        <v>2.1466615206600508E-12</v>
      </c>
      <c r="BH118" s="59">
        <f t="shared" si="62"/>
        <v>293.33333333333547</v>
      </c>
      <c r="BI118" s="59">
        <f ca="1">AVERAGE(OFFSET($BH$3,0,0,'Données projet'!$E$11+1,1))-AVERAGE(OFFSET($H$3,0,0,'Données projet'!$E$11+1,1))</f>
        <v>212.82470567725971</v>
      </c>
      <c r="BJ118" s="59">
        <f t="shared" si="92"/>
        <v>196.91968622092054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0.18805890826234115</v>
      </c>
      <c r="BQ118" s="21">
        <f>EXP(-LN(2)/25)*BQ117+(1-EXP(-LN(2)/25))/(LN(2)/25)*Calculateur!BL118*Calculateur!BN118*VLOOKUP('Données projet'!$B$11,Paramètres!$A$1:$I$89,3,0)*0.475*44/12</f>
        <v>0.38686041176501829</v>
      </c>
      <c r="BR118" s="21">
        <f>EXP(-LN(2)/2)*BR117+(1-EXP(-LN(2)/2))/(LN(2)/2)*BL118*BO118*VLOOKUP('Données projet'!$B$11,Paramètres!$A$1:$I$89,3,0)*0.475*44/12</f>
        <v>0</v>
      </c>
      <c r="BS118" s="22">
        <f t="shared" si="63"/>
        <v>0.57491932002735946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25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54.288000000000167</v>
      </c>
      <c r="D119" s="11">
        <f t="shared" si="86"/>
        <v>15.715795896526787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540.38017885038346</v>
      </c>
      <c r="H119" s="67">
        <f t="shared" si="56"/>
        <v>415.2566111864511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5.6843418860808015E-13</v>
      </c>
      <c r="O119" s="13">
        <f>N119*VLOOKUP('Données projet'!$B$9,Paramètres!$A$1:$I$89,3,0)*VLOOKUP('Données projet'!$B$9,Paramètres!$A$1:$I$89,5,0)</f>
        <v>2.2907897800905631E-13</v>
      </c>
      <c r="P119" s="13">
        <f t="shared" si="87"/>
        <v>3.1248920576624499E-12</v>
      </c>
      <c r="Q119" s="20">
        <f t="shared" si="107"/>
        <v>5.8414995537945398E-12</v>
      </c>
      <c r="R119" s="59">
        <f t="shared" si="55"/>
        <v>293.33333333333917</v>
      </c>
      <c r="S119" s="59">
        <f ca="1">AVERAGE(OFFSET($R$3,0,0,'Données projet'!$E$9+1,1))-AVERAGE(OFFSET($H$3,0,0,'Données projet'!$E$9+1,1))</f>
        <v>321.12254860105566</v>
      </c>
      <c r="T119" s="59">
        <f t="shared" si="88"/>
        <v>270.52026164274571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2.4049664351006688</v>
      </c>
      <c r="AA119" s="21">
        <f>EXP(-LN(2)/25)*AA118+(1-EXP(-LN(2)/25))/(LN(2)/25)*Calculateur!V119*Calculateur!X119*VLOOKUP('Données projet'!$B$9,Paramètres!$A$1:$I$89,3,0)*0.475*44/12</f>
        <v>1.8999329958220663</v>
      </c>
      <c r="AB119" s="21">
        <f>EXP(-LN(2)/2)*AB118+(1-EXP(-LN(2)/2))/(LN(2)/2)*V119*Y119*VLOOKUP('Données projet'!$B$9,Paramètres!$A$1:$I$89,3,0)*0.475*44/12</f>
        <v>0</v>
      </c>
      <c r="AC119" s="22">
        <f t="shared" si="57"/>
        <v>4.3048994309227346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-3.4106051316484809E-13</v>
      </c>
      <c r="AJ119" s="13">
        <f>AI119*VLOOKUP('Données projet'!$B$10,Paramètres!$A$1:$I$89,3,0)*VLOOKUP('Données projet'!$B$10,Paramètres!$A$1:$I$89,5,0)</f>
        <v>-1.5961632016114892E-13</v>
      </c>
      <c r="AK119" s="13" t="e">
        <f t="shared" si="89"/>
        <v>#NUM!</v>
      </c>
      <c r="AL119" s="20" t="e">
        <f t="shared" si="58"/>
        <v>#NUM!</v>
      </c>
      <c r="AM119" s="59" t="e">
        <f t="shared" si="59"/>
        <v>#NUM!</v>
      </c>
      <c r="AN119" s="59">
        <f ca="1">AVERAGE(OFFSET($AM$3,0,0,'Données projet'!$E$10+1,1))-AVERAGE(OFFSET($H$3,0,0,'Données projet'!$E$10+1,1))</f>
        <v>267.78121291362345</v>
      </c>
      <c r="AO119" s="59">
        <f t="shared" si="90"/>
        <v>320.1780590861174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1.3260577638590889</v>
      </c>
      <c r="AV119" s="21">
        <f>EXP(-LN(2)/25)*AV118+(1-EXP(-LN(2)/25))/(LN(2)/25)*Calculateur!AQ119*Calculateur!AS119*VLOOKUP('Données projet'!$B$10,Paramètres!$A$1:$I$89,3,0)*0.475*44/12</f>
        <v>1.8488649089326801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3.174922672791769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8.5265128291212022E-14</v>
      </c>
      <c r="BE119" s="13">
        <f>BD119*VLOOKUP('Données projet'!$B$11,Paramètres!$A$1:$I$89,3,0)*VLOOKUP('Données projet'!$B$11,Paramètres!$A$1:$I$89,5,0)</f>
        <v>7.4487616075202836E-14</v>
      </c>
      <c r="BF119" s="13">
        <f t="shared" si="91"/>
        <v>1.1580453144473142E-12</v>
      </c>
      <c r="BG119" s="20">
        <f t="shared" si="61"/>
        <v>2.1466615206600508E-12</v>
      </c>
      <c r="BH119" s="59">
        <f t="shared" si="62"/>
        <v>293.33333333333547</v>
      </c>
      <c r="BI119" s="59">
        <f ca="1">AVERAGE(OFFSET($BH$3,0,0,'Données projet'!$E$11+1,1))-AVERAGE(OFFSET($H$3,0,0,'Données projet'!$E$11+1,1))</f>
        <v>212.82470567725971</v>
      </c>
      <c r="BJ119" s="59">
        <f t="shared" si="92"/>
        <v>196.91968622092054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0.18437118777592454</v>
      </c>
      <c r="BQ119" s="21">
        <f>EXP(-LN(2)/25)*BQ118+(1-EXP(-LN(2)/25))/(LN(2)/25)*Calculateur!BL119*Calculateur!BN119*VLOOKUP('Données projet'!$B$11,Paramètres!$A$1:$I$89,3,0)*0.475*44/12</f>
        <v>0.376281693461199</v>
      </c>
      <c r="BR119" s="21">
        <f>EXP(-LN(2)/2)*BR118+(1-EXP(-LN(2)/2))/(LN(2)/2)*BL119*BO119*VLOOKUP('Données projet'!$B$11,Paramètres!$A$1:$I$89,3,0)*0.475*44/12</f>
        <v>0</v>
      </c>
      <c r="BS119" s="22">
        <f t="shared" si="63"/>
        <v>0.56065288123712353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25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54.756000000000171</v>
      </c>
      <c r="D120" s="11">
        <f t="shared" si="86"/>
        <v>15.835447037242094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544.91643326994028</v>
      </c>
      <c r="H120" s="67">
        <f t="shared" si="56"/>
        <v>416.28010358986359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5.6843418860808015E-13</v>
      </c>
      <c r="O120" s="13">
        <f>N120*VLOOKUP('Données projet'!$B$9,Paramètres!$A$1:$I$89,3,0)*VLOOKUP('Données projet'!$B$9,Paramètres!$A$1:$I$89,5,0)</f>
        <v>2.2907897800905631E-13</v>
      </c>
      <c r="P120" s="13">
        <f t="shared" si="87"/>
        <v>3.1248920576624499E-12</v>
      </c>
      <c r="Q120" s="20">
        <f t="shared" si="107"/>
        <v>5.8414995537945398E-12</v>
      </c>
      <c r="R120" s="59">
        <f t="shared" si="55"/>
        <v>293.33333333333917</v>
      </c>
      <c r="S120" s="59">
        <f ca="1">AVERAGE(OFFSET($R$3,0,0,'Données projet'!$E$9+1,1))-AVERAGE(OFFSET($H$3,0,0,'Données projet'!$E$9+1,1))</f>
        <v>321.12254860105566</v>
      </c>
      <c r="T120" s="59">
        <f t="shared" si="88"/>
        <v>270.52026164274571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2.3578065101930274</v>
      </c>
      <c r="AA120" s="21">
        <f>EXP(-LN(2)/25)*AA119+(1-EXP(-LN(2)/25))/(LN(2)/25)*Calculateur!V120*Calculateur!X120*VLOOKUP('Données projet'!$B$9,Paramètres!$A$1:$I$89,3,0)*0.475*44/12</f>
        <v>1.8479792281381779</v>
      </c>
      <c r="AB120" s="21">
        <f>EXP(-LN(2)/2)*AB119+(1-EXP(-LN(2)/2))/(LN(2)/2)*V120*Y120*VLOOKUP('Données projet'!$B$9,Paramètres!$A$1:$I$89,3,0)*0.475*44/12</f>
        <v>0</v>
      </c>
      <c r="AC120" s="22">
        <f t="shared" si="57"/>
        <v>4.2057857383312056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-3.4106051316484809E-13</v>
      </c>
      <c r="AJ120" s="13">
        <f>AI120*VLOOKUP('Données projet'!$B$10,Paramètres!$A$1:$I$89,3,0)*VLOOKUP('Données projet'!$B$10,Paramètres!$A$1:$I$89,5,0)</f>
        <v>-1.5961632016114892E-13</v>
      </c>
      <c r="AK120" s="13" t="e">
        <f t="shared" si="89"/>
        <v>#NUM!</v>
      </c>
      <c r="AL120" s="20" t="e">
        <f t="shared" si="58"/>
        <v>#NUM!</v>
      </c>
      <c r="AM120" s="59" t="e">
        <f t="shared" si="59"/>
        <v>#NUM!</v>
      </c>
      <c r="AN120" s="59">
        <f ca="1">AVERAGE(OFFSET($AM$3,0,0,'Données projet'!$E$10+1,1))-AVERAGE(OFFSET($H$3,0,0,'Données projet'!$E$10+1,1))</f>
        <v>267.78121291362345</v>
      </c>
      <c r="AO120" s="59">
        <f t="shared" si="90"/>
        <v>320.1780590861174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1.3000545799251841</v>
      </c>
      <c r="AV120" s="21">
        <f>EXP(-LN(2)/25)*AV119+(1-EXP(-LN(2)/25))/(LN(2)/25)*Calculateur!AQ120*Calculateur!AS120*VLOOKUP('Données projet'!$B$10,Paramètres!$A$1:$I$89,3,0)*0.475*44/12</f>
        <v>1.798307600770336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3.0983621806955202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8.5265128291212022E-14</v>
      </c>
      <c r="BE120" s="13">
        <f>BD120*VLOOKUP('Données projet'!$B$11,Paramètres!$A$1:$I$89,3,0)*VLOOKUP('Données projet'!$B$11,Paramètres!$A$1:$I$89,5,0)</f>
        <v>7.4487616075202836E-14</v>
      </c>
      <c r="BF120" s="13">
        <f t="shared" si="91"/>
        <v>1.1580453144473142E-12</v>
      </c>
      <c r="BG120" s="20">
        <f t="shared" si="61"/>
        <v>2.1466615206600508E-12</v>
      </c>
      <c r="BH120" s="59">
        <f t="shared" si="62"/>
        <v>293.33333333333547</v>
      </c>
      <c r="BI120" s="59">
        <f ca="1">AVERAGE(OFFSET($BH$3,0,0,'Données projet'!$E$11+1,1))-AVERAGE(OFFSET($H$3,0,0,'Données projet'!$E$11+1,1))</f>
        <v>212.82470567725971</v>
      </c>
      <c r="BJ120" s="59">
        <f t="shared" si="92"/>
        <v>196.91968622092054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0.18075578123895916</v>
      </c>
      <c r="BQ120" s="21">
        <f>EXP(-LN(2)/25)*BQ119+(1-EXP(-LN(2)/25))/(LN(2)/25)*Calculateur!BL120*Calculateur!BN120*VLOOKUP('Données projet'!$B$11,Paramètres!$A$1:$I$89,3,0)*0.475*44/12</f>
        <v>0.36599225076570824</v>
      </c>
      <c r="BR120" s="21">
        <f>EXP(-LN(2)/2)*BR119+(1-EXP(-LN(2)/2))/(LN(2)/2)*BL120*BO120*VLOOKUP('Données projet'!$B$11,Paramètres!$A$1:$I$89,3,0)*0.475*44/12</f>
        <v>0</v>
      </c>
      <c r="BS120" s="22">
        <f t="shared" si="63"/>
        <v>0.54674803200466737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25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55.224000000000174</v>
      </c>
      <c r="D121" s="11">
        <f t="shared" si="86"/>
        <v>15.954979198073998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549.45176924829184</v>
      </c>
      <c r="H121" s="67">
        <f t="shared" si="56"/>
        <v>417.30338876997916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5.6843418860808015E-13</v>
      </c>
      <c r="O121" s="13">
        <f>N121*VLOOKUP('Données projet'!$B$9,Paramètres!$A$1:$I$89,3,0)*VLOOKUP('Données projet'!$B$9,Paramètres!$A$1:$I$89,5,0)</f>
        <v>2.2907897800905631E-13</v>
      </c>
      <c r="P121" s="13">
        <f t="shared" si="87"/>
        <v>3.1248920576624499E-12</v>
      </c>
      <c r="Q121" s="20">
        <f t="shared" si="107"/>
        <v>5.8414995537945398E-12</v>
      </c>
      <c r="R121" s="59">
        <f t="shared" si="55"/>
        <v>293.33333333333917</v>
      </c>
      <c r="S121" s="59">
        <f ca="1">AVERAGE(OFFSET($R$3,0,0,'Données projet'!$E$9+1,1))-AVERAGE(OFFSET($H$3,0,0,'Données projet'!$E$9+1,1))</f>
        <v>321.12254860105566</v>
      </c>
      <c r="T121" s="59">
        <f t="shared" si="88"/>
        <v>270.52026164274571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2.3115713626481109</v>
      </c>
      <c r="AA121" s="21">
        <f>EXP(-LN(2)/25)*AA120+(1-EXP(-LN(2)/25))/(LN(2)/25)*Calculateur!V121*Calculateur!X121*VLOOKUP('Données projet'!$B$9,Paramètres!$A$1:$I$89,3,0)*0.475*44/12</f>
        <v>1.7974461389637355</v>
      </c>
      <c r="AB121" s="21">
        <f>EXP(-LN(2)/2)*AB120+(1-EXP(-LN(2)/2))/(LN(2)/2)*V121*Y121*VLOOKUP('Données projet'!$B$9,Paramètres!$A$1:$I$89,3,0)*0.475*44/12</f>
        <v>0</v>
      </c>
      <c r="AC121" s="22">
        <f t="shared" si="57"/>
        <v>4.1090175016118469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-3.4106051316484809E-13</v>
      </c>
      <c r="AJ121" s="13">
        <f>AI121*VLOOKUP('Données projet'!$B$10,Paramètres!$A$1:$I$89,3,0)*VLOOKUP('Données projet'!$B$10,Paramètres!$A$1:$I$89,5,0)</f>
        <v>-1.5961632016114892E-13</v>
      </c>
      <c r="AK121" s="13" t="e">
        <f t="shared" si="89"/>
        <v>#NUM!</v>
      </c>
      <c r="AL121" s="20" t="e">
        <f t="shared" si="58"/>
        <v>#NUM!</v>
      </c>
      <c r="AM121" s="59" t="e">
        <f t="shared" si="59"/>
        <v>#NUM!</v>
      </c>
      <c r="AN121" s="59">
        <f ca="1">AVERAGE(OFFSET($AM$3,0,0,'Données projet'!$E$10+1,1))-AVERAGE(OFFSET($H$3,0,0,'Données projet'!$E$10+1,1))</f>
        <v>267.78121291362345</v>
      </c>
      <c r="AO121" s="59">
        <f t="shared" si="90"/>
        <v>320.1780590861174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1.2745613025678473</v>
      </c>
      <c r="AV121" s="21">
        <f>EXP(-LN(2)/25)*AV120+(1-EXP(-LN(2)/25))/(LN(2)/25)*Calculateur!AQ121*Calculateur!AS121*VLOOKUP('Données projet'!$B$10,Paramètres!$A$1:$I$89,3,0)*0.475*44/12</f>
        <v>1.7491327848583846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3.0236940874262319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8.5265128291212022E-14</v>
      </c>
      <c r="BE121" s="13">
        <f>BD121*VLOOKUP('Données projet'!$B$11,Paramètres!$A$1:$I$89,3,0)*VLOOKUP('Données projet'!$B$11,Paramètres!$A$1:$I$89,5,0)</f>
        <v>7.4487616075202836E-14</v>
      </c>
      <c r="BF121" s="13">
        <f t="shared" si="91"/>
        <v>1.1580453144473142E-12</v>
      </c>
      <c r="BG121" s="20">
        <f t="shared" si="61"/>
        <v>2.1466615206600508E-12</v>
      </c>
      <c r="BH121" s="59">
        <f t="shared" si="62"/>
        <v>293.33333333333547</v>
      </c>
      <c r="BI121" s="59">
        <f ca="1">AVERAGE(OFFSET($BH$3,0,0,'Données projet'!$E$11+1,1))-AVERAGE(OFFSET($H$3,0,0,'Données projet'!$E$11+1,1))</f>
        <v>212.82470567725971</v>
      </c>
      <c r="BJ121" s="59">
        <f t="shared" si="92"/>
        <v>196.91968622092054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0.17721127061900344</v>
      </c>
      <c r="BQ121" s="21">
        <f>EXP(-LN(2)/25)*BQ120+(1-EXP(-LN(2)/25))/(LN(2)/25)*Calculateur!BL121*Calculateur!BN121*VLOOKUP('Données projet'!$B$11,Paramètres!$A$1:$I$89,3,0)*0.475*44/12</f>
        <v>0.35598417342182398</v>
      </c>
      <c r="BR121" s="21">
        <f>EXP(-LN(2)/2)*BR120+(1-EXP(-LN(2)/2))/(LN(2)/2)*BL121*BO121*VLOOKUP('Données projet'!$B$11,Paramètres!$A$1:$I$89,3,0)*0.475*44/12</f>
        <v>0</v>
      </c>
      <c r="BS121" s="22">
        <f t="shared" si="63"/>
        <v>0.53319544404082742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25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55.692000000000178</v>
      </c>
      <c r="D122" s="11">
        <f t="shared" si="86"/>
        <v>16.074393504165254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553.98619547075066</v>
      </c>
      <c r="H122" s="67">
        <f t="shared" si="56"/>
        <v>418.32646868642144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5.6843418860808015E-13</v>
      </c>
      <c r="O122" s="13">
        <f>N122*VLOOKUP('Données projet'!$B$9,Paramètres!$A$1:$I$89,3,0)*VLOOKUP('Données projet'!$B$9,Paramètres!$A$1:$I$89,5,0)</f>
        <v>2.2907897800905631E-13</v>
      </c>
      <c r="P122" s="13">
        <f t="shared" si="87"/>
        <v>3.1248920576624499E-12</v>
      </c>
      <c r="Q122" s="20">
        <f t="shared" si="107"/>
        <v>5.8414995537945398E-12</v>
      </c>
      <c r="R122" s="59">
        <f t="shared" si="55"/>
        <v>293.33333333333917</v>
      </c>
      <c r="S122" s="59">
        <f ca="1">AVERAGE(OFFSET($R$3,0,0,'Données projet'!$E$9+1,1))-AVERAGE(OFFSET($H$3,0,0,'Données projet'!$E$9+1,1))</f>
        <v>321.12254860105566</v>
      </c>
      <c r="T122" s="59">
        <f t="shared" si="88"/>
        <v>270.52026164274571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2.2662428581458949</v>
      </c>
      <c r="AA122" s="21">
        <f>EXP(-LN(2)/25)*AA121+(1-EXP(-LN(2)/25))/(LN(2)/25)*Calculateur!V122*Calculateur!X122*VLOOKUP('Données projet'!$B$9,Paramètres!$A$1:$I$89,3,0)*0.475*44/12</f>
        <v>1.7482948797701878</v>
      </c>
      <c r="AB122" s="21">
        <f>EXP(-LN(2)/2)*AB121+(1-EXP(-LN(2)/2))/(LN(2)/2)*V122*Y122*VLOOKUP('Données projet'!$B$9,Paramètres!$A$1:$I$89,3,0)*0.475*44/12</f>
        <v>0</v>
      </c>
      <c r="AC122" s="22">
        <f t="shared" si="57"/>
        <v>4.0145377379160827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-3.4106051316484809E-13</v>
      </c>
      <c r="AJ122" s="13">
        <f>AI122*VLOOKUP('Données projet'!$B$10,Paramètres!$A$1:$I$89,3,0)*VLOOKUP('Données projet'!$B$10,Paramètres!$A$1:$I$89,5,0)</f>
        <v>-1.5961632016114892E-13</v>
      </c>
      <c r="AK122" s="13" t="e">
        <f t="shared" si="89"/>
        <v>#NUM!</v>
      </c>
      <c r="AL122" s="20" t="e">
        <f t="shared" si="58"/>
        <v>#NUM!</v>
      </c>
      <c r="AM122" s="59" t="e">
        <f t="shared" si="59"/>
        <v>#NUM!</v>
      </c>
      <c r="AN122" s="59">
        <f ca="1">AVERAGE(OFFSET($AM$3,0,0,'Données projet'!$E$10+1,1))-AVERAGE(OFFSET($H$3,0,0,'Données projet'!$E$10+1,1))</f>
        <v>267.78121291362345</v>
      </c>
      <c r="AO122" s="59">
        <f t="shared" si="90"/>
        <v>320.1780590861174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1.2495679328301239</v>
      </c>
      <c r="AV122" s="21">
        <f>EXP(-LN(2)/25)*AV121+(1-EXP(-LN(2)/25))/(LN(2)/25)*Calculateur!AQ122*Calculateur!AS122*VLOOKUP('Données projet'!$B$10,Paramètres!$A$1:$I$89,3,0)*0.475*44/12</f>
        <v>1.7013026568735365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2.9508705897036602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8.5265128291212022E-14</v>
      </c>
      <c r="BE122" s="13">
        <f>BD122*VLOOKUP('Données projet'!$B$11,Paramètres!$A$1:$I$89,3,0)*VLOOKUP('Données projet'!$B$11,Paramètres!$A$1:$I$89,5,0)</f>
        <v>7.4487616075202836E-14</v>
      </c>
      <c r="BF122" s="13">
        <f t="shared" si="91"/>
        <v>1.1580453144473142E-12</v>
      </c>
      <c r="BG122" s="20">
        <f t="shared" si="61"/>
        <v>2.1466615206600508E-12</v>
      </c>
      <c r="BH122" s="59">
        <f t="shared" si="62"/>
        <v>293.33333333333547</v>
      </c>
      <c r="BI122" s="59">
        <f ca="1">AVERAGE(OFFSET($BH$3,0,0,'Données projet'!$E$11+1,1))-AVERAGE(OFFSET($H$3,0,0,'Données projet'!$E$11+1,1))</f>
        <v>212.82470567725971</v>
      </c>
      <c r="BJ122" s="59">
        <f t="shared" si="92"/>
        <v>196.91968622092054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0.17373626569036704</v>
      </c>
      <c r="BQ122" s="21">
        <f>EXP(-LN(2)/25)*BQ121+(1-EXP(-LN(2)/25))/(LN(2)/25)*Calculateur!BL122*Calculateur!BN122*VLOOKUP('Données projet'!$B$11,Paramètres!$A$1:$I$89,3,0)*0.475*44/12</f>
        <v>0.34624976747921016</v>
      </c>
      <c r="BR122" s="21">
        <f>EXP(-LN(2)/2)*BR121+(1-EXP(-LN(2)/2))/(LN(2)/2)*BL122*BO122*VLOOKUP('Données projet'!$B$11,Paramètres!$A$1:$I$89,3,0)*0.475*44/12</f>
        <v>0</v>
      </c>
      <c r="BS122" s="22">
        <f t="shared" si="63"/>
        <v>0.51998603316957714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25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56.160000000000181</v>
      </c>
      <c r="D123" s="11">
        <f t="shared" si="86"/>
        <v>16.193691060657081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558.51972046823164</v>
      </c>
      <c r="H123" s="67">
        <f t="shared" si="56"/>
        <v>419.34934526397802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5.6843418860808015E-13</v>
      </c>
      <c r="O123" s="13">
        <f>N123*VLOOKUP('Données projet'!$B$9,Paramètres!$A$1:$I$89,3,0)*VLOOKUP('Données projet'!$B$9,Paramètres!$A$1:$I$89,5,0)</f>
        <v>2.2907897800905631E-13</v>
      </c>
      <c r="P123" s="13">
        <f t="shared" si="87"/>
        <v>3.1248920576624499E-12</v>
      </c>
      <c r="Q123" s="20">
        <f t="shared" si="107"/>
        <v>5.8414995537945398E-12</v>
      </c>
      <c r="R123" s="59">
        <f t="shared" si="55"/>
        <v>293.33333333333917</v>
      </c>
      <c r="S123" s="59">
        <f ca="1">AVERAGE(OFFSET($R$3,0,0,'Données projet'!$E$9+1,1))-AVERAGE(OFFSET($H$3,0,0,'Données projet'!$E$9+1,1))</f>
        <v>321.12254860105566</v>
      </c>
      <c r="T123" s="59">
        <f t="shared" si="88"/>
        <v>270.52026164274571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2.2218032179693092</v>
      </c>
      <c r="AA123" s="21">
        <f>EXP(-LN(2)/25)*AA122+(1-EXP(-LN(2)/25))/(LN(2)/25)*Calculateur!V123*Calculateur!X123*VLOOKUP('Données projet'!$B$9,Paramètres!$A$1:$I$89,3,0)*0.475*44/12</f>
        <v>1.7004876643440401</v>
      </c>
      <c r="AB123" s="21">
        <f>EXP(-LN(2)/2)*AB122+(1-EXP(-LN(2)/2))/(LN(2)/2)*V123*Y123*VLOOKUP('Données projet'!$B$9,Paramètres!$A$1:$I$89,3,0)*0.475*44/12</f>
        <v>0</v>
      </c>
      <c r="AC123" s="22">
        <f t="shared" si="57"/>
        <v>3.9222908823133493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-3.4106051316484809E-13</v>
      </c>
      <c r="AJ123" s="13">
        <f>AI123*VLOOKUP('Données projet'!$B$10,Paramètres!$A$1:$I$89,3,0)*VLOOKUP('Données projet'!$B$10,Paramètres!$A$1:$I$89,5,0)</f>
        <v>-1.5961632016114892E-13</v>
      </c>
      <c r="AK123" s="13" t="e">
        <f t="shared" si="89"/>
        <v>#NUM!</v>
      </c>
      <c r="AL123" s="20" t="e">
        <f t="shared" si="58"/>
        <v>#NUM!</v>
      </c>
      <c r="AM123" s="59" t="e">
        <f t="shared" si="59"/>
        <v>#NUM!</v>
      </c>
      <c r="AN123" s="59">
        <f ca="1">AVERAGE(OFFSET($AM$3,0,0,'Données projet'!$E$10+1,1))-AVERAGE(OFFSET($H$3,0,0,'Données projet'!$E$10+1,1))</f>
        <v>267.78121291362345</v>
      </c>
      <c r="AO123" s="59">
        <f t="shared" si="90"/>
        <v>320.1780590861174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1.2250646678285071</v>
      </c>
      <c r="AV123" s="21">
        <f>EXP(-LN(2)/25)*AV122+(1-EXP(-LN(2)/25))/(LN(2)/25)*Calculateur!AQ123*Calculateur!AS123*VLOOKUP('Données projet'!$B$10,Paramètres!$A$1:$I$89,3,0)*0.475*44/12</f>
        <v>1.6547804462537112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2.8798451140822183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8.5265128291212022E-14</v>
      </c>
      <c r="BE123" s="13">
        <f>BD123*VLOOKUP('Données projet'!$B$11,Paramètres!$A$1:$I$89,3,0)*VLOOKUP('Données projet'!$B$11,Paramètres!$A$1:$I$89,5,0)</f>
        <v>7.4487616075202836E-14</v>
      </c>
      <c r="BF123" s="13">
        <f t="shared" si="91"/>
        <v>1.1580453144473142E-12</v>
      </c>
      <c r="BG123" s="20">
        <f t="shared" si="61"/>
        <v>2.1466615206600508E-12</v>
      </c>
      <c r="BH123" s="59">
        <f t="shared" si="62"/>
        <v>293.33333333333547</v>
      </c>
      <c r="BI123" s="59">
        <f ca="1">AVERAGE(OFFSET($BH$3,0,0,'Données projet'!$E$11+1,1))-AVERAGE(OFFSET($H$3,0,0,'Données projet'!$E$11+1,1))</f>
        <v>212.82470567725971</v>
      </c>
      <c r="BJ123" s="59">
        <f t="shared" si="92"/>
        <v>196.91968622092054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0.17032940348883749</v>
      </c>
      <c r="BQ123" s="21">
        <f>EXP(-LN(2)/25)*BQ122+(1-EXP(-LN(2)/25))/(LN(2)/25)*Calculateur!BL123*Calculateur!BN123*VLOOKUP('Données projet'!$B$11,Paramètres!$A$1:$I$89,3,0)*0.475*44/12</f>
        <v>0.33678154937900723</v>
      </c>
      <c r="BR123" s="21">
        <f>EXP(-LN(2)/2)*BR122+(1-EXP(-LN(2)/2))/(LN(2)/2)*BL123*BO123*VLOOKUP('Données projet'!$B$11,Paramètres!$A$1:$I$89,3,0)*0.475*44/12</f>
        <v>0</v>
      </c>
      <c r="BS123" s="22">
        <f t="shared" si="63"/>
        <v>0.50711095286784469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25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56.628000000000185</v>
      </c>
      <c r="D124" s="11">
        <f t="shared" si="86"/>
        <v>16.312872953208569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563.05235262126064</v>
      </c>
      <c r="H124" s="67">
        <f t="shared" si="56"/>
        <v>420.37202039350524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5.6843418860808015E-13</v>
      </c>
      <c r="O124" s="13">
        <f>N124*VLOOKUP('Données projet'!$B$9,Paramètres!$A$1:$I$89,3,0)*VLOOKUP('Données projet'!$B$9,Paramètres!$A$1:$I$89,5,0)</f>
        <v>2.2907897800905631E-13</v>
      </c>
      <c r="P124" s="13">
        <f t="shared" si="87"/>
        <v>3.1248920576624499E-12</v>
      </c>
      <c r="Q124" s="20">
        <f t="shared" si="107"/>
        <v>5.8414995537945398E-12</v>
      </c>
      <c r="R124" s="59">
        <f t="shared" si="55"/>
        <v>293.33333333333917</v>
      </c>
      <c r="S124" s="59">
        <f ca="1">AVERAGE(OFFSET($R$3,0,0,'Données projet'!$E$9+1,1))-AVERAGE(OFFSET($H$3,0,0,'Données projet'!$E$9+1,1))</f>
        <v>321.12254860105566</v>
      </c>
      <c r="T124" s="59">
        <f t="shared" si="88"/>
        <v>270.52026164274571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2.1782350120310827</v>
      </c>
      <c r="AA124" s="21">
        <f>EXP(-LN(2)/25)*AA123+(1-EXP(-LN(2)/25))/(LN(2)/25)*Calculateur!V124*Calculateur!X124*VLOOKUP('Données projet'!$B$9,Paramètres!$A$1:$I$89,3,0)*0.475*44/12</f>
        <v>1.6539877397377925</v>
      </c>
      <c r="AB124" s="21">
        <f>EXP(-LN(2)/2)*AB123+(1-EXP(-LN(2)/2))/(LN(2)/2)*V124*Y124*VLOOKUP('Données projet'!$B$9,Paramètres!$A$1:$I$89,3,0)*0.475*44/12</f>
        <v>0</v>
      </c>
      <c r="AC124" s="22">
        <f t="shared" si="57"/>
        <v>3.8322227517688754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-3.4106051316484809E-13</v>
      </c>
      <c r="AJ124" s="13">
        <f>AI124*VLOOKUP('Données projet'!$B$10,Paramètres!$A$1:$I$89,3,0)*VLOOKUP('Données projet'!$B$10,Paramètres!$A$1:$I$89,5,0)</f>
        <v>-1.5961632016114892E-13</v>
      </c>
      <c r="AK124" s="13" t="e">
        <f t="shared" si="89"/>
        <v>#NUM!</v>
      </c>
      <c r="AL124" s="20" t="e">
        <f t="shared" si="58"/>
        <v>#NUM!</v>
      </c>
      <c r="AM124" s="59" t="e">
        <f t="shared" si="59"/>
        <v>#NUM!</v>
      </c>
      <c r="AN124" s="59">
        <f ca="1">AVERAGE(OFFSET($AM$3,0,0,'Données projet'!$E$10+1,1))-AVERAGE(OFFSET($H$3,0,0,'Données projet'!$E$10+1,1))</f>
        <v>267.78121291362345</v>
      </c>
      <c r="AO124" s="59">
        <f t="shared" si="90"/>
        <v>320.1780590861174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1.2010418969080561</v>
      </c>
      <c r="AV124" s="21">
        <f>EXP(-LN(2)/25)*AV123+(1-EXP(-LN(2)/25))/(LN(2)/25)*Calculateur!AQ124*Calculateur!AS124*VLOOKUP('Données projet'!$B$10,Paramètres!$A$1:$I$89,3,0)*0.475*44/12</f>
        <v>1.609530387929782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2.8105722848378383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8.5265128291212022E-14</v>
      </c>
      <c r="BE124" s="13">
        <f>BD124*VLOOKUP('Données projet'!$B$11,Paramètres!$A$1:$I$89,3,0)*VLOOKUP('Données projet'!$B$11,Paramètres!$A$1:$I$89,5,0)</f>
        <v>7.4487616075202836E-14</v>
      </c>
      <c r="BF124" s="13">
        <f t="shared" si="91"/>
        <v>1.1580453144473142E-12</v>
      </c>
      <c r="BG124" s="20">
        <f t="shared" si="61"/>
        <v>2.1466615206600508E-12</v>
      </c>
      <c r="BH124" s="59">
        <f t="shared" si="62"/>
        <v>293.33333333333547</v>
      </c>
      <c r="BI124" s="59">
        <f ca="1">AVERAGE(OFFSET($BH$3,0,0,'Données projet'!$E$11+1,1))-AVERAGE(OFFSET($H$3,0,0,'Données projet'!$E$11+1,1))</f>
        <v>212.82470567725971</v>
      </c>
      <c r="BJ124" s="59">
        <f t="shared" si="92"/>
        <v>196.91968622092054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0.16698934777709917</v>
      </c>
      <c r="BQ124" s="21">
        <f>EXP(-LN(2)/25)*BQ123+(1-EXP(-LN(2)/25))/(LN(2)/25)*Calculateur!BL124*Calculateur!BN124*VLOOKUP('Données projet'!$B$11,Paramètres!$A$1:$I$89,3,0)*0.475*44/12</f>
        <v>0.32757224020066633</v>
      </c>
      <c r="BR124" s="21">
        <f>EXP(-LN(2)/2)*BR123+(1-EXP(-LN(2)/2))/(LN(2)/2)*BL124*BO124*VLOOKUP('Données projet'!$B$11,Paramètres!$A$1:$I$89,3,0)*0.475*44/12</f>
        <v>0</v>
      </c>
      <c r="BS124" s="22">
        <f t="shared" si="63"/>
        <v>0.4945615879777655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25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57.096000000000188</v>
      </c>
      <c r="D125" s="11">
        <f t="shared" si="86"/>
        <v>16.431940248498069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567.58410016384607</v>
      </c>
      <c r="H125" s="67">
        <f t="shared" si="56"/>
        <v>421.39449593280108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5.6843418860808015E-13</v>
      </c>
      <c r="O125" s="13">
        <f>N125*VLOOKUP('Données projet'!$B$9,Paramètres!$A$1:$I$89,3,0)*VLOOKUP('Données projet'!$B$9,Paramètres!$A$1:$I$89,5,0)</f>
        <v>2.2907897800905631E-13</v>
      </c>
      <c r="P125" s="13">
        <f t="shared" si="87"/>
        <v>3.1248920576624499E-12</v>
      </c>
      <c r="Q125" s="20">
        <f t="shared" si="107"/>
        <v>5.8414995537945398E-12</v>
      </c>
      <c r="R125" s="59">
        <f t="shared" si="55"/>
        <v>293.33333333333917</v>
      </c>
      <c r="S125" s="59">
        <f ca="1">AVERAGE(OFFSET($R$3,0,0,'Données projet'!$E$9+1,1))-AVERAGE(OFFSET($H$3,0,0,'Données projet'!$E$9+1,1))</f>
        <v>321.12254860105566</v>
      </c>
      <c r="T125" s="59">
        <f t="shared" si="88"/>
        <v>270.52026164274571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2.135521152037323</v>
      </c>
      <c r="AA125" s="21">
        <f>EXP(-LN(2)/25)*AA124+(1-EXP(-LN(2)/25))/(LN(2)/25)*Calculateur!V125*Calculateur!X125*VLOOKUP('Données projet'!$B$9,Paramètres!$A$1:$I$89,3,0)*0.475*44/12</f>
        <v>1.6087593580152275</v>
      </c>
      <c r="AB125" s="21">
        <f>EXP(-LN(2)/2)*AB124+(1-EXP(-LN(2)/2))/(LN(2)/2)*V125*Y125*VLOOKUP('Données projet'!$B$9,Paramètres!$A$1:$I$89,3,0)*0.475*44/12</f>
        <v>0</v>
      </c>
      <c r="AC125" s="22">
        <f t="shared" si="57"/>
        <v>3.7442805100525502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-3.4106051316484809E-13</v>
      </c>
      <c r="AJ125" s="13">
        <f>AI125*VLOOKUP('Données projet'!$B$10,Paramètres!$A$1:$I$89,3,0)*VLOOKUP('Données projet'!$B$10,Paramètres!$A$1:$I$89,5,0)</f>
        <v>-1.5961632016114892E-13</v>
      </c>
      <c r="AK125" s="13" t="e">
        <f t="shared" si="89"/>
        <v>#NUM!</v>
      </c>
      <c r="AL125" s="20" t="e">
        <f t="shared" si="58"/>
        <v>#NUM!</v>
      </c>
      <c r="AM125" s="59" t="e">
        <f t="shared" si="59"/>
        <v>#NUM!</v>
      </c>
      <c r="AN125" s="59">
        <f ca="1">AVERAGE(OFFSET($AM$3,0,0,'Données projet'!$E$10+1,1))-AVERAGE(OFFSET($H$3,0,0,'Données projet'!$E$10+1,1))</f>
        <v>267.78121291362345</v>
      </c>
      <c r="AO125" s="59">
        <f t="shared" si="90"/>
        <v>320.1780590861174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1.1774901978729115</v>
      </c>
      <c r="AV125" s="21">
        <f>EXP(-LN(2)/25)*AV124+(1-EXP(-LN(2)/25))/(LN(2)/25)*Calculateur!AQ125*Calculateur!AS125*VLOOKUP('Données projet'!$B$10,Paramètres!$A$1:$I$89,3,0)*0.475*44/12</f>
        <v>1.5655176948303176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2.7430078927032291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8.5265128291212022E-14</v>
      </c>
      <c r="BE125" s="13">
        <f>BD125*VLOOKUP('Données projet'!$B$11,Paramètres!$A$1:$I$89,3,0)*VLOOKUP('Données projet'!$B$11,Paramètres!$A$1:$I$89,5,0)</f>
        <v>7.4487616075202836E-14</v>
      </c>
      <c r="BF125" s="13">
        <f t="shared" si="91"/>
        <v>1.1580453144473142E-12</v>
      </c>
      <c r="BG125" s="20">
        <f t="shared" si="61"/>
        <v>2.1466615206600508E-12</v>
      </c>
      <c r="BH125" s="59">
        <f t="shared" si="62"/>
        <v>293.33333333333547</v>
      </c>
      <c r="BI125" s="59">
        <f ca="1">AVERAGE(OFFSET($BH$3,0,0,'Données projet'!$E$11+1,1))-AVERAGE(OFFSET($H$3,0,0,'Données projet'!$E$11+1,1))</f>
        <v>212.82470567725971</v>
      </c>
      <c r="BJ125" s="59">
        <f t="shared" si="92"/>
        <v>196.91968622092054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0.1637147885206352</v>
      </c>
      <c r="BQ125" s="21">
        <f>EXP(-LN(2)/25)*BQ124+(1-EXP(-LN(2)/25))/(LN(2)/25)*Calculateur!BL125*Calculateur!BN125*VLOOKUP('Données projet'!$B$11,Paramètres!$A$1:$I$89,3,0)*0.475*44/12</f>
        <v>0.31861476006610367</v>
      </c>
      <c r="BR125" s="21">
        <f>EXP(-LN(2)/2)*BR124+(1-EXP(-LN(2)/2))/(LN(2)/2)*BL125*BO125*VLOOKUP('Données projet'!$B$11,Paramètres!$A$1:$I$89,3,0)*0.475*44/12</f>
        <v>0</v>
      </c>
      <c r="BS125" s="22">
        <f t="shared" si="63"/>
        <v>0.48232954858673888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25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57.564000000000192</v>
      </c>
      <c r="D126" s="11">
        <f t="shared" si="86"/>
        <v>16.55089399470792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572.11497118722059</v>
      </c>
      <c r="H126" s="67">
        <f t="shared" si="56"/>
        <v>422.41677370744992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5.6843418860808015E-13</v>
      </c>
      <c r="O126" s="13">
        <f>N126*VLOOKUP('Données projet'!$B$9,Paramètres!$A$1:$I$89,3,0)*VLOOKUP('Données projet'!$B$9,Paramètres!$A$1:$I$89,5,0)</f>
        <v>2.2907897800905631E-13</v>
      </c>
      <c r="P126" s="13">
        <f t="shared" si="87"/>
        <v>3.1248920576624499E-12</v>
      </c>
      <c r="Q126" s="20">
        <f t="shared" si="107"/>
        <v>5.8414995537945398E-12</v>
      </c>
      <c r="R126" s="59">
        <f t="shared" si="55"/>
        <v>293.33333333333917</v>
      </c>
      <c r="S126" s="59">
        <f ca="1">AVERAGE(OFFSET($R$3,0,0,'Données projet'!$E$9+1,1))-AVERAGE(OFFSET($H$3,0,0,'Données projet'!$E$9+1,1))</f>
        <v>321.12254860105566</v>
      </c>
      <c r="T126" s="59">
        <f t="shared" si="88"/>
        <v>270.52026164274571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2.0936448847851588</v>
      </c>
      <c r="AA126" s="21">
        <f>EXP(-LN(2)/25)*AA125+(1-EXP(-LN(2)/25))/(LN(2)/25)*Calculateur!V126*Calculateur!X126*VLOOKUP('Données projet'!$B$9,Paramètres!$A$1:$I$89,3,0)*0.475*44/12</f>
        <v>1.5647677487693235</v>
      </c>
      <c r="AB126" s="21">
        <f>EXP(-LN(2)/2)*AB125+(1-EXP(-LN(2)/2))/(LN(2)/2)*V126*Y126*VLOOKUP('Données projet'!$B$9,Paramètres!$A$1:$I$89,3,0)*0.475*44/12</f>
        <v>0</v>
      </c>
      <c r="AC126" s="22">
        <f t="shared" si="57"/>
        <v>3.658412633554482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-3.4106051316484809E-13</v>
      </c>
      <c r="AJ126" s="13">
        <f>AI126*VLOOKUP('Données projet'!$B$10,Paramètres!$A$1:$I$89,3,0)*VLOOKUP('Données projet'!$B$10,Paramètres!$A$1:$I$89,5,0)</f>
        <v>-1.5961632016114892E-13</v>
      </c>
      <c r="AK126" s="13" t="e">
        <f t="shared" si="89"/>
        <v>#NUM!</v>
      </c>
      <c r="AL126" s="20" t="e">
        <f t="shared" si="58"/>
        <v>#NUM!</v>
      </c>
      <c r="AM126" s="59" t="e">
        <f t="shared" si="59"/>
        <v>#NUM!</v>
      </c>
      <c r="AN126" s="59">
        <f ca="1">AVERAGE(OFFSET($AM$3,0,0,'Données projet'!$E$10+1,1))-AVERAGE(OFFSET($H$3,0,0,'Données projet'!$E$10+1,1))</f>
        <v>267.78121291362345</v>
      </c>
      <c r="AO126" s="59">
        <f t="shared" si="90"/>
        <v>320.1780590861174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1.1544003332907282</v>
      </c>
      <c r="AV126" s="21">
        <f>EXP(-LN(2)/25)*AV125+(1-EXP(-LN(2)/25))/(LN(2)/25)*Calculateur!AQ126*Calculateur!AS126*VLOOKUP('Données projet'!$B$10,Paramètres!$A$1:$I$89,3,0)*0.475*44/12</f>
        <v>1.5227085311381849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2.6771088644289129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8.5265128291212022E-14</v>
      </c>
      <c r="BE126" s="13">
        <f>BD126*VLOOKUP('Données projet'!$B$11,Paramètres!$A$1:$I$89,3,0)*VLOOKUP('Données projet'!$B$11,Paramètres!$A$1:$I$89,5,0)</f>
        <v>7.4487616075202836E-14</v>
      </c>
      <c r="BF126" s="13">
        <f t="shared" si="91"/>
        <v>1.1580453144473142E-12</v>
      </c>
      <c r="BG126" s="20">
        <f t="shared" si="61"/>
        <v>2.1466615206600508E-12</v>
      </c>
      <c r="BH126" s="59">
        <f t="shared" si="62"/>
        <v>293.33333333333547</v>
      </c>
      <c r="BI126" s="59">
        <f ca="1">AVERAGE(OFFSET($BH$3,0,0,'Données projet'!$E$11+1,1))-AVERAGE(OFFSET($H$3,0,0,'Données projet'!$E$11+1,1))</f>
        <v>212.82470567725971</v>
      </c>
      <c r="BJ126" s="59">
        <f t="shared" si="92"/>
        <v>196.91968622092054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0.16050444137390657</v>
      </c>
      <c r="BQ126" s="21">
        <f>EXP(-LN(2)/25)*BQ125+(1-EXP(-LN(2)/25))/(LN(2)/25)*Calculateur!BL126*Calculateur!BN126*VLOOKUP('Données projet'!$B$11,Paramètres!$A$1:$I$89,3,0)*0.475*44/12</f>
        <v>0.30990222269687406</v>
      </c>
      <c r="BR126" s="21">
        <f>EXP(-LN(2)/2)*BR125+(1-EXP(-LN(2)/2))/(LN(2)/2)*BL126*BO126*VLOOKUP('Données projet'!$B$11,Paramètres!$A$1:$I$89,3,0)*0.475*44/12</f>
        <v>0</v>
      </c>
      <c r="BS126" s="22">
        <f t="shared" si="63"/>
        <v>0.47040666407078063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25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58.032000000000195</v>
      </c>
      <c r="D127" s="11">
        <f t="shared" si="86"/>
        <v>16.669735221992848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576.64497364345516</v>
      </c>
      <c r="H127" s="67">
        <f t="shared" si="56"/>
        <v>423.43885551163788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5.6843418860808015E-13</v>
      </c>
      <c r="O127" s="13">
        <f>N127*VLOOKUP('Données projet'!$B$9,Paramètres!$A$1:$I$89,3,0)*VLOOKUP('Données projet'!$B$9,Paramètres!$A$1:$I$89,5,0)</f>
        <v>2.2907897800905631E-13</v>
      </c>
      <c r="P127" s="13">
        <f t="shared" si="87"/>
        <v>3.1248920576624499E-12</v>
      </c>
      <c r="Q127" s="20">
        <f t="shared" si="107"/>
        <v>5.8414995537945398E-12</v>
      </c>
      <c r="R127" s="59">
        <f t="shared" si="55"/>
        <v>293.33333333333917</v>
      </c>
      <c r="S127" s="59">
        <f ca="1">AVERAGE(OFFSET($R$3,0,0,'Données projet'!$E$9+1,1))-AVERAGE(OFFSET($H$3,0,0,'Données projet'!$E$9+1,1))</f>
        <v>321.12254860105566</v>
      </c>
      <c r="T127" s="59">
        <f t="shared" si="88"/>
        <v>270.52026164274571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2.0525897855918087</v>
      </c>
      <c r="AA127" s="21">
        <f>EXP(-LN(2)/25)*AA126+(1-EXP(-LN(2)/25))/(LN(2)/25)*Calculateur!V127*Calculateur!X127*VLOOKUP('Données projet'!$B$9,Paramètres!$A$1:$I$89,3,0)*0.475*44/12</f>
        <v>1.5219790923916667</v>
      </c>
      <c r="AB127" s="21">
        <f>EXP(-LN(2)/2)*AB126+(1-EXP(-LN(2)/2))/(LN(2)/2)*V127*Y127*VLOOKUP('Données projet'!$B$9,Paramètres!$A$1:$I$89,3,0)*0.475*44/12</f>
        <v>0</v>
      </c>
      <c r="AC127" s="22">
        <f t="shared" si="57"/>
        <v>3.5745688779834754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-3.4106051316484809E-13</v>
      </c>
      <c r="AJ127" s="13">
        <f>AI127*VLOOKUP('Données projet'!$B$10,Paramètres!$A$1:$I$89,3,0)*VLOOKUP('Données projet'!$B$10,Paramètres!$A$1:$I$89,5,0)</f>
        <v>-1.5961632016114892E-13</v>
      </c>
      <c r="AK127" s="13" t="e">
        <f t="shared" si="89"/>
        <v>#NUM!</v>
      </c>
      <c r="AL127" s="20" t="e">
        <f t="shared" si="58"/>
        <v>#NUM!</v>
      </c>
      <c r="AM127" s="59" t="e">
        <f t="shared" si="59"/>
        <v>#NUM!</v>
      </c>
      <c r="AN127" s="59">
        <f ca="1">AVERAGE(OFFSET($AM$3,0,0,'Données projet'!$E$10+1,1))-AVERAGE(OFFSET($H$3,0,0,'Données projet'!$E$10+1,1))</f>
        <v>267.78121291362345</v>
      </c>
      <c r="AO127" s="59">
        <f t="shared" si="90"/>
        <v>320.1780590861174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1.1317632468695749</v>
      </c>
      <c r="AV127" s="21">
        <f>EXP(-LN(2)/25)*AV126+(1-EXP(-LN(2)/25))/(LN(2)/25)*Calculateur!AQ127*Calculateur!AS127*VLOOKUP('Données projet'!$B$10,Paramètres!$A$1:$I$89,3,0)*0.475*44/12</f>
        <v>1.4810699862784498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2.6128332331480246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8.5265128291212022E-14</v>
      </c>
      <c r="BE127" s="13">
        <f>BD127*VLOOKUP('Données projet'!$B$11,Paramètres!$A$1:$I$89,3,0)*VLOOKUP('Données projet'!$B$11,Paramètres!$A$1:$I$89,5,0)</f>
        <v>7.4487616075202836E-14</v>
      </c>
      <c r="BF127" s="13">
        <f t="shared" si="91"/>
        <v>1.1580453144473142E-12</v>
      </c>
      <c r="BG127" s="20">
        <f t="shared" si="61"/>
        <v>2.1466615206600508E-12</v>
      </c>
      <c r="BH127" s="59">
        <f t="shared" si="62"/>
        <v>293.33333333333547</v>
      </c>
      <c r="BI127" s="59">
        <f ca="1">AVERAGE(OFFSET($BH$3,0,0,'Données projet'!$E$11+1,1))-AVERAGE(OFFSET($H$3,0,0,'Données projet'!$E$11+1,1))</f>
        <v>212.82470567725971</v>
      </c>
      <c r="BJ127" s="59">
        <f t="shared" si="92"/>
        <v>196.91968622092054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0.15735704717660687</v>
      </c>
      <c r="BQ127" s="21">
        <f>EXP(-LN(2)/25)*BQ126+(1-EXP(-LN(2)/25))/(LN(2)/25)*Calculateur!BL127*Calculateur!BN127*VLOOKUP('Données projet'!$B$11,Paramètres!$A$1:$I$89,3,0)*0.475*44/12</f>
        <v>0.30142793012017843</v>
      </c>
      <c r="BR127" s="21">
        <f>EXP(-LN(2)/2)*BR126+(1-EXP(-LN(2)/2))/(LN(2)/2)*BL127*BO127*VLOOKUP('Données projet'!$B$11,Paramètres!$A$1:$I$89,3,0)*0.475*44/12</f>
        <v>0</v>
      </c>
      <c r="BS127" s="22">
        <f t="shared" si="63"/>
        <v>0.4587849772967853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25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58.500000000000199</v>
      </c>
      <c r="D128" s="11">
        <f t="shared" si="86"/>
        <v>16.788464942932855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581.17411534895689</v>
      </c>
      <c r="H128" s="67">
        <f t="shared" si="56"/>
        <v>424.4607431089417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5.6843418860808015E-13</v>
      </c>
      <c r="O128" s="13">
        <f>N128*VLOOKUP('Données projet'!$B$9,Paramètres!$A$1:$I$89,3,0)*VLOOKUP('Données projet'!$B$9,Paramètres!$A$1:$I$89,5,0)</f>
        <v>2.2907897800905631E-13</v>
      </c>
      <c r="P128" s="13">
        <f t="shared" si="87"/>
        <v>3.1248920576624499E-12</v>
      </c>
      <c r="Q128" s="20">
        <f t="shared" si="107"/>
        <v>5.8414995537945398E-12</v>
      </c>
      <c r="R128" s="59">
        <f t="shared" si="55"/>
        <v>293.33333333333917</v>
      </c>
      <c r="S128" s="59">
        <f ca="1">AVERAGE(OFFSET($R$3,0,0,'Données projet'!$E$9+1,1))-AVERAGE(OFFSET($H$3,0,0,'Données projet'!$E$9+1,1))</f>
        <v>321.12254860105566</v>
      </c>
      <c r="T128" s="59">
        <f t="shared" si="88"/>
        <v>270.52026164274571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2.0123397518525024</v>
      </c>
      <c r="AA128" s="21">
        <f>EXP(-LN(2)/25)*AA127+(1-EXP(-LN(2)/25))/(LN(2)/25)*Calculateur!V128*Calculateur!X128*VLOOKUP('Données projet'!$B$9,Paramètres!$A$1:$I$89,3,0)*0.475*44/12</f>
        <v>1.4803604940728146</v>
      </c>
      <c r="AB128" s="21">
        <f>EXP(-LN(2)/2)*AB127+(1-EXP(-LN(2)/2))/(LN(2)/2)*V128*Y128*VLOOKUP('Données projet'!$B$9,Paramètres!$A$1:$I$89,3,0)*0.475*44/12</f>
        <v>0</v>
      </c>
      <c r="AC128" s="22">
        <f t="shared" si="57"/>
        <v>3.4927002459253167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-3.4106051316484809E-13</v>
      </c>
      <c r="AJ128" s="13">
        <f>AI128*VLOOKUP('Données projet'!$B$10,Paramètres!$A$1:$I$89,3,0)*VLOOKUP('Données projet'!$B$10,Paramètres!$A$1:$I$89,5,0)</f>
        <v>-1.5961632016114892E-13</v>
      </c>
      <c r="AK128" s="13" t="e">
        <f t="shared" si="89"/>
        <v>#NUM!</v>
      </c>
      <c r="AL128" s="20" t="e">
        <f t="shared" si="58"/>
        <v>#NUM!</v>
      </c>
      <c r="AM128" s="59" t="e">
        <f t="shared" si="59"/>
        <v>#NUM!</v>
      </c>
      <c r="AN128" s="59">
        <f ca="1">AVERAGE(OFFSET($AM$3,0,0,'Données projet'!$E$10+1,1))-AVERAGE(OFFSET($H$3,0,0,'Données projet'!$E$10+1,1))</f>
        <v>267.78121291362345</v>
      </c>
      <c r="AO128" s="59">
        <f t="shared" si="90"/>
        <v>320.1780590861174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1.1095700599058809</v>
      </c>
      <c r="AV128" s="21">
        <f>EXP(-LN(2)/25)*AV127+(1-EXP(-LN(2)/25))/(LN(2)/25)*Calculateur!AQ128*Calculateur!AS128*VLOOKUP('Données projet'!$B$10,Paramètres!$A$1:$I$89,3,0)*0.475*44/12</f>
        <v>1.44057004961758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2.5501401095234608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8.5265128291212022E-14</v>
      </c>
      <c r="BE128" s="13">
        <f>BD128*VLOOKUP('Données projet'!$B$11,Paramètres!$A$1:$I$89,3,0)*VLOOKUP('Données projet'!$B$11,Paramètres!$A$1:$I$89,5,0)</f>
        <v>7.4487616075202836E-14</v>
      </c>
      <c r="BF128" s="13">
        <f t="shared" si="91"/>
        <v>1.1580453144473142E-12</v>
      </c>
      <c r="BG128" s="20">
        <f t="shared" si="61"/>
        <v>2.1466615206600508E-12</v>
      </c>
      <c r="BH128" s="59">
        <f t="shared" si="62"/>
        <v>293.33333333333547</v>
      </c>
      <c r="BI128" s="59">
        <f ca="1">AVERAGE(OFFSET($BH$3,0,0,'Données projet'!$E$11+1,1))-AVERAGE(OFFSET($H$3,0,0,'Données projet'!$E$11+1,1))</f>
        <v>212.82470567725971</v>
      </c>
      <c r="BJ128" s="59">
        <f t="shared" si="92"/>
        <v>196.91968622092054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0.1542713714597953</v>
      </c>
      <c r="BQ128" s="21">
        <f>EXP(-LN(2)/25)*BQ127+(1-EXP(-LN(2)/25))/(LN(2)/25)*Calculateur!BL128*Calculateur!BN128*VLOOKUP('Données projet'!$B$11,Paramètres!$A$1:$I$89,3,0)*0.475*44/12</f>
        <v>0.29318536751963625</v>
      </c>
      <c r="BR128" s="21">
        <f>EXP(-LN(2)/2)*BR127+(1-EXP(-LN(2)/2))/(LN(2)/2)*BL128*BO128*VLOOKUP('Données projet'!$B$11,Paramètres!$A$1:$I$89,3,0)*0.475*44/12</f>
        <v>0</v>
      </c>
      <c r="BS128" s="22">
        <f t="shared" si="63"/>
        <v>0.44745673897943156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25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58.968000000000202</v>
      </c>
      <c r="D129" s="11">
        <f t="shared" si="86"/>
        <v>16.907084152971169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585.70240398784915</v>
      </c>
      <c r="H129" s="67">
        <f t="shared" si="56"/>
        <v>425.48243823309178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5.6843418860808015E-13</v>
      </c>
      <c r="O129" s="13">
        <f>N129*VLOOKUP('Données projet'!$B$9,Paramètres!$A$1:$I$89,3,0)*VLOOKUP('Données projet'!$B$9,Paramètres!$A$1:$I$89,5,0)</f>
        <v>2.2907897800905631E-13</v>
      </c>
      <c r="P129" s="13">
        <f t="shared" si="87"/>
        <v>3.1248920576624499E-12</v>
      </c>
      <c r="Q129" s="20">
        <f t="shared" si="107"/>
        <v>5.8414995537945398E-12</v>
      </c>
      <c r="R129" s="59">
        <f t="shared" si="55"/>
        <v>293.33333333333917</v>
      </c>
      <c r="S129" s="59">
        <f ca="1">AVERAGE(OFFSET($R$3,0,0,'Données projet'!$E$9+1,1))-AVERAGE(OFFSET($H$3,0,0,'Données projet'!$E$9+1,1))</f>
        <v>321.12254860105566</v>
      </c>
      <c r="T129" s="59">
        <f t="shared" si="88"/>
        <v>270.52026164274571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1.9728789967247271</v>
      </c>
      <c r="AA129" s="21">
        <f>EXP(-LN(2)/25)*AA128+(1-EXP(-LN(2)/25))/(LN(2)/25)*Calculateur!V129*Calculateur!X129*VLOOKUP('Données projet'!$B$9,Paramètres!$A$1:$I$89,3,0)*0.475*44/12</f>
        <v>1.4398799585136184</v>
      </c>
      <c r="AB129" s="21">
        <f>EXP(-LN(2)/2)*AB128+(1-EXP(-LN(2)/2))/(LN(2)/2)*V129*Y129*VLOOKUP('Données projet'!$B$9,Paramètres!$A$1:$I$89,3,0)*0.475*44/12</f>
        <v>0</v>
      </c>
      <c r="AC129" s="22">
        <f t="shared" si="57"/>
        <v>3.4127589552383455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-3.4106051316484809E-13</v>
      </c>
      <c r="AJ129" s="13">
        <f>AI129*VLOOKUP('Données projet'!$B$10,Paramètres!$A$1:$I$89,3,0)*VLOOKUP('Données projet'!$B$10,Paramètres!$A$1:$I$89,5,0)</f>
        <v>-1.5961632016114892E-13</v>
      </c>
      <c r="AK129" s="13" t="e">
        <f t="shared" si="89"/>
        <v>#NUM!</v>
      </c>
      <c r="AL129" s="20" t="e">
        <f t="shared" si="58"/>
        <v>#NUM!</v>
      </c>
      <c r="AM129" s="59" t="e">
        <f t="shared" si="59"/>
        <v>#NUM!</v>
      </c>
      <c r="AN129" s="59">
        <f ca="1">AVERAGE(OFFSET($AM$3,0,0,'Données projet'!$E$10+1,1))-AVERAGE(OFFSET($H$3,0,0,'Données projet'!$E$10+1,1))</f>
        <v>267.78121291362345</v>
      </c>
      <c r="AO129" s="59">
        <f t="shared" si="90"/>
        <v>320.1780590861174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1.0878120678020375</v>
      </c>
      <c r="AV129" s="21">
        <f>EXP(-LN(2)/25)*AV128+(1-EXP(-LN(2)/25))/(LN(2)/25)*Calculateur!AQ129*Calculateur!AS129*VLOOKUP('Données projet'!$B$10,Paramètres!$A$1:$I$89,3,0)*0.475*44/12</f>
        <v>1.4011775858545008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2.4889896536565383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8.5265128291212022E-14</v>
      </c>
      <c r="BE129" s="13">
        <f>BD129*VLOOKUP('Données projet'!$B$11,Paramètres!$A$1:$I$89,3,0)*VLOOKUP('Données projet'!$B$11,Paramètres!$A$1:$I$89,5,0)</f>
        <v>7.4487616075202836E-14</v>
      </c>
      <c r="BF129" s="13">
        <f t="shared" si="91"/>
        <v>1.1580453144473142E-12</v>
      </c>
      <c r="BG129" s="20">
        <f t="shared" si="61"/>
        <v>2.1466615206600508E-12</v>
      </c>
      <c r="BH129" s="59">
        <f t="shared" si="62"/>
        <v>293.33333333333547</v>
      </c>
      <c r="BI129" s="59">
        <f ca="1">AVERAGE(OFFSET($BH$3,0,0,'Données projet'!$E$11+1,1))-AVERAGE(OFFSET($H$3,0,0,'Données projet'!$E$11+1,1))</f>
        <v>212.82470567725971</v>
      </c>
      <c r="BJ129" s="59">
        <f t="shared" si="92"/>
        <v>196.91968622092054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0.15124620396171407</v>
      </c>
      <c r="BQ129" s="21">
        <f>EXP(-LN(2)/25)*BQ128+(1-EXP(-LN(2)/25))/(LN(2)/25)*Calculateur!BL129*Calculateur!BN129*VLOOKUP('Données projet'!$B$11,Paramètres!$A$1:$I$89,3,0)*0.475*44/12</f>
        <v>0.2851681982268634</v>
      </c>
      <c r="BR129" s="21">
        <f>EXP(-LN(2)/2)*BR128+(1-EXP(-LN(2)/2))/(LN(2)/2)*BL129*BO129*VLOOKUP('Données projet'!$B$11,Paramètres!$A$1:$I$89,3,0)*0.475*44/12</f>
        <v>0</v>
      </c>
      <c r="BS129" s="22">
        <f t="shared" si="63"/>
        <v>0.43641440218857747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25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59.436000000000206</v>
      </c>
      <c r="D130" s="11">
        <f t="shared" si="86"/>
        <v>17.025593830837963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590.22984711524202</v>
      </c>
      <c r="H130" s="67">
        <f t="shared" si="56"/>
        <v>426.50394258870983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5.6843418860808015E-13</v>
      </c>
      <c r="O130" s="13">
        <f>N130*VLOOKUP('Données projet'!$B$9,Paramètres!$A$1:$I$89,3,0)*VLOOKUP('Données projet'!$B$9,Paramètres!$A$1:$I$89,5,0)</f>
        <v>2.2907897800905631E-13</v>
      </c>
      <c r="P130" s="13">
        <f t="shared" si="87"/>
        <v>3.1248920576624499E-12</v>
      </c>
      <c r="Q130" s="20">
        <f t="shared" si="107"/>
        <v>5.8414995537945398E-12</v>
      </c>
      <c r="R130" s="59">
        <f t="shared" si="55"/>
        <v>293.33333333333917</v>
      </c>
      <c r="S130" s="59">
        <f ca="1">AVERAGE(OFFSET($R$3,0,0,'Données projet'!$E$9+1,1))-AVERAGE(OFFSET($H$3,0,0,'Données projet'!$E$9+1,1))</f>
        <v>321.12254860105566</v>
      </c>
      <c r="T130" s="59">
        <f t="shared" si="88"/>
        <v>270.52026164274571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1.9341920429363235</v>
      </c>
      <c r="AA130" s="21">
        <f>EXP(-LN(2)/25)*AA129+(1-EXP(-LN(2)/25))/(LN(2)/25)*Calculateur!V130*Calculateur!X130*VLOOKUP('Données projet'!$B$9,Paramètres!$A$1:$I$89,3,0)*0.475*44/12</f>
        <v>1.4005063653280674</v>
      </c>
      <c r="AB130" s="21">
        <f>EXP(-LN(2)/2)*AB129+(1-EXP(-LN(2)/2))/(LN(2)/2)*V130*Y130*VLOOKUP('Données projet'!$B$9,Paramètres!$A$1:$I$89,3,0)*0.475*44/12</f>
        <v>0</v>
      </c>
      <c r="AC130" s="22">
        <f t="shared" si="57"/>
        <v>3.3346984082643907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-3.4106051316484809E-13</v>
      </c>
      <c r="AJ130" s="13">
        <f>AI130*VLOOKUP('Données projet'!$B$10,Paramètres!$A$1:$I$89,3,0)*VLOOKUP('Données projet'!$B$10,Paramètres!$A$1:$I$89,5,0)</f>
        <v>-1.5961632016114892E-13</v>
      </c>
      <c r="AK130" s="13" t="e">
        <f t="shared" si="89"/>
        <v>#NUM!</v>
      </c>
      <c r="AL130" s="20" t="e">
        <f t="shared" si="58"/>
        <v>#NUM!</v>
      </c>
      <c r="AM130" s="59" t="e">
        <f t="shared" si="59"/>
        <v>#NUM!</v>
      </c>
      <c r="AN130" s="59">
        <f ca="1">AVERAGE(OFFSET($AM$3,0,0,'Données projet'!$E$10+1,1))-AVERAGE(OFFSET($H$3,0,0,'Données projet'!$E$10+1,1))</f>
        <v>267.78121291362345</v>
      </c>
      <c r="AO130" s="59">
        <f t="shared" si="90"/>
        <v>320.1780590861174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1.0664807366522857</v>
      </c>
      <c r="AV130" s="21">
        <f>EXP(-LN(2)/25)*AV129+(1-EXP(-LN(2)/25))/(LN(2)/25)*Calculateur!AQ130*Calculateur!AS130*VLOOKUP('Données projet'!$B$10,Paramètres!$A$1:$I$89,3,0)*0.475*44/12</f>
        <v>1.3628623110845828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2.4293430477368685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8.5265128291212022E-14</v>
      </c>
      <c r="BE130" s="13">
        <f>BD130*VLOOKUP('Données projet'!$B$11,Paramètres!$A$1:$I$89,3,0)*VLOOKUP('Données projet'!$B$11,Paramètres!$A$1:$I$89,5,0)</f>
        <v>7.4487616075202836E-14</v>
      </c>
      <c r="BF130" s="13">
        <f t="shared" si="91"/>
        <v>1.1580453144473142E-12</v>
      </c>
      <c r="BG130" s="20">
        <f t="shared" si="61"/>
        <v>2.1466615206600508E-12</v>
      </c>
      <c r="BH130" s="59">
        <f t="shared" si="62"/>
        <v>293.33333333333547</v>
      </c>
      <c r="BI130" s="59">
        <f ca="1">AVERAGE(OFFSET($BH$3,0,0,'Données projet'!$E$11+1,1))-AVERAGE(OFFSET($H$3,0,0,'Données projet'!$E$11+1,1))</f>
        <v>212.82470567725971</v>
      </c>
      <c r="BJ130" s="59">
        <f t="shared" si="92"/>
        <v>196.91968622092054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0.14828035815310023</v>
      </c>
      <c r="BQ130" s="21">
        <f>EXP(-LN(2)/25)*BQ129+(1-EXP(-LN(2)/25))/(LN(2)/25)*Calculateur!BL130*Calculateur!BN130*VLOOKUP('Données projet'!$B$11,Paramètres!$A$1:$I$89,3,0)*0.475*44/12</f>
        <v>0.27737025885000605</v>
      </c>
      <c r="BR130" s="21">
        <f>EXP(-LN(2)/2)*BR129+(1-EXP(-LN(2)/2))/(LN(2)/2)*BL130*BO130*VLOOKUP('Données projet'!$B$11,Paramètres!$A$1:$I$89,3,0)*0.475*44/12</f>
        <v>0</v>
      </c>
      <c r="BS130" s="22">
        <f t="shared" si="63"/>
        <v>0.42565061700310625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25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59.90400000000021</v>
      </c>
      <c r="D131" s="11">
        <f t="shared" si="86"/>
        <v>17.143994938960237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594.75645216039641</v>
      </c>
      <c r="H131" s="67">
        <f t="shared" si="56"/>
        <v>427.52525785202272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5.6843418860808015E-13</v>
      </c>
      <c r="O131" s="13">
        <f>N131*VLOOKUP('Données projet'!$B$9,Paramètres!$A$1:$I$89,3,0)*VLOOKUP('Données projet'!$B$9,Paramètres!$A$1:$I$89,5,0)</f>
        <v>2.2907897800905631E-13</v>
      </c>
      <c r="P131" s="13">
        <f t="shared" si="87"/>
        <v>3.1248920576624499E-12</v>
      </c>
      <c r="Q131" s="20">
        <f t="shared" ref="Q131:Q153" si="108">(O131+P131)*0.475*44/12</f>
        <v>5.8414995537945398E-12</v>
      </c>
      <c r="R131" s="59">
        <f t="shared" ref="R131:R194" si="109">Q131+(I131+J131)*44/12</f>
        <v>293.33333333333917</v>
      </c>
      <c r="S131" s="59">
        <f ca="1">AVERAGE(OFFSET($R$3,0,0,'Données projet'!$E$9+1,1))-AVERAGE(OFFSET($H$3,0,0,'Données projet'!$E$9+1,1))</f>
        <v>321.12254860105566</v>
      </c>
      <c r="T131" s="59">
        <f t="shared" si="88"/>
        <v>270.52026164274571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1.8962637167149987</v>
      </c>
      <c r="AA131" s="21">
        <f>EXP(-LN(2)/25)*AA130+(1-EXP(-LN(2)/25))/(LN(2)/25)*Calculateur!V131*Calculateur!X131*VLOOKUP('Données projet'!$B$9,Paramètres!$A$1:$I$89,3,0)*0.475*44/12</f>
        <v>1.3622094451187425</v>
      </c>
      <c r="AB131" s="21">
        <f>EXP(-LN(2)/2)*AB130+(1-EXP(-LN(2)/2))/(LN(2)/2)*V131*Y131*VLOOKUP('Données projet'!$B$9,Paramètres!$A$1:$I$89,3,0)*0.475*44/12</f>
        <v>0</v>
      </c>
      <c r="AC131" s="22">
        <f t="shared" si="57"/>
        <v>3.2584731618337415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-3.4106051316484809E-13</v>
      </c>
      <c r="AJ131" s="13">
        <f>AI131*VLOOKUP('Données projet'!$B$10,Paramètres!$A$1:$I$89,3,0)*VLOOKUP('Données projet'!$B$10,Paramètres!$A$1:$I$89,5,0)</f>
        <v>-1.5961632016114892E-13</v>
      </c>
      <c r="AK131" s="13" t="e">
        <f t="shared" si="89"/>
        <v>#NUM!</v>
      </c>
      <c r="AL131" s="20" t="e">
        <f t="shared" si="58"/>
        <v>#NUM!</v>
      </c>
      <c r="AM131" s="59" t="e">
        <f t="shared" si="59"/>
        <v>#NUM!</v>
      </c>
      <c r="AN131" s="59">
        <f ca="1">AVERAGE(OFFSET($AM$3,0,0,'Données projet'!$E$10+1,1))-AVERAGE(OFFSET($H$3,0,0,'Données projet'!$E$10+1,1))</f>
        <v>267.78121291362345</v>
      </c>
      <c r="AO131" s="59">
        <f t="shared" si="90"/>
        <v>320.1780590861174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1.0455676998955532</v>
      </c>
      <c r="AV131" s="21">
        <f>EXP(-LN(2)/25)*AV130+(1-EXP(-LN(2)/25))/(LN(2)/25)*Calculateur!AQ131*Calculateur!AS131*VLOOKUP('Données projet'!$B$10,Paramètres!$A$1:$I$89,3,0)*0.475*44/12</f>
        <v>1.3255947695181607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2.3711624694137141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8.5265128291212022E-14</v>
      </c>
      <c r="BE131" s="13">
        <f>BD131*VLOOKUP('Données projet'!$B$11,Paramètres!$A$1:$I$89,3,0)*VLOOKUP('Données projet'!$B$11,Paramètres!$A$1:$I$89,5,0)</f>
        <v>7.4487616075202836E-14</v>
      </c>
      <c r="BF131" s="13">
        <f t="shared" si="91"/>
        <v>1.1580453144473142E-12</v>
      </c>
      <c r="BG131" s="20">
        <f t="shared" si="61"/>
        <v>2.1466615206600508E-12</v>
      </c>
      <c r="BH131" s="59">
        <f t="shared" si="62"/>
        <v>293.33333333333547</v>
      </c>
      <c r="BI131" s="59">
        <f ca="1">AVERAGE(OFFSET($BH$3,0,0,'Données projet'!$E$11+1,1))-AVERAGE(OFFSET($H$3,0,0,'Données projet'!$E$11+1,1))</f>
        <v>212.82470567725971</v>
      </c>
      <c r="BJ131" s="59">
        <f t="shared" si="92"/>
        <v>196.91968622092054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0.14537267077180599</v>
      </c>
      <c r="BQ131" s="21">
        <f>EXP(-LN(2)/25)*BQ130+(1-EXP(-LN(2)/25))/(LN(2)/25)*Calculateur!BL131*Calculateur!BN131*VLOOKUP('Données projet'!$B$11,Paramètres!$A$1:$I$89,3,0)*0.475*44/12</f>
        <v>0.26978555453548464</v>
      </c>
      <c r="BR131" s="21">
        <f>EXP(-LN(2)/2)*BR130+(1-EXP(-LN(2)/2))/(LN(2)/2)*BL131*BO131*VLOOKUP('Données projet'!$B$11,Paramètres!$A$1:$I$89,3,0)*0.475*44/12</f>
        <v>0</v>
      </c>
      <c r="BS131" s="22">
        <f t="shared" si="63"/>
        <v>0.41515822530729063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25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60.372000000000213</v>
      </c>
      <c r="D132" s="11">
        <f t="shared" si="86"/>
        <v>17.262288423858621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599.28222642978756</v>
      </c>
      <c r="H132" s="67">
        <f t="shared" ref="H132:H195" si="110">(B132+E132+F132)*44/12+(C132+D132)*0.475*44/12</f>
        <v>428.54638567155416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5.6843418860808015E-13</v>
      </c>
      <c r="O132" s="13">
        <f>N132*VLOOKUP('Données projet'!$B$9,Paramètres!$A$1:$I$89,3,0)*VLOOKUP('Données projet'!$B$9,Paramètres!$A$1:$I$89,5,0)</f>
        <v>2.2907897800905631E-13</v>
      </c>
      <c r="P132" s="13">
        <f t="shared" si="87"/>
        <v>3.1248920576624499E-12</v>
      </c>
      <c r="Q132" s="20">
        <f t="shared" si="108"/>
        <v>5.8414995537945398E-12</v>
      </c>
      <c r="R132" s="59">
        <f t="shared" si="109"/>
        <v>293.33333333333917</v>
      </c>
      <c r="S132" s="59">
        <f ca="1">AVERAGE(OFFSET($R$3,0,0,'Données projet'!$E$9+1,1))-AVERAGE(OFFSET($H$3,0,0,'Données projet'!$E$9+1,1))</f>
        <v>321.12254860105566</v>
      </c>
      <c r="T132" s="59">
        <f t="shared" si="88"/>
        <v>270.52026164274571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1.8590791418368793</v>
      </c>
      <c r="AA132" s="21">
        <f>EXP(-LN(2)/25)*AA131+(1-EXP(-LN(2)/25))/(LN(2)/25)*Calculateur!V132*Calculateur!X132*VLOOKUP('Données projet'!$B$9,Paramètres!$A$1:$I$89,3,0)*0.475*44/12</f>
        <v>1.3249597562064892</v>
      </c>
      <c r="AB132" s="21">
        <f>EXP(-LN(2)/2)*AB131+(1-EXP(-LN(2)/2))/(LN(2)/2)*V132*Y132*VLOOKUP('Données projet'!$B$9,Paramètres!$A$1:$I$89,3,0)*0.475*44/12</f>
        <v>0</v>
      </c>
      <c r="AC132" s="22">
        <f t="shared" ref="AC132:AC153" si="111">SUM(Z132:AB132)</f>
        <v>3.1840388980433687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-3.4106051316484809E-13</v>
      </c>
      <c r="AJ132" s="13">
        <f>AI132*VLOOKUP('Données projet'!$B$10,Paramètres!$A$1:$I$89,3,0)*VLOOKUP('Données projet'!$B$10,Paramètres!$A$1:$I$89,5,0)</f>
        <v>-1.5961632016114892E-13</v>
      </c>
      <c r="AK132" s="13" t="e">
        <f t="shared" si="89"/>
        <v>#NUM!</v>
      </c>
      <c r="AL132" s="20" t="e">
        <f t="shared" ref="AL132:AL153" si="112">(AJ132+AK132)*0.475*44/12</f>
        <v>#NUM!</v>
      </c>
      <c r="AM132" s="59" t="e">
        <f t="shared" ref="AM132:AM195" si="113">AL132+(AD132+AE132)*44/12</f>
        <v>#NUM!</v>
      </c>
      <c r="AN132" s="59">
        <f ca="1">AVERAGE(OFFSET($AM$3,0,0,'Données projet'!$E$10+1,1))-AVERAGE(OFFSET($H$3,0,0,'Données projet'!$E$10+1,1))</f>
        <v>267.78121291362345</v>
      </c>
      <c r="AO132" s="59">
        <f t="shared" si="90"/>
        <v>320.1780590861174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1.0250647550339274</v>
      </c>
      <c r="AV132" s="21">
        <f>EXP(-LN(2)/25)*AV131+(1-EXP(-LN(2)/25))/(LN(2)/25)*Calculateur!AQ132*Calculateur!AS132*VLOOKUP('Données projet'!$B$10,Paramètres!$A$1:$I$89,3,0)*0.475*44/12</f>
        <v>1.2893463108356873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2.3144110658696144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8.5265128291212022E-14</v>
      </c>
      <c r="BE132" s="13">
        <f>BD132*VLOOKUP('Données projet'!$B$11,Paramètres!$A$1:$I$89,3,0)*VLOOKUP('Données projet'!$B$11,Paramètres!$A$1:$I$89,5,0)</f>
        <v>7.4487616075202836E-14</v>
      </c>
      <c r="BF132" s="13">
        <f t="shared" si="91"/>
        <v>1.1580453144473142E-12</v>
      </c>
      <c r="BG132" s="20">
        <f t="shared" ref="BG132:BG153" si="115">(BE132+BF132)*0.475*44/12</f>
        <v>2.1466615206600508E-12</v>
      </c>
      <c r="BH132" s="59">
        <f t="shared" ref="BH132:BH195" si="116">BG132+(AY132+AZ132)*44/12</f>
        <v>293.33333333333547</v>
      </c>
      <c r="BI132" s="59">
        <f ca="1">AVERAGE(OFFSET($BH$3,0,0,'Données projet'!$E$11+1,1))-AVERAGE(OFFSET($H$3,0,0,'Données projet'!$E$11+1,1))</f>
        <v>212.82470567725971</v>
      </c>
      <c r="BJ132" s="59">
        <f t="shared" si="92"/>
        <v>196.91968622092054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0.14252200136654475</v>
      </c>
      <c r="BQ132" s="21">
        <f>EXP(-LN(2)/25)*BQ131+(1-EXP(-LN(2)/25))/(LN(2)/25)*Calculateur!BL132*Calculateur!BN132*VLOOKUP('Données projet'!$B$11,Paramètres!$A$1:$I$89,3,0)*0.475*44/12</f>
        <v>0.26240825435930609</v>
      </c>
      <c r="BR132" s="21">
        <f>EXP(-LN(2)/2)*BR131+(1-EXP(-LN(2)/2))/(LN(2)/2)*BL132*BO132*VLOOKUP('Données projet'!$B$11,Paramètres!$A$1:$I$89,3,0)*0.475*44/12</f>
        <v>0</v>
      </c>
      <c r="BS132" s="22">
        <f t="shared" ref="BS132:BS153" si="117">SUM(BP132:BR132)</f>
        <v>0.40493025572585084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25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60.840000000000217</v>
      </c>
      <c r="D133" s="11">
        <f t="shared" ref="D133:D196" si="140">IFERROR(EXP(-1.0587+0.8836*LN(C133)+0.284),0)</f>
        <v>17.380475216531508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603.80717711006946</v>
      </c>
      <c r="H133" s="67">
        <f t="shared" si="110"/>
        <v>429.5673276687927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5.6843418860808015E-13</v>
      </c>
      <c r="O133" s="13">
        <f>N133*VLOOKUP('Données projet'!$B$9,Paramètres!$A$1:$I$89,3,0)*VLOOKUP('Données projet'!$B$9,Paramètres!$A$1:$I$89,5,0)</f>
        <v>2.2907897800905631E-13</v>
      </c>
      <c r="P133" s="13">
        <f t="shared" ref="P133:P196" si="141">EXP(-1.0587+0.8836*LN(O133)+0.284)</f>
        <v>3.1248920576624499E-12</v>
      </c>
      <c r="Q133" s="20">
        <f t="shared" si="108"/>
        <v>5.8414995537945398E-12</v>
      </c>
      <c r="R133" s="59">
        <f t="shared" si="109"/>
        <v>293.33333333333917</v>
      </c>
      <c r="S133" s="59">
        <f ca="1">AVERAGE(OFFSET($R$3,0,0,'Données projet'!$E$9+1,1))-AVERAGE(OFFSET($H$3,0,0,'Données projet'!$E$9+1,1))</f>
        <v>321.12254860105566</v>
      </c>
      <c r="T133" s="59">
        <f t="shared" ref="T133:T196" si="142">$T$3</f>
        <v>270.52026164274571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1.8226237337917686</v>
      </c>
      <c r="AA133" s="21">
        <f>EXP(-LN(2)/25)*AA132+(1-EXP(-LN(2)/25))/(LN(2)/25)*Calculateur!V133*Calculateur!X133*VLOOKUP('Données projet'!$B$9,Paramètres!$A$1:$I$89,3,0)*0.475*44/12</f>
        <v>1.2887286619964173</v>
      </c>
      <c r="AB133" s="21">
        <f>EXP(-LN(2)/2)*AB132+(1-EXP(-LN(2)/2))/(LN(2)/2)*V133*Y133*VLOOKUP('Données projet'!$B$9,Paramètres!$A$1:$I$89,3,0)*0.475*44/12</f>
        <v>0</v>
      </c>
      <c r="AC133" s="22">
        <f t="shared" si="111"/>
        <v>3.1113523957881859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-3.4106051316484809E-13</v>
      </c>
      <c r="AJ133" s="13">
        <f>AI133*VLOOKUP('Données projet'!$B$10,Paramètres!$A$1:$I$89,3,0)*VLOOKUP('Données projet'!$B$10,Paramètres!$A$1:$I$89,5,0)</f>
        <v>-1.5961632016114892E-13</v>
      </c>
      <c r="AK133" s="13" t="e">
        <f t="shared" ref="AK133:AK153" si="143">EXP(-1.0587+0.8836*LN(AJ133)+0.284)</f>
        <v>#NUM!</v>
      </c>
      <c r="AL133" s="20" t="e">
        <f t="shared" si="112"/>
        <v>#NUM!</v>
      </c>
      <c r="AM133" s="59" t="e">
        <f t="shared" si="113"/>
        <v>#NUM!</v>
      </c>
      <c r="AN133" s="59">
        <f ca="1">AVERAGE(OFFSET($AM$3,0,0,'Données projet'!$E$10+1,1))-AVERAGE(OFFSET($H$3,0,0,'Données projet'!$E$10+1,1))</f>
        <v>267.78121291362345</v>
      </c>
      <c r="AO133" s="59">
        <f t="shared" ref="AO133:AO196" si="144">$AO$3</f>
        <v>320.1780590861174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1.0049638604154765</v>
      </c>
      <c r="AV133" s="21">
        <f>EXP(-LN(2)/25)*AV132+(1-EXP(-LN(2)/25))/(LN(2)/25)*Calculateur!AQ133*Calculateur!AS133*VLOOKUP('Données projet'!$B$10,Paramètres!$A$1:$I$89,3,0)*0.475*44/12</f>
        <v>1.2540890681621097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2.259052928577586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8.5265128291212022E-14</v>
      </c>
      <c r="BE133" s="13">
        <f>BD133*VLOOKUP('Données projet'!$B$11,Paramètres!$A$1:$I$89,3,0)*VLOOKUP('Données projet'!$B$11,Paramètres!$A$1:$I$89,5,0)</f>
        <v>7.4487616075202836E-14</v>
      </c>
      <c r="BF133" s="13">
        <f t="shared" ref="BF133:BF153" si="145">EXP(-1.0587+0.8836*LN(BE133)+0.284)</f>
        <v>1.1580453144473142E-12</v>
      </c>
      <c r="BG133" s="20">
        <f t="shared" si="115"/>
        <v>2.1466615206600508E-12</v>
      </c>
      <c r="BH133" s="59">
        <f t="shared" si="116"/>
        <v>293.33333333333547</v>
      </c>
      <c r="BI133" s="59">
        <f ca="1">AVERAGE(OFFSET($BH$3,0,0,'Données projet'!$E$11+1,1))-AVERAGE(OFFSET($H$3,0,0,'Données projet'!$E$11+1,1))</f>
        <v>212.82470567725971</v>
      </c>
      <c r="BJ133" s="59">
        <f t="shared" ref="BJ133:BJ196" si="146">$BJ$3</f>
        <v>196.91968622092054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0.13972723184958402</v>
      </c>
      <c r="BQ133" s="21">
        <f>EXP(-LN(2)/25)*BQ132+(1-EXP(-LN(2)/25))/(LN(2)/25)*Calculateur!BL133*Calculateur!BN133*VLOOKUP('Données projet'!$B$11,Paramètres!$A$1:$I$89,3,0)*0.475*44/12</f>
        <v>0.25523268684440054</v>
      </c>
      <c r="BR133" s="21">
        <f>EXP(-LN(2)/2)*BR132+(1-EXP(-LN(2)/2))/(LN(2)/2)*BL133*BO133*VLOOKUP('Données projet'!$B$11,Paramètres!$A$1:$I$89,3,0)*0.475*44/12</f>
        <v>0</v>
      </c>
      <c r="BS133" s="22">
        <f t="shared" si="117"/>
        <v>0.39495991869398456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25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61.30800000000022</v>
      </c>
      <c r="D134" s="11">
        <f t="shared" si="140"/>
        <v>17.498556232826935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608.33131127094646</v>
      </c>
      <c r="H134" s="67">
        <f t="shared" si="110"/>
        <v>430.58808543884061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5.6843418860808015E-13</v>
      </c>
      <c r="O134" s="13">
        <f>N134*VLOOKUP('Données projet'!$B$9,Paramètres!$A$1:$I$89,3,0)*VLOOKUP('Données projet'!$B$9,Paramètres!$A$1:$I$89,5,0)</f>
        <v>2.2907897800905631E-13</v>
      </c>
      <c r="P134" s="13">
        <f t="shared" si="141"/>
        <v>3.1248920576624499E-12</v>
      </c>
      <c r="Q134" s="20">
        <f t="shared" si="108"/>
        <v>5.8414995537945398E-12</v>
      </c>
      <c r="R134" s="59">
        <f t="shared" si="109"/>
        <v>293.33333333333917</v>
      </c>
      <c r="S134" s="59">
        <f ca="1">AVERAGE(OFFSET($R$3,0,0,'Données projet'!$E$9+1,1))-AVERAGE(OFFSET($H$3,0,0,'Données projet'!$E$9+1,1))</f>
        <v>321.12254860105566</v>
      </c>
      <c r="T134" s="59">
        <f t="shared" si="142"/>
        <v>270.52026164274571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1.7868831940628191</v>
      </c>
      <c r="AA134" s="21">
        <f>EXP(-LN(2)/25)*AA133+(1-EXP(-LN(2)/25))/(LN(2)/25)*Calculateur!V134*Calculateur!X134*VLOOKUP('Données projet'!$B$9,Paramètres!$A$1:$I$89,3,0)*0.475*44/12</f>
        <v>1.2534883089628304</v>
      </c>
      <c r="AB134" s="21">
        <f>EXP(-LN(2)/2)*AB133+(1-EXP(-LN(2)/2))/(LN(2)/2)*V134*Y134*VLOOKUP('Données projet'!$B$9,Paramètres!$A$1:$I$89,3,0)*0.475*44/12</f>
        <v>0</v>
      </c>
      <c r="AC134" s="22">
        <f t="shared" si="111"/>
        <v>3.0403715030256495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-3.4106051316484809E-13</v>
      </c>
      <c r="AJ134" s="13">
        <f>AI134*VLOOKUP('Données projet'!$B$10,Paramètres!$A$1:$I$89,3,0)*VLOOKUP('Données projet'!$B$10,Paramètres!$A$1:$I$89,5,0)</f>
        <v>-1.5961632016114892E-13</v>
      </c>
      <c r="AK134" s="13" t="e">
        <f t="shared" si="143"/>
        <v>#NUM!</v>
      </c>
      <c r="AL134" s="20" t="e">
        <f t="shared" si="112"/>
        <v>#NUM!</v>
      </c>
      <c r="AM134" s="59" t="e">
        <f t="shared" si="113"/>
        <v>#NUM!</v>
      </c>
      <c r="AN134" s="59">
        <f ca="1">AVERAGE(OFFSET($AM$3,0,0,'Données projet'!$E$10+1,1))-AVERAGE(OFFSET($H$3,0,0,'Données projet'!$E$10+1,1))</f>
        <v>267.78121291362345</v>
      </c>
      <c r="AO134" s="59">
        <f t="shared" si="144"/>
        <v>320.1780590861174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0.9852571320801583</v>
      </c>
      <c r="AV134" s="21">
        <f>EXP(-LN(2)/25)*AV133+(1-EXP(-LN(2)/25))/(LN(2)/25)*Calculateur!AQ134*Calculateur!AS134*VLOOKUP('Données projet'!$B$10,Paramètres!$A$1:$I$89,3,0)*0.475*44/12</f>
        <v>1.2197959366435389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2.2050530687236973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8.5265128291212022E-14</v>
      </c>
      <c r="BE134" s="13">
        <f>BD134*VLOOKUP('Données projet'!$B$11,Paramètres!$A$1:$I$89,3,0)*VLOOKUP('Données projet'!$B$11,Paramètres!$A$1:$I$89,5,0)</f>
        <v>7.4487616075202836E-14</v>
      </c>
      <c r="BF134" s="13">
        <f t="shared" si="145"/>
        <v>1.1580453144473142E-12</v>
      </c>
      <c r="BG134" s="20">
        <f t="shared" si="115"/>
        <v>2.1466615206600508E-12</v>
      </c>
      <c r="BH134" s="59">
        <f t="shared" si="116"/>
        <v>293.33333333333547</v>
      </c>
      <c r="BI134" s="59">
        <f ca="1">AVERAGE(OFFSET($BH$3,0,0,'Données projet'!$E$11+1,1))-AVERAGE(OFFSET($H$3,0,0,'Données projet'!$E$11+1,1))</f>
        <v>212.82470567725971</v>
      </c>
      <c r="BJ134" s="59">
        <f t="shared" si="146"/>
        <v>196.91968622092054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0.13698726605820982</v>
      </c>
      <c r="BQ134" s="21">
        <f>EXP(-LN(2)/25)*BQ133+(1-EXP(-LN(2)/25))/(LN(2)/25)*Calculateur!BL134*Calculateur!BN134*VLOOKUP('Données projet'!$B$11,Paramètres!$A$1:$I$89,3,0)*0.475*44/12</f>
        <v>0.24825333560053675</v>
      </c>
      <c r="BR134" s="21">
        <f>EXP(-LN(2)/2)*BR133+(1-EXP(-LN(2)/2))/(LN(2)/2)*BL134*BO134*VLOOKUP('Données projet'!$B$11,Paramètres!$A$1:$I$89,3,0)*0.475*44/12</f>
        <v>0</v>
      </c>
      <c r="BS134" s="22">
        <f t="shared" si="117"/>
        <v>0.38524060165874657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25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61.776000000000224</v>
      </c>
      <c r="D135" s="11">
        <f t="shared" si="140"/>
        <v>17.616532373802929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612.85463586795424</v>
      </c>
      <c r="H135" s="67">
        <f t="shared" si="110"/>
        <v>431.60866055104043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5.6843418860808015E-13</v>
      </c>
      <c r="O135" s="13">
        <f>N135*VLOOKUP('Données projet'!$B$9,Paramètres!$A$1:$I$89,3,0)*VLOOKUP('Données projet'!$B$9,Paramètres!$A$1:$I$89,5,0)</f>
        <v>2.2907897800905631E-13</v>
      </c>
      <c r="P135" s="13">
        <f t="shared" si="141"/>
        <v>3.1248920576624499E-12</v>
      </c>
      <c r="Q135" s="20">
        <f t="shared" si="108"/>
        <v>5.8414995537945398E-12</v>
      </c>
      <c r="R135" s="59">
        <f t="shared" si="109"/>
        <v>293.33333333333917</v>
      </c>
      <c r="S135" s="59">
        <f ca="1">AVERAGE(OFFSET($R$3,0,0,'Données projet'!$E$9+1,1))-AVERAGE(OFFSET($H$3,0,0,'Données projet'!$E$9+1,1))</f>
        <v>321.12254860105566</v>
      </c>
      <c r="T135" s="59">
        <f t="shared" si="142"/>
        <v>270.52026164274571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1.7518435045183778</v>
      </c>
      <c r="AA135" s="21">
        <f>EXP(-LN(2)/25)*AA134+(1-EXP(-LN(2)/25))/(LN(2)/25)*Calculateur!V135*Calculateur!X135*VLOOKUP('Données projet'!$B$9,Paramètres!$A$1:$I$89,3,0)*0.475*44/12</f>
        <v>1.2192116052361566</v>
      </c>
      <c r="AB135" s="21">
        <f>EXP(-LN(2)/2)*AB134+(1-EXP(-LN(2)/2))/(LN(2)/2)*V135*Y135*VLOOKUP('Données projet'!$B$9,Paramètres!$A$1:$I$89,3,0)*0.475*44/12</f>
        <v>0</v>
      </c>
      <c r="AC135" s="22">
        <f t="shared" si="111"/>
        <v>2.9710551097545341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-3.4106051316484809E-13</v>
      </c>
      <c r="AJ135" s="13">
        <f>AI135*VLOOKUP('Données projet'!$B$10,Paramètres!$A$1:$I$89,3,0)*VLOOKUP('Données projet'!$B$10,Paramètres!$A$1:$I$89,5,0)</f>
        <v>-1.5961632016114892E-13</v>
      </c>
      <c r="AK135" s="13" t="e">
        <f t="shared" si="143"/>
        <v>#NUM!</v>
      </c>
      <c r="AL135" s="20" t="e">
        <f t="shared" si="112"/>
        <v>#NUM!</v>
      </c>
      <c r="AM135" s="59" t="e">
        <f t="shared" si="113"/>
        <v>#NUM!</v>
      </c>
      <c r="AN135" s="59">
        <f ca="1">AVERAGE(OFFSET($AM$3,0,0,'Données projet'!$E$10+1,1))-AVERAGE(OFFSET($H$3,0,0,'Données projet'!$E$10+1,1))</f>
        <v>267.78121291362345</v>
      </c>
      <c r="AO135" s="59">
        <f t="shared" si="144"/>
        <v>320.1780590861174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0.96593684066757834</v>
      </c>
      <c r="AV135" s="21">
        <f>EXP(-LN(2)/25)*AV134+(1-EXP(-LN(2)/25))/(LN(2)/25)*Calculateur!AQ135*Calculateur!AS135*VLOOKUP('Données projet'!$B$10,Paramètres!$A$1:$I$89,3,0)*0.475*44/12</f>
        <v>1.186440552609741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2.1523773932773196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8.5265128291212022E-14</v>
      </c>
      <c r="BE135" s="13">
        <f>BD135*VLOOKUP('Données projet'!$B$11,Paramètres!$A$1:$I$89,3,0)*VLOOKUP('Données projet'!$B$11,Paramètres!$A$1:$I$89,5,0)</f>
        <v>7.4487616075202836E-14</v>
      </c>
      <c r="BF135" s="13">
        <f t="shared" si="145"/>
        <v>1.1580453144473142E-12</v>
      </c>
      <c r="BG135" s="20">
        <f t="shared" si="115"/>
        <v>2.1466615206600508E-12</v>
      </c>
      <c r="BH135" s="59">
        <f t="shared" si="116"/>
        <v>293.33333333333547</v>
      </c>
      <c r="BI135" s="59">
        <f ca="1">AVERAGE(OFFSET($BH$3,0,0,'Données projet'!$E$11+1,1))-AVERAGE(OFFSET($H$3,0,0,'Données projet'!$E$11+1,1))</f>
        <v>212.82470567725971</v>
      </c>
      <c r="BJ135" s="59">
        <f t="shared" si="146"/>
        <v>196.91968622092054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0.13430102932479035</v>
      </c>
      <c r="BQ135" s="21">
        <f>EXP(-LN(2)/25)*BQ134+(1-EXP(-LN(2)/25))/(LN(2)/25)*Calculateur!BL135*Calculateur!BN135*VLOOKUP('Données projet'!$B$11,Paramètres!$A$1:$I$89,3,0)*0.475*44/12</f>
        <v>0.24146483508346456</v>
      </c>
      <c r="BR135" s="21">
        <f>EXP(-LN(2)/2)*BR134+(1-EXP(-LN(2)/2))/(LN(2)/2)*BL135*BO135*VLOOKUP('Données projet'!$B$11,Paramètres!$A$1:$I$89,3,0)*0.475*44/12</f>
        <v>0</v>
      </c>
      <c r="BS135" s="22">
        <f t="shared" si="117"/>
        <v>0.37576586440825488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25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62.244000000000227</v>
      </c>
      <c r="D136" s="11">
        <f t="shared" si="140"/>
        <v>17.734404526076489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617.37715774515357</v>
      </c>
      <c r="H136" s="67">
        <f t="shared" si="110"/>
        <v>432.6290545495836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5.6843418860808015E-13</v>
      </c>
      <c r="O136" s="13">
        <f>N136*VLOOKUP('Données projet'!$B$9,Paramètres!$A$1:$I$89,3,0)*VLOOKUP('Données projet'!$B$9,Paramètres!$A$1:$I$89,5,0)</f>
        <v>2.2907897800905631E-13</v>
      </c>
      <c r="P136" s="13">
        <f t="shared" si="141"/>
        <v>3.1248920576624499E-12</v>
      </c>
      <c r="Q136" s="20">
        <f t="shared" si="108"/>
        <v>5.8414995537945398E-12</v>
      </c>
      <c r="R136" s="59">
        <f t="shared" si="109"/>
        <v>293.33333333333917</v>
      </c>
      <c r="S136" s="59">
        <f ca="1">AVERAGE(OFFSET($R$3,0,0,'Données projet'!$E$9+1,1))-AVERAGE(OFFSET($H$3,0,0,'Données projet'!$E$9+1,1))</f>
        <v>321.12254860105566</v>
      </c>
      <c r="T136" s="59">
        <f t="shared" si="142"/>
        <v>270.52026164274571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1.7174909219138026</v>
      </c>
      <c r="AA136" s="21">
        <f>EXP(-LN(2)/25)*AA135+(1-EXP(-LN(2)/25))/(LN(2)/25)*Calculateur!V136*Calculateur!X136*VLOOKUP('Données projet'!$B$9,Paramètres!$A$1:$I$89,3,0)*0.475*44/12</f>
        <v>1.185872199775422</v>
      </c>
      <c r="AB136" s="21">
        <f>EXP(-LN(2)/2)*AB135+(1-EXP(-LN(2)/2))/(LN(2)/2)*V136*Y136*VLOOKUP('Données projet'!$B$9,Paramètres!$A$1:$I$89,3,0)*0.475*44/12</f>
        <v>0</v>
      </c>
      <c r="AC136" s="22">
        <f t="shared" si="111"/>
        <v>2.9033631216892246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-3.4106051316484809E-13</v>
      </c>
      <c r="AJ136" s="13">
        <f>AI136*VLOOKUP('Données projet'!$B$10,Paramètres!$A$1:$I$89,3,0)*VLOOKUP('Données projet'!$B$10,Paramètres!$A$1:$I$89,5,0)</f>
        <v>-1.5961632016114892E-13</v>
      </c>
      <c r="AK136" s="13" t="e">
        <f t="shared" si="143"/>
        <v>#NUM!</v>
      </c>
      <c r="AL136" s="20" t="e">
        <f t="shared" si="112"/>
        <v>#NUM!</v>
      </c>
      <c r="AM136" s="59" t="e">
        <f t="shared" si="113"/>
        <v>#NUM!</v>
      </c>
      <c r="AN136" s="59">
        <f ca="1">AVERAGE(OFFSET($AM$3,0,0,'Données projet'!$E$10+1,1))-AVERAGE(OFFSET($H$3,0,0,'Données projet'!$E$10+1,1))</f>
        <v>267.78121291362345</v>
      </c>
      <c r="AO136" s="59">
        <f t="shared" si="144"/>
        <v>320.1780590861174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0.94699540838538487</v>
      </c>
      <c r="AV136" s="21">
        <f>EXP(-LN(2)/25)*AV135+(1-EXP(-LN(2)/25))/(LN(2)/25)*Calculateur!AQ136*Calculateur!AS136*VLOOKUP('Données projet'!$B$10,Paramètres!$A$1:$I$89,3,0)*0.475*44/12</f>
        <v>1.1539972733064305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2.1009926816918156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8.5265128291212022E-14</v>
      </c>
      <c r="BE136" s="13">
        <f>BD136*VLOOKUP('Données projet'!$B$11,Paramètres!$A$1:$I$89,3,0)*VLOOKUP('Données projet'!$B$11,Paramètres!$A$1:$I$89,5,0)</f>
        <v>7.4487616075202836E-14</v>
      </c>
      <c r="BF136" s="13">
        <f t="shared" si="145"/>
        <v>1.1580453144473142E-12</v>
      </c>
      <c r="BG136" s="20">
        <f t="shared" si="115"/>
        <v>2.1466615206600508E-12</v>
      </c>
      <c r="BH136" s="59">
        <f t="shared" si="116"/>
        <v>293.33333333333547</v>
      </c>
      <c r="BI136" s="59">
        <f ca="1">AVERAGE(OFFSET($BH$3,0,0,'Données projet'!$E$11+1,1))-AVERAGE(OFFSET($H$3,0,0,'Données projet'!$E$11+1,1))</f>
        <v>212.82470567725971</v>
      </c>
      <c r="BJ136" s="59">
        <f t="shared" si="146"/>
        <v>196.91968622092054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0.1316674680552706</v>
      </c>
      <c r="BQ136" s="21">
        <f>EXP(-LN(2)/25)*BQ135+(1-EXP(-LN(2)/25))/(LN(2)/25)*Calculateur!BL136*Calculateur!BN136*VLOOKUP('Données projet'!$B$11,Paramètres!$A$1:$I$89,3,0)*0.475*44/12</f>
        <v>0.23486196647002341</v>
      </c>
      <c r="BR136" s="21">
        <f>EXP(-LN(2)/2)*BR135+(1-EXP(-LN(2)/2))/(LN(2)/2)*BL136*BO136*VLOOKUP('Données projet'!$B$11,Paramètres!$A$1:$I$89,3,0)*0.475*44/12</f>
        <v>0</v>
      </c>
      <c r="BS136" s="22">
        <f t="shared" si="117"/>
        <v>0.36652943452529402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25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62.712000000000231</v>
      </c>
      <c r="D137" s="11">
        <f t="shared" si="140"/>
        <v>17.852173562161887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621.89888363774276</v>
      </c>
      <c r="H137" s="67">
        <f t="shared" si="110"/>
        <v>433.649268954099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5.6843418860808015E-13</v>
      </c>
      <c r="O137" s="13">
        <f>N137*VLOOKUP('Données projet'!$B$9,Paramètres!$A$1:$I$89,3,0)*VLOOKUP('Données projet'!$B$9,Paramètres!$A$1:$I$89,5,0)</f>
        <v>2.2907897800905631E-13</v>
      </c>
      <c r="P137" s="13">
        <f t="shared" si="141"/>
        <v>3.1248920576624499E-12</v>
      </c>
      <c r="Q137" s="20">
        <f t="shared" si="108"/>
        <v>5.8414995537945398E-12</v>
      </c>
      <c r="R137" s="59">
        <f t="shared" si="109"/>
        <v>293.33333333333917</v>
      </c>
      <c r="S137" s="59">
        <f ca="1">AVERAGE(OFFSET($R$3,0,0,'Données projet'!$E$9+1,1))-AVERAGE(OFFSET($H$3,0,0,'Données projet'!$E$9+1,1))</f>
        <v>321.12254860105566</v>
      </c>
      <c r="T137" s="59">
        <f t="shared" si="142"/>
        <v>270.52026164274571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1.6838119725010967</v>
      </c>
      <c r="AA137" s="21">
        <f>EXP(-LN(2)/25)*AA136+(1-EXP(-LN(2)/25))/(LN(2)/25)*Calculateur!V137*Calculateur!X137*VLOOKUP('Données projet'!$B$9,Paramètres!$A$1:$I$89,3,0)*0.475*44/12</f>
        <v>1.1534444621102544</v>
      </c>
      <c r="AB137" s="21">
        <f>EXP(-LN(2)/2)*AB136+(1-EXP(-LN(2)/2))/(LN(2)/2)*V137*Y137*VLOOKUP('Données projet'!$B$9,Paramètres!$A$1:$I$89,3,0)*0.475*44/12</f>
        <v>0</v>
      </c>
      <c r="AC137" s="22">
        <f t="shared" si="111"/>
        <v>2.8372564346113514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-3.4106051316484809E-13</v>
      </c>
      <c r="AJ137" s="13">
        <f>AI137*VLOOKUP('Données projet'!$B$10,Paramètres!$A$1:$I$89,3,0)*VLOOKUP('Données projet'!$B$10,Paramètres!$A$1:$I$89,5,0)</f>
        <v>-1.5961632016114892E-13</v>
      </c>
      <c r="AK137" s="13" t="e">
        <f t="shared" si="143"/>
        <v>#NUM!</v>
      </c>
      <c r="AL137" s="20" t="e">
        <f t="shared" si="112"/>
        <v>#NUM!</v>
      </c>
      <c r="AM137" s="59" t="e">
        <f t="shared" si="113"/>
        <v>#NUM!</v>
      </c>
      <c r="AN137" s="59">
        <f ca="1">AVERAGE(OFFSET($AM$3,0,0,'Données projet'!$E$10+1,1))-AVERAGE(OFFSET($H$3,0,0,'Données projet'!$E$10+1,1))</f>
        <v>267.78121291362345</v>
      </c>
      <c r="AO137" s="59">
        <f t="shared" si="144"/>
        <v>320.1780590861174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0.92842540603711232</v>
      </c>
      <c r="AV137" s="21">
        <f>EXP(-LN(2)/25)*AV136+(1-EXP(-LN(2)/25))/(LN(2)/25)*Calculateur!AQ137*Calculateur!AS137*VLOOKUP('Données projet'!$B$10,Paramètres!$A$1:$I$89,3,0)*0.475*44/12</f>
        <v>1.1224411571817872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2.0508665632188996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8.5265128291212022E-14</v>
      </c>
      <c r="BE137" s="13">
        <f>BD137*VLOOKUP('Données projet'!$B$11,Paramètres!$A$1:$I$89,3,0)*VLOOKUP('Données projet'!$B$11,Paramètres!$A$1:$I$89,5,0)</f>
        <v>7.4487616075202836E-14</v>
      </c>
      <c r="BF137" s="13">
        <f t="shared" si="145"/>
        <v>1.1580453144473142E-12</v>
      </c>
      <c r="BG137" s="20">
        <f t="shared" si="115"/>
        <v>2.1466615206600508E-12</v>
      </c>
      <c r="BH137" s="59">
        <f t="shared" si="116"/>
        <v>293.33333333333547</v>
      </c>
      <c r="BI137" s="59">
        <f ca="1">AVERAGE(OFFSET($BH$3,0,0,'Données projet'!$E$11+1,1))-AVERAGE(OFFSET($H$3,0,0,'Données projet'!$E$11+1,1))</f>
        <v>212.82470567725971</v>
      </c>
      <c r="BJ137" s="59">
        <f t="shared" si="146"/>
        <v>196.91968622092054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0.12908554931593239</v>
      </c>
      <c r="BQ137" s="21">
        <f>EXP(-LN(2)/25)*BQ136+(1-EXP(-LN(2)/25))/(LN(2)/25)*Calculateur!BL137*Calculateur!BN137*VLOOKUP('Données projet'!$B$11,Paramètres!$A$1:$I$89,3,0)*0.475*44/12</f>
        <v>0.2284396536460466</v>
      </c>
      <c r="BR137" s="21">
        <f>EXP(-LN(2)/2)*BR136+(1-EXP(-LN(2)/2))/(LN(2)/2)*BL137*BO137*VLOOKUP('Données projet'!$B$11,Paramètres!$A$1:$I$89,3,0)*0.475*44/12</f>
        <v>0</v>
      </c>
      <c r="BS137" s="22">
        <f t="shared" si="117"/>
        <v>0.35752520296197898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25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63.180000000000234</v>
      </c>
      <c r="D138" s="11">
        <f t="shared" si="140"/>
        <v>17.969840340798424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626.41982017458622</v>
      </c>
      <c r="H138" s="67">
        <f t="shared" si="110"/>
        <v>434.66930526022429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5.6843418860808015E-13</v>
      </c>
      <c r="O138" s="13">
        <f>N138*VLOOKUP('Données projet'!$B$9,Paramètres!$A$1:$I$89,3,0)*VLOOKUP('Données projet'!$B$9,Paramètres!$A$1:$I$89,5,0)</f>
        <v>2.2907897800905631E-13</v>
      </c>
      <c r="P138" s="13">
        <f t="shared" si="141"/>
        <v>3.1248920576624499E-12</v>
      </c>
      <c r="Q138" s="20">
        <f t="shared" si="108"/>
        <v>5.8414995537945398E-12</v>
      </c>
      <c r="R138" s="59">
        <f t="shared" si="109"/>
        <v>293.33333333333917</v>
      </c>
      <c r="S138" s="59">
        <f ca="1">AVERAGE(OFFSET($R$3,0,0,'Données projet'!$E$9+1,1))-AVERAGE(OFFSET($H$3,0,0,'Données projet'!$E$9+1,1))</f>
        <v>321.12254860105566</v>
      </c>
      <c r="T138" s="59">
        <f t="shared" si="142"/>
        <v>270.52026164274571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1.6507934467442433</v>
      </c>
      <c r="AA138" s="21">
        <f>EXP(-LN(2)/25)*AA137+(1-EXP(-LN(2)/25))/(LN(2)/25)*Calculateur!V138*Calculateur!X138*VLOOKUP('Données projet'!$B$9,Paramètres!$A$1:$I$89,3,0)*0.475*44/12</f>
        <v>1.1219034626368414</v>
      </c>
      <c r="AB138" s="21">
        <f>EXP(-LN(2)/2)*AB137+(1-EXP(-LN(2)/2))/(LN(2)/2)*V138*Y138*VLOOKUP('Données projet'!$B$9,Paramètres!$A$1:$I$89,3,0)*0.475*44/12</f>
        <v>0</v>
      </c>
      <c r="AC138" s="22">
        <f t="shared" si="111"/>
        <v>2.7726969093810849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-3.4106051316484809E-13</v>
      </c>
      <c r="AJ138" s="13">
        <f>AI138*VLOOKUP('Données projet'!$B$10,Paramètres!$A$1:$I$89,3,0)*VLOOKUP('Données projet'!$B$10,Paramètres!$A$1:$I$89,5,0)</f>
        <v>-1.5961632016114892E-13</v>
      </c>
      <c r="AK138" s="13" t="e">
        <f t="shared" si="143"/>
        <v>#NUM!</v>
      </c>
      <c r="AL138" s="20" t="e">
        <f t="shared" si="112"/>
        <v>#NUM!</v>
      </c>
      <c r="AM138" s="59" t="e">
        <f t="shared" si="113"/>
        <v>#NUM!</v>
      </c>
      <c r="AN138" s="59">
        <f ca="1">AVERAGE(OFFSET($AM$3,0,0,'Données projet'!$E$10+1,1))-AVERAGE(OFFSET($H$3,0,0,'Données projet'!$E$10+1,1))</f>
        <v>267.78121291362345</v>
      </c>
      <c r="AO138" s="59">
        <f t="shared" si="144"/>
        <v>320.1780590861174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0.91021955010830635</v>
      </c>
      <c r="AV138" s="21">
        <f>EXP(-LN(2)/25)*AV137+(1-EXP(-LN(2)/25))/(LN(2)/25)*Calculateur!AQ138*Calculateur!AS138*VLOOKUP('Données projet'!$B$10,Paramètres!$A$1:$I$89,3,0)*0.475*44/12</f>
        <v>1.0917479447120362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2.0019674948203425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8.5265128291212022E-14</v>
      </c>
      <c r="BE138" s="13">
        <f>BD138*VLOOKUP('Données projet'!$B$11,Paramètres!$A$1:$I$89,3,0)*VLOOKUP('Données projet'!$B$11,Paramètres!$A$1:$I$89,5,0)</f>
        <v>7.4487616075202836E-14</v>
      </c>
      <c r="BF138" s="13">
        <f t="shared" si="145"/>
        <v>1.1580453144473142E-12</v>
      </c>
      <c r="BG138" s="20">
        <f t="shared" si="115"/>
        <v>2.1466615206600508E-12</v>
      </c>
      <c r="BH138" s="59">
        <f t="shared" si="116"/>
        <v>293.33333333333547</v>
      </c>
      <c r="BI138" s="59">
        <f ca="1">AVERAGE(OFFSET($BH$3,0,0,'Données projet'!$E$11+1,1))-AVERAGE(OFFSET($H$3,0,0,'Données projet'!$E$11+1,1))</f>
        <v>212.82470567725971</v>
      </c>
      <c r="BJ138" s="59">
        <f t="shared" si="146"/>
        <v>196.91968622092054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0.12655426042825765</v>
      </c>
      <c r="BQ138" s="21">
        <f>EXP(-LN(2)/25)*BQ137+(1-EXP(-LN(2)/25))/(LN(2)/25)*Calculateur!BL138*Calculateur!BN138*VLOOKUP('Données projet'!$B$11,Paramètres!$A$1:$I$89,3,0)*0.475*44/12</f>
        <v>0.22219295930397617</v>
      </c>
      <c r="BR138" s="21">
        <f>EXP(-LN(2)/2)*BR137+(1-EXP(-LN(2)/2))/(LN(2)/2)*BL138*BO138*VLOOKUP('Données projet'!$B$11,Paramètres!$A$1:$I$89,3,0)*0.475*44/12</f>
        <v>0</v>
      </c>
      <c r="BS138" s="22">
        <f t="shared" si="117"/>
        <v>0.34874721973223383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25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63.648000000000238</v>
      </c>
      <c r="D139" s="11">
        <f t="shared" si="140"/>
        <v>18.087405707268417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630.93997388067032</v>
      </c>
      <c r="H139" s="67">
        <f t="shared" si="110"/>
        <v>435.68916494015957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5.6843418860808015E-13</v>
      </c>
      <c r="O139" s="13">
        <f>N139*VLOOKUP('Données projet'!$B$9,Paramètres!$A$1:$I$89,3,0)*VLOOKUP('Données projet'!$B$9,Paramètres!$A$1:$I$89,5,0)</f>
        <v>2.2907897800905631E-13</v>
      </c>
      <c r="P139" s="13">
        <f t="shared" si="141"/>
        <v>3.1248920576624499E-12</v>
      </c>
      <c r="Q139" s="20">
        <f t="shared" si="108"/>
        <v>5.8414995537945398E-12</v>
      </c>
      <c r="R139" s="59">
        <f t="shared" si="109"/>
        <v>293.33333333333917</v>
      </c>
      <c r="S139" s="59">
        <f ca="1">AVERAGE(OFFSET($R$3,0,0,'Données projet'!$E$9+1,1))-AVERAGE(OFFSET($H$3,0,0,'Données projet'!$E$9+1,1))</f>
        <v>321.12254860105566</v>
      </c>
      <c r="T139" s="59">
        <f t="shared" si="142"/>
        <v>270.52026164274571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1.6184223941381697</v>
      </c>
      <c r="AA139" s="21">
        <f>EXP(-LN(2)/25)*AA138+(1-EXP(-LN(2)/25))/(LN(2)/25)*Calculateur!V139*Calculateur!X139*VLOOKUP('Données projet'!$B$9,Paramètres!$A$1:$I$89,3,0)*0.475*44/12</f>
        <v>1.0912249534526981</v>
      </c>
      <c r="AB139" s="21">
        <f>EXP(-LN(2)/2)*AB138+(1-EXP(-LN(2)/2))/(LN(2)/2)*V139*Y139*VLOOKUP('Données projet'!$B$9,Paramètres!$A$1:$I$89,3,0)*0.475*44/12</f>
        <v>0</v>
      </c>
      <c r="AC139" s="22">
        <f t="shared" si="111"/>
        <v>2.7096473475908676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-3.4106051316484809E-13</v>
      </c>
      <c r="AJ139" s="13">
        <f>AI139*VLOOKUP('Données projet'!$B$10,Paramètres!$A$1:$I$89,3,0)*VLOOKUP('Données projet'!$B$10,Paramètres!$A$1:$I$89,5,0)</f>
        <v>-1.5961632016114892E-13</v>
      </c>
      <c r="AK139" s="13" t="e">
        <f t="shared" si="143"/>
        <v>#NUM!</v>
      </c>
      <c r="AL139" s="20" t="e">
        <f t="shared" si="112"/>
        <v>#NUM!</v>
      </c>
      <c r="AM139" s="59" t="e">
        <f t="shared" si="113"/>
        <v>#NUM!</v>
      </c>
      <c r="AN139" s="59">
        <f ca="1">AVERAGE(OFFSET($AM$3,0,0,'Données projet'!$E$10+1,1))-AVERAGE(OFFSET($H$3,0,0,'Données projet'!$E$10+1,1))</f>
        <v>267.78121291362345</v>
      </c>
      <c r="AO139" s="59">
        <f t="shared" si="144"/>
        <v>320.1780590861174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0.89237069990978868</v>
      </c>
      <c r="AV139" s="21">
        <f>EXP(-LN(2)/25)*AV138+(1-EXP(-LN(2)/25))/(LN(2)/25)*Calculateur!AQ139*Calculateur!AS139*VLOOKUP('Données projet'!$B$10,Paramètres!$A$1:$I$89,3,0)*0.475*44/12</f>
        <v>1.0618940397513563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1.954264739661145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8.5265128291212022E-14</v>
      </c>
      <c r="BE139" s="13">
        <f>BD139*VLOOKUP('Données projet'!$B$11,Paramètres!$A$1:$I$89,3,0)*VLOOKUP('Données projet'!$B$11,Paramètres!$A$1:$I$89,5,0)</f>
        <v>7.4487616075202836E-14</v>
      </c>
      <c r="BF139" s="13">
        <f t="shared" si="145"/>
        <v>1.1580453144473142E-12</v>
      </c>
      <c r="BG139" s="20">
        <f t="shared" si="115"/>
        <v>2.1466615206600508E-12</v>
      </c>
      <c r="BH139" s="59">
        <f t="shared" si="116"/>
        <v>293.33333333333547</v>
      </c>
      <c r="BI139" s="59">
        <f ca="1">AVERAGE(OFFSET($BH$3,0,0,'Données projet'!$E$11+1,1))-AVERAGE(OFFSET($H$3,0,0,'Données projet'!$E$11+1,1))</f>
        <v>212.82470567725971</v>
      </c>
      <c r="BJ139" s="59">
        <f t="shared" si="146"/>
        <v>196.91968622092054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0.12407260857173645</v>
      </c>
      <c r="BQ139" s="21">
        <f>EXP(-LN(2)/25)*BQ138+(1-EXP(-LN(2)/25))/(LN(2)/25)*Calculateur!BL139*Calculateur!BN139*VLOOKUP('Données projet'!$B$11,Paramètres!$A$1:$I$89,3,0)*0.475*44/12</f>
        <v>0.21611708114718906</v>
      </c>
      <c r="BR139" s="21">
        <f>EXP(-LN(2)/2)*BR138+(1-EXP(-LN(2)/2))/(LN(2)/2)*BL139*BO139*VLOOKUP('Données projet'!$B$11,Paramètres!$A$1:$I$89,3,0)*0.475*44/12</f>
        <v>0</v>
      </c>
      <c r="BS139" s="22">
        <f t="shared" si="117"/>
        <v>0.34018968971892549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25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64.116000000000241</v>
      </c>
      <c r="D140" s="11">
        <f t="shared" si="140"/>
        <v>18.204870493705315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635.45935117948159</v>
      </c>
      <c r="H140" s="67">
        <f t="shared" si="110"/>
        <v>436.7088494432038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5.6843418860808015E-13</v>
      </c>
      <c r="O140" s="13">
        <f>N140*VLOOKUP('Données projet'!$B$9,Paramètres!$A$1:$I$89,3,0)*VLOOKUP('Données projet'!$B$9,Paramètres!$A$1:$I$89,5,0)</f>
        <v>2.2907897800905631E-13</v>
      </c>
      <c r="P140" s="13">
        <f t="shared" si="141"/>
        <v>3.1248920576624499E-12</v>
      </c>
      <c r="Q140" s="20">
        <f t="shared" si="108"/>
        <v>5.8414995537945398E-12</v>
      </c>
      <c r="R140" s="59">
        <f t="shared" si="109"/>
        <v>293.33333333333917</v>
      </c>
      <c r="S140" s="59">
        <f ca="1">AVERAGE(OFFSET($R$3,0,0,'Données projet'!$E$9+1,1))-AVERAGE(OFFSET($H$3,0,0,'Données projet'!$E$9+1,1))</f>
        <v>321.12254860105566</v>
      </c>
      <c r="T140" s="59">
        <f t="shared" si="142"/>
        <v>270.52026164274571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1.5866861181293086</v>
      </c>
      <c r="AA140" s="21">
        <f>EXP(-LN(2)/25)*AA139+(1-EXP(-LN(2)/25))/(LN(2)/25)*Calculateur!V140*Calculateur!X140*VLOOKUP('Données projet'!$B$9,Paramètres!$A$1:$I$89,3,0)*0.475*44/12</f>
        <v>1.0613853497155077</v>
      </c>
      <c r="AB140" s="21">
        <f>EXP(-LN(2)/2)*AB139+(1-EXP(-LN(2)/2))/(LN(2)/2)*V140*Y140*VLOOKUP('Données projet'!$B$9,Paramètres!$A$1:$I$89,3,0)*0.475*44/12</f>
        <v>0</v>
      </c>
      <c r="AC140" s="22">
        <f t="shared" si="111"/>
        <v>2.6480714678448161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-3.4106051316484809E-13</v>
      </c>
      <c r="AJ140" s="13">
        <f>AI140*VLOOKUP('Données projet'!$B$10,Paramètres!$A$1:$I$89,3,0)*VLOOKUP('Données projet'!$B$10,Paramètres!$A$1:$I$89,5,0)</f>
        <v>-1.5961632016114892E-13</v>
      </c>
      <c r="AK140" s="13" t="e">
        <f t="shared" si="143"/>
        <v>#NUM!</v>
      </c>
      <c r="AL140" s="20" t="e">
        <f t="shared" si="112"/>
        <v>#NUM!</v>
      </c>
      <c r="AM140" s="59" t="e">
        <f t="shared" si="113"/>
        <v>#NUM!</v>
      </c>
      <c r="AN140" s="59">
        <f ca="1">AVERAGE(OFFSET($AM$3,0,0,'Données projet'!$E$10+1,1))-AVERAGE(OFFSET($H$3,0,0,'Données projet'!$E$10+1,1))</f>
        <v>267.78121291362345</v>
      </c>
      <c r="AO140" s="59">
        <f t="shared" si="144"/>
        <v>320.1780590861174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0.87487185477694029</v>
      </c>
      <c r="AV140" s="21">
        <f>EXP(-LN(2)/25)*AV139+(1-EXP(-LN(2)/25))/(LN(2)/25)*Calculateur!AQ140*Calculateur!AS140*VLOOKUP('Données projet'!$B$10,Paramètres!$A$1:$I$89,3,0)*0.475*44/12</f>
        <v>1.0328564913917748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1.9077283461687151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8.5265128291212022E-14</v>
      </c>
      <c r="BE140" s="13">
        <f>BD140*VLOOKUP('Données projet'!$B$11,Paramètres!$A$1:$I$89,3,0)*VLOOKUP('Données projet'!$B$11,Paramètres!$A$1:$I$89,5,0)</f>
        <v>7.4487616075202836E-14</v>
      </c>
      <c r="BF140" s="13">
        <f t="shared" si="145"/>
        <v>1.1580453144473142E-12</v>
      </c>
      <c r="BG140" s="20">
        <f t="shared" si="115"/>
        <v>2.1466615206600508E-12</v>
      </c>
      <c r="BH140" s="59">
        <f t="shared" si="116"/>
        <v>293.33333333333547</v>
      </c>
      <c r="BI140" s="59">
        <f ca="1">AVERAGE(OFFSET($BH$3,0,0,'Données projet'!$E$11+1,1))-AVERAGE(OFFSET($H$3,0,0,'Données projet'!$E$11+1,1))</f>
        <v>212.82470567725971</v>
      </c>
      <c r="BJ140" s="59">
        <f t="shared" si="146"/>
        <v>196.91968622092054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0.12163962039446347</v>
      </c>
      <c r="BQ140" s="21">
        <f>EXP(-LN(2)/25)*BQ139+(1-EXP(-LN(2)/25))/(LN(2)/25)*Calculateur!BL140*Calculateur!BN140*VLOOKUP('Données projet'!$B$11,Paramètres!$A$1:$I$89,3,0)*0.475*44/12</f>
        <v>0.21020734819811582</v>
      </c>
      <c r="BR140" s="21">
        <f>EXP(-LN(2)/2)*BR139+(1-EXP(-LN(2)/2))/(LN(2)/2)*BL140*BO140*VLOOKUP('Données projet'!$B$11,Paramètres!$A$1:$I$89,3,0)*0.475*44/12</f>
        <v>0</v>
      </c>
      <c r="BS140" s="22">
        <f t="shared" si="117"/>
        <v>0.33184696859257928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25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64.584000000000245</v>
      </c>
      <c r="D141" s="11">
        <f t="shared" si="140"/>
        <v>18.322235519392791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639.97795839531466</v>
      </c>
      <c r="H141" s="67">
        <f t="shared" si="110"/>
        <v>437.72836019627618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5.6843418860808015E-13</v>
      </c>
      <c r="O141" s="13">
        <f>N141*VLOOKUP('Données projet'!$B$9,Paramètres!$A$1:$I$89,3,0)*VLOOKUP('Données projet'!$B$9,Paramètres!$A$1:$I$89,5,0)</f>
        <v>2.2907897800905631E-13</v>
      </c>
      <c r="P141" s="13">
        <f t="shared" si="141"/>
        <v>3.1248920576624499E-12</v>
      </c>
      <c r="Q141" s="20">
        <f t="shared" si="108"/>
        <v>5.8414995537945398E-12</v>
      </c>
      <c r="R141" s="59">
        <f t="shared" si="109"/>
        <v>293.33333333333917</v>
      </c>
      <c r="S141" s="59">
        <f ca="1">AVERAGE(OFFSET($R$3,0,0,'Données projet'!$E$9+1,1))-AVERAGE(OFFSET($H$3,0,0,'Données projet'!$E$9+1,1))</f>
        <v>321.12254860105566</v>
      </c>
      <c r="T141" s="59">
        <f t="shared" si="142"/>
        <v>270.52026164274571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1.5555721711357642</v>
      </c>
      <c r="AA141" s="21">
        <f>EXP(-LN(2)/25)*AA140+(1-EXP(-LN(2)/25))/(LN(2)/25)*Calculateur!V141*Calculateur!X141*VLOOKUP('Données projet'!$B$9,Paramètres!$A$1:$I$89,3,0)*0.475*44/12</f>
        <v>1.0323617115117074</v>
      </c>
      <c r="AB141" s="21">
        <f>EXP(-LN(2)/2)*AB140+(1-EXP(-LN(2)/2))/(LN(2)/2)*V141*Y141*VLOOKUP('Données projet'!$B$9,Paramètres!$A$1:$I$89,3,0)*0.475*44/12</f>
        <v>0</v>
      </c>
      <c r="AC141" s="22">
        <f t="shared" si="111"/>
        <v>2.5879338826474716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-3.4106051316484809E-13</v>
      </c>
      <c r="AJ141" s="13">
        <f>AI141*VLOOKUP('Données projet'!$B$10,Paramètres!$A$1:$I$89,3,0)*VLOOKUP('Données projet'!$B$10,Paramètres!$A$1:$I$89,5,0)</f>
        <v>-1.5961632016114892E-13</v>
      </c>
      <c r="AK141" s="13" t="e">
        <f t="shared" si="143"/>
        <v>#NUM!</v>
      </c>
      <c r="AL141" s="20" t="e">
        <f t="shared" si="112"/>
        <v>#NUM!</v>
      </c>
      <c r="AM141" s="59" t="e">
        <f t="shared" si="113"/>
        <v>#NUM!</v>
      </c>
      <c r="AN141" s="59">
        <f ca="1">AVERAGE(OFFSET($AM$3,0,0,'Données projet'!$E$10+1,1))-AVERAGE(OFFSET($H$3,0,0,'Données projet'!$E$10+1,1))</f>
        <v>267.78121291362345</v>
      </c>
      <c r="AO141" s="59">
        <f t="shared" si="144"/>
        <v>320.1780590861174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0.85771615132390544</v>
      </c>
      <c r="AV141" s="21">
        <f>EXP(-LN(2)/25)*AV140+(1-EXP(-LN(2)/25))/(LN(2)/25)*Calculateur!AQ141*Calculateur!AS141*VLOOKUP('Données projet'!$B$10,Paramètres!$A$1:$I$89,3,0)*0.475*44/12</f>
        <v>1.0046129763191045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1.8623291276430098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8.5265128291212022E-14</v>
      </c>
      <c r="BE141" s="13">
        <f>BD141*VLOOKUP('Données projet'!$B$11,Paramètres!$A$1:$I$89,3,0)*VLOOKUP('Données projet'!$B$11,Paramètres!$A$1:$I$89,5,0)</f>
        <v>7.4487616075202836E-14</v>
      </c>
      <c r="BF141" s="13">
        <f t="shared" si="145"/>
        <v>1.1580453144473142E-12</v>
      </c>
      <c r="BG141" s="20">
        <f t="shared" si="115"/>
        <v>2.1466615206600508E-12</v>
      </c>
      <c r="BH141" s="59">
        <f t="shared" si="116"/>
        <v>293.33333333333547</v>
      </c>
      <c r="BI141" s="59">
        <f ca="1">AVERAGE(OFFSET($BH$3,0,0,'Données projet'!$E$11+1,1))-AVERAGE(OFFSET($H$3,0,0,'Données projet'!$E$11+1,1))</f>
        <v>212.82470567725971</v>
      </c>
      <c r="BJ141" s="59">
        <f t="shared" si="146"/>
        <v>196.91968622092054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0.11925434163137054</v>
      </c>
      <c r="BQ141" s="21">
        <f>EXP(-LN(2)/25)*BQ140+(1-EXP(-LN(2)/25))/(LN(2)/25)*Calculateur!BL141*Calculateur!BN141*VLOOKUP('Données projet'!$B$11,Paramètres!$A$1:$I$89,3,0)*0.475*44/12</f>
        <v>0.20445921720731433</v>
      </c>
      <c r="BR141" s="21">
        <f>EXP(-LN(2)/2)*BR140+(1-EXP(-LN(2)/2))/(LN(2)/2)*BL141*BO141*VLOOKUP('Données projet'!$B$11,Paramètres!$A$1:$I$89,3,0)*0.475*44/12</f>
        <v>0</v>
      </c>
      <c r="BS141" s="22">
        <f t="shared" si="117"/>
        <v>0.32371355883868486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25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65.052000000000248</v>
      </c>
      <c r="D142" s="11">
        <f t="shared" si="140"/>
        <v>18.439501591054739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644.49580175551216</v>
      </c>
      <c r="H142" s="67">
        <f t="shared" si="110"/>
        <v>438.74769860442075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5.6843418860808015E-13</v>
      </c>
      <c r="O142" s="13">
        <f>N142*VLOOKUP('Données projet'!$B$9,Paramètres!$A$1:$I$89,3,0)*VLOOKUP('Données projet'!$B$9,Paramètres!$A$1:$I$89,5,0)</f>
        <v>2.2907897800905631E-13</v>
      </c>
      <c r="P142" s="13">
        <f t="shared" si="141"/>
        <v>3.1248920576624499E-12</v>
      </c>
      <c r="Q142" s="20">
        <f t="shared" si="108"/>
        <v>5.8414995537945398E-12</v>
      </c>
      <c r="R142" s="59">
        <f t="shared" si="109"/>
        <v>293.33333333333917</v>
      </c>
      <c r="S142" s="59">
        <f ca="1">AVERAGE(OFFSET($R$3,0,0,'Données projet'!$E$9+1,1))-AVERAGE(OFFSET($H$3,0,0,'Données projet'!$E$9+1,1))</f>
        <v>321.12254860105566</v>
      </c>
      <c r="T142" s="59">
        <f t="shared" si="142"/>
        <v>270.52026164274571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1.5250683496651294</v>
      </c>
      <c r="AA142" s="21">
        <f>EXP(-LN(2)/25)*AA141+(1-EXP(-LN(2)/25))/(LN(2)/25)*Calculateur!V142*Calculateur!X142*VLOOKUP('Données projet'!$B$9,Paramètres!$A$1:$I$89,3,0)*0.475*44/12</f>
        <v>1.0041317262208769</v>
      </c>
      <c r="AB142" s="21">
        <f>EXP(-LN(2)/2)*AB141+(1-EXP(-LN(2)/2))/(LN(2)/2)*V142*Y142*VLOOKUP('Données projet'!$B$9,Paramètres!$A$1:$I$89,3,0)*0.475*44/12</f>
        <v>0</v>
      </c>
      <c r="AC142" s="22">
        <f t="shared" si="111"/>
        <v>2.5292000758860063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-3.4106051316484809E-13</v>
      </c>
      <c r="AJ142" s="13">
        <f>AI142*VLOOKUP('Données projet'!$B$10,Paramètres!$A$1:$I$89,3,0)*VLOOKUP('Données projet'!$B$10,Paramètres!$A$1:$I$89,5,0)</f>
        <v>-1.5961632016114892E-13</v>
      </c>
      <c r="AK142" s="13" t="e">
        <f t="shared" si="143"/>
        <v>#NUM!</v>
      </c>
      <c r="AL142" s="20" t="e">
        <f t="shared" si="112"/>
        <v>#NUM!</v>
      </c>
      <c r="AM142" s="59" t="e">
        <f t="shared" si="113"/>
        <v>#NUM!</v>
      </c>
      <c r="AN142" s="59">
        <f ca="1">AVERAGE(OFFSET($AM$3,0,0,'Données projet'!$E$10+1,1))-AVERAGE(OFFSET($H$3,0,0,'Données projet'!$E$10+1,1))</f>
        <v>267.78121291362345</v>
      </c>
      <c r="AO142" s="59">
        <f t="shared" si="144"/>
        <v>320.1780590861174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0.84089686075163872</v>
      </c>
      <c r="AV142" s="21">
        <f>EXP(-LN(2)/25)*AV141+(1-EXP(-LN(2)/25))/(LN(2)/25)*Calculateur!AQ142*Calculateur!AS142*VLOOKUP('Données projet'!$B$10,Paramètres!$A$1:$I$89,3,0)*0.475*44/12</f>
        <v>0.97714178165135823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1.8180386424029971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8.5265128291212022E-14</v>
      </c>
      <c r="BE142" s="13">
        <f>BD142*VLOOKUP('Données projet'!$B$11,Paramètres!$A$1:$I$89,3,0)*VLOOKUP('Données projet'!$B$11,Paramètres!$A$1:$I$89,5,0)</f>
        <v>7.4487616075202836E-14</v>
      </c>
      <c r="BF142" s="13">
        <f t="shared" si="145"/>
        <v>1.1580453144473142E-12</v>
      </c>
      <c r="BG142" s="20">
        <f t="shared" si="115"/>
        <v>2.1466615206600508E-12</v>
      </c>
      <c r="BH142" s="59">
        <f t="shared" si="116"/>
        <v>293.33333333333547</v>
      </c>
      <c r="BI142" s="59">
        <f ca="1">AVERAGE(OFFSET($BH$3,0,0,'Données projet'!$E$11+1,1))-AVERAGE(OFFSET($H$3,0,0,'Données projet'!$E$11+1,1))</f>
        <v>212.82470567725971</v>
      </c>
      <c r="BJ142" s="59">
        <f t="shared" si="146"/>
        <v>196.91968622092054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0.11691583672994547</v>
      </c>
      <c r="BQ142" s="21">
        <f>EXP(-LN(2)/25)*BQ141+(1-EXP(-LN(2)/25))/(LN(2)/25)*Calculateur!BL142*Calculateur!BN142*VLOOKUP('Données projet'!$B$11,Paramètres!$A$1:$I$89,3,0)*0.475*44/12</f>
        <v>0.19886826916073738</v>
      </c>
      <c r="BR142" s="21">
        <f>EXP(-LN(2)/2)*BR141+(1-EXP(-LN(2)/2))/(LN(2)/2)*BL142*BO142*VLOOKUP('Données projet'!$B$11,Paramètres!$A$1:$I$89,3,0)*0.475*44/12</f>
        <v>0</v>
      </c>
      <c r="BS142" s="22">
        <f t="shared" si="117"/>
        <v>0.31578410589068284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25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65.520000000000252</v>
      </c>
      <c r="D143" s="11">
        <f t="shared" si="140"/>
        <v>18.556669503136781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649.01288739263669</v>
      </c>
      <c r="H143" s="67">
        <f t="shared" si="110"/>
        <v>439.76686605129692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5.6843418860808015E-13</v>
      </c>
      <c r="O143" s="13">
        <f>N143*VLOOKUP('Données projet'!$B$9,Paramètres!$A$1:$I$89,3,0)*VLOOKUP('Données projet'!$B$9,Paramètres!$A$1:$I$89,5,0)</f>
        <v>2.2907897800905631E-13</v>
      </c>
      <c r="P143" s="13">
        <f t="shared" si="141"/>
        <v>3.1248920576624499E-12</v>
      </c>
      <c r="Q143" s="20">
        <f t="shared" si="108"/>
        <v>5.8414995537945398E-12</v>
      </c>
      <c r="R143" s="59">
        <f t="shared" si="109"/>
        <v>293.33333333333917</v>
      </c>
      <c r="S143" s="59">
        <f ca="1">AVERAGE(OFFSET($R$3,0,0,'Données projet'!$E$9+1,1))-AVERAGE(OFFSET($H$3,0,0,'Données projet'!$E$9+1,1))</f>
        <v>321.12254860105566</v>
      </c>
      <c r="T143" s="59">
        <f t="shared" si="142"/>
        <v>270.52026164274571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1.4951626895280399</v>
      </c>
      <c r="AA143" s="21">
        <f>EXP(-LN(2)/25)*AA142+(1-EXP(-LN(2)/25))/(LN(2)/25)*Calculateur!V143*Calculateur!X143*VLOOKUP('Données projet'!$B$9,Paramètres!$A$1:$I$89,3,0)*0.475*44/12</f>
        <v>0.97667369136237447</v>
      </c>
      <c r="AB143" s="21">
        <f>EXP(-LN(2)/2)*AB142+(1-EXP(-LN(2)/2))/(LN(2)/2)*V143*Y143*VLOOKUP('Données projet'!$B$9,Paramètres!$A$1:$I$89,3,0)*0.475*44/12</f>
        <v>0</v>
      </c>
      <c r="AC143" s="22">
        <f t="shared" si="111"/>
        <v>2.4718363808904145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-3.4106051316484809E-13</v>
      </c>
      <c r="AJ143" s="13">
        <f>AI143*VLOOKUP('Données projet'!$B$10,Paramètres!$A$1:$I$89,3,0)*VLOOKUP('Données projet'!$B$10,Paramètres!$A$1:$I$89,5,0)</f>
        <v>-1.5961632016114892E-13</v>
      </c>
      <c r="AK143" s="13" t="e">
        <f t="shared" si="143"/>
        <v>#NUM!</v>
      </c>
      <c r="AL143" s="20" t="e">
        <f t="shared" si="112"/>
        <v>#NUM!</v>
      </c>
      <c r="AM143" s="59" t="e">
        <f t="shared" si="113"/>
        <v>#NUM!</v>
      </c>
      <c r="AN143" s="59">
        <f ca="1">AVERAGE(OFFSET($AM$3,0,0,'Données projet'!$E$10+1,1))-AVERAGE(OFFSET($H$3,0,0,'Données projet'!$E$10+1,1))</f>
        <v>267.78121291362345</v>
      </c>
      <c r="AO143" s="59">
        <f t="shared" si="144"/>
        <v>320.1780590861174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0.82440738620873988</v>
      </c>
      <c r="AV143" s="21">
        <f>EXP(-LN(2)/25)*AV142+(1-EXP(-LN(2)/25))/(LN(2)/25)*Calculateur!AQ143*Calculateur!AS143*VLOOKUP('Données projet'!$B$10,Paramètres!$A$1:$I$89,3,0)*0.475*44/12</f>
        <v>0.95042178824644885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1.7748291744551887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8.5265128291212022E-14</v>
      </c>
      <c r="BE143" s="13">
        <f>BD143*VLOOKUP('Données projet'!$B$11,Paramètres!$A$1:$I$89,3,0)*VLOOKUP('Données projet'!$B$11,Paramètres!$A$1:$I$89,5,0)</f>
        <v>7.4487616075202836E-14</v>
      </c>
      <c r="BF143" s="13">
        <f t="shared" si="145"/>
        <v>1.1580453144473142E-12</v>
      </c>
      <c r="BG143" s="20">
        <f t="shared" si="115"/>
        <v>2.1466615206600508E-12</v>
      </c>
      <c r="BH143" s="59">
        <f t="shared" si="116"/>
        <v>293.33333333333547</v>
      </c>
      <c r="BI143" s="59">
        <f ca="1">AVERAGE(OFFSET($BH$3,0,0,'Données projet'!$E$11+1,1))-AVERAGE(OFFSET($H$3,0,0,'Données projet'!$E$11+1,1))</f>
        <v>212.82470567725971</v>
      </c>
      <c r="BJ143" s="59">
        <f t="shared" si="146"/>
        <v>196.91968622092054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0.11462318848329021</v>
      </c>
      <c r="BQ143" s="21">
        <f>EXP(-LN(2)/25)*BQ142+(1-EXP(-LN(2)/25))/(LN(2)/25)*Calculateur!BL143*Calculateur!BN143*VLOOKUP('Données projet'!$B$11,Paramètres!$A$1:$I$89,3,0)*0.475*44/12</f>
        <v>0.19343020588250925</v>
      </c>
      <c r="BR143" s="21">
        <f>EXP(-LN(2)/2)*BR142+(1-EXP(-LN(2)/2))/(LN(2)/2)*BL143*BO143*VLOOKUP('Données projet'!$B$11,Paramètres!$A$1:$I$89,3,0)*0.475*44/12</f>
        <v>0</v>
      </c>
      <c r="BS143" s="22">
        <f t="shared" si="117"/>
        <v>0.30805339436579948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25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65.988000000000255</v>
      </c>
      <c r="D144" s="11">
        <f t="shared" si="140"/>
        <v>18.673740038079515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653.5292213465807</v>
      </c>
      <c r="H144" s="67">
        <f t="shared" si="110"/>
        <v>440.78586389965557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5.6843418860808015E-13</v>
      </c>
      <c r="O144" s="13">
        <f>N144*VLOOKUP('Données projet'!$B$9,Paramètres!$A$1:$I$89,3,0)*VLOOKUP('Données projet'!$B$9,Paramètres!$A$1:$I$89,5,0)</f>
        <v>2.2907897800905631E-13</v>
      </c>
      <c r="P144" s="13">
        <f t="shared" si="141"/>
        <v>3.1248920576624499E-12</v>
      </c>
      <c r="Q144" s="20">
        <f t="shared" si="108"/>
        <v>5.8414995537945398E-12</v>
      </c>
      <c r="R144" s="59">
        <f t="shared" si="109"/>
        <v>293.33333333333917</v>
      </c>
      <c r="S144" s="59">
        <f ca="1">AVERAGE(OFFSET($R$3,0,0,'Données projet'!$E$9+1,1))-AVERAGE(OFFSET($H$3,0,0,'Données projet'!$E$9+1,1))</f>
        <v>321.12254860105566</v>
      </c>
      <c r="T144" s="59">
        <f t="shared" si="142"/>
        <v>270.52026164274571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1.4658434611455871</v>
      </c>
      <c r="AA144" s="21">
        <f>EXP(-LN(2)/25)*AA143+(1-EXP(-LN(2)/25))/(LN(2)/25)*Calculateur!V144*Calculateur!X144*VLOOKUP('Données projet'!$B$9,Paramètres!$A$1:$I$89,3,0)*0.475*44/12</f>
        <v>0.94996649791103316</v>
      </c>
      <c r="AB144" s="21">
        <f>EXP(-LN(2)/2)*AB143+(1-EXP(-LN(2)/2))/(LN(2)/2)*V144*Y144*VLOOKUP('Données projet'!$B$9,Paramètres!$A$1:$I$89,3,0)*0.475*44/12</f>
        <v>0</v>
      </c>
      <c r="AC144" s="22">
        <f t="shared" si="111"/>
        <v>2.4158099590566202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-3.4106051316484809E-13</v>
      </c>
      <c r="AJ144" s="13">
        <f>AI144*VLOOKUP('Données projet'!$B$10,Paramètres!$A$1:$I$89,3,0)*VLOOKUP('Données projet'!$B$10,Paramètres!$A$1:$I$89,5,0)</f>
        <v>-1.5961632016114892E-13</v>
      </c>
      <c r="AK144" s="13" t="e">
        <f t="shared" si="143"/>
        <v>#NUM!</v>
      </c>
      <c r="AL144" s="20" t="e">
        <f t="shared" si="112"/>
        <v>#NUM!</v>
      </c>
      <c r="AM144" s="59" t="e">
        <f t="shared" si="113"/>
        <v>#NUM!</v>
      </c>
      <c r="AN144" s="59">
        <f ca="1">AVERAGE(OFFSET($AM$3,0,0,'Données projet'!$E$10+1,1))-AVERAGE(OFFSET($H$3,0,0,'Données projet'!$E$10+1,1))</f>
        <v>267.78121291362345</v>
      </c>
      <c r="AO144" s="59">
        <f t="shared" si="144"/>
        <v>320.1780590861174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0.80824126020404086</v>
      </c>
      <c r="AV144" s="21">
        <f>EXP(-LN(2)/25)*AV143+(1-EXP(-LN(2)/25))/(LN(2)/25)*Calculateur!AQ144*Calculateur!AS144*VLOOKUP('Données projet'!$B$10,Paramètres!$A$1:$I$89,3,0)*0.475*44/12</f>
        <v>0.92443245446634004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1.7326737146703808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8.5265128291212022E-14</v>
      </c>
      <c r="BE144" s="13">
        <f>BD144*VLOOKUP('Données projet'!$B$11,Paramètres!$A$1:$I$89,3,0)*VLOOKUP('Données projet'!$B$11,Paramètres!$A$1:$I$89,5,0)</f>
        <v>7.4487616075202836E-14</v>
      </c>
      <c r="BF144" s="13">
        <f t="shared" si="145"/>
        <v>1.1580453144473142E-12</v>
      </c>
      <c r="BG144" s="20">
        <f t="shared" si="115"/>
        <v>2.1466615206600508E-12</v>
      </c>
      <c r="BH144" s="59">
        <f t="shared" si="116"/>
        <v>293.33333333333547</v>
      </c>
      <c r="BI144" s="59">
        <f ca="1">AVERAGE(OFFSET($BH$3,0,0,'Données projet'!$E$11+1,1))-AVERAGE(OFFSET($H$3,0,0,'Données projet'!$E$11+1,1))</f>
        <v>212.82470567725971</v>
      </c>
      <c r="BJ144" s="59">
        <f t="shared" si="146"/>
        <v>196.91968622092054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0.11237549767037451</v>
      </c>
      <c r="BQ144" s="21">
        <f>EXP(-LN(2)/25)*BQ143+(1-EXP(-LN(2)/25))/(LN(2)/25)*Calculateur!BL144*Calculateur!BN144*VLOOKUP('Données projet'!$B$11,Paramètres!$A$1:$I$89,3,0)*0.475*44/12</f>
        <v>0.18814084673059961</v>
      </c>
      <c r="BR144" s="21">
        <f>EXP(-LN(2)/2)*BR143+(1-EXP(-LN(2)/2))/(LN(2)/2)*BL144*BO144*VLOOKUP('Données projet'!$B$11,Paramètres!$A$1:$I$89,3,0)*0.475*44/12</f>
        <v>0</v>
      </c>
      <c r="BS144" s="22">
        <f t="shared" si="117"/>
        <v>0.30051634440097413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25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66.456000000000259</v>
      </c>
      <c r="D145" s="11">
        <f t="shared" si="140"/>
        <v>18.790713966583677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658.04480956661291</v>
      </c>
      <c r="H145" s="67">
        <f t="shared" si="110"/>
        <v>441.80469349180032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5.6843418860808015E-13</v>
      </c>
      <c r="O145" s="13">
        <f>N145*VLOOKUP('Données projet'!$B$9,Paramètres!$A$1:$I$89,3,0)*VLOOKUP('Données projet'!$B$9,Paramètres!$A$1:$I$89,5,0)</f>
        <v>2.2907897800905631E-13</v>
      </c>
      <c r="P145" s="13">
        <f t="shared" si="141"/>
        <v>3.1248920576624499E-12</v>
      </c>
      <c r="Q145" s="20">
        <f t="shared" si="108"/>
        <v>5.8414995537945398E-12</v>
      </c>
      <c r="R145" s="59">
        <f t="shared" si="109"/>
        <v>293.33333333333917</v>
      </c>
      <c r="S145" s="59">
        <f ca="1">AVERAGE(OFFSET($R$3,0,0,'Données projet'!$E$9+1,1))-AVERAGE(OFFSET($H$3,0,0,'Données projet'!$E$9+1,1))</f>
        <v>321.12254860105566</v>
      </c>
      <c r="T145" s="59">
        <f t="shared" si="142"/>
        <v>270.52026164274571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1.4370991649487508</v>
      </c>
      <c r="AA145" s="21">
        <f>EXP(-LN(2)/25)*AA144+(1-EXP(-LN(2)/25))/(LN(2)/25)*Calculateur!V145*Calculateur!X145*VLOOKUP('Données projet'!$B$9,Paramètres!$A$1:$I$89,3,0)*0.475*44/12</f>
        <v>0.92398961406908897</v>
      </c>
      <c r="AB145" s="21">
        <f>EXP(-LN(2)/2)*AB144+(1-EXP(-LN(2)/2))/(LN(2)/2)*V145*Y145*VLOOKUP('Données projet'!$B$9,Paramètres!$A$1:$I$89,3,0)*0.475*44/12</f>
        <v>0</v>
      </c>
      <c r="AC145" s="22">
        <f t="shared" si="111"/>
        <v>2.3610887790178396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-3.4106051316484809E-13</v>
      </c>
      <c r="AJ145" s="13">
        <f>AI145*VLOOKUP('Données projet'!$B$10,Paramètres!$A$1:$I$89,3,0)*VLOOKUP('Données projet'!$B$10,Paramètres!$A$1:$I$89,5,0)</f>
        <v>-1.5961632016114892E-13</v>
      </c>
      <c r="AK145" s="13" t="e">
        <f t="shared" si="143"/>
        <v>#NUM!</v>
      </c>
      <c r="AL145" s="20" t="e">
        <f t="shared" si="112"/>
        <v>#NUM!</v>
      </c>
      <c r="AM145" s="59" t="e">
        <f t="shared" si="113"/>
        <v>#NUM!</v>
      </c>
      <c r="AN145" s="59">
        <f ca="1">AVERAGE(OFFSET($AM$3,0,0,'Données projet'!$E$10+1,1))-AVERAGE(OFFSET($H$3,0,0,'Données projet'!$E$10+1,1))</f>
        <v>267.78121291362345</v>
      </c>
      <c r="AO145" s="59">
        <f t="shared" si="144"/>
        <v>320.1780590861174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0.7923921420699308</v>
      </c>
      <c r="AV145" s="21">
        <f>EXP(-LN(2)/25)*AV144+(1-EXP(-LN(2)/25))/(LN(2)/25)*Calculateur!AQ145*Calculateur!AS145*VLOOKUP('Données projet'!$B$10,Paramètres!$A$1:$I$89,3,0)*0.475*44/12</f>
        <v>0.89915380038516801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1.6915459424550989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8.5265128291212022E-14</v>
      </c>
      <c r="BE145" s="13">
        <f>BD145*VLOOKUP('Données projet'!$B$11,Paramètres!$A$1:$I$89,3,0)*VLOOKUP('Données projet'!$B$11,Paramètres!$A$1:$I$89,5,0)</f>
        <v>7.4487616075202836E-14</v>
      </c>
      <c r="BF145" s="13">
        <f t="shared" si="145"/>
        <v>1.1580453144473142E-12</v>
      </c>
      <c r="BG145" s="20">
        <f t="shared" si="115"/>
        <v>2.1466615206600508E-12</v>
      </c>
      <c r="BH145" s="59">
        <f t="shared" si="116"/>
        <v>293.33333333333547</v>
      </c>
      <c r="BI145" s="59">
        <f ca="1">AVERAGE(OFFSET($BH$3,0,0,'Données projet'!$E$11+1,1))-AVERAGE(OFFSET($H$3,0,0,'Données projet'!$E$11+1,1))</f>
        <v>212.82470567725971</v>
      </c>
      <c r="BJ145" s="59">
        <f t="shared" si="146"/>
        <v>196.91968622092054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0.11017188270334406</v>
      </c>
      <c r="BQ145" s="21">
        <f>EXP(-LN(2)/25)*BQ144+(1-EXP(-LN(2)/25))/(LN(2)/25)*Calculateur!BL145*Calculateur!BN145*VLOOKUP('Données projet'!$B$11,Paramètres!$A$1:$I$89,3,0)*0.475*44/12</f>
        <v>0.18299612538285423</v>
      </c>
      <c r="BR145" s="21">
        <f>EXP(-LN(2)/2)*BR144+(1-EXP(-LN(2)/2))/(LN(2)/2)*BL145*BO145*VLOOKUP('Données projet'!$B$11,Paramètres!$A$1:$I$89,3,0)*0.475*44/12</f>
        <v>0</v>
      </c>
      <c r="BS145" s="22">
        <f t="shared" si="117"/>
        <v>0.29316800808619831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25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66.924000000000262</v>
      </c>
      <c r="D146" s="11">
        <f t="shared" si="140"/>
        <v>18.90759204786773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662.559657913367</v>
      </c>
      <c r="H146" s="67">
        <f t="shared" si="110"/>
        <v>442.82335615003672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5.6843418860808015E-13</v>
      </c>
      <c r="O146" s="13">
        <f>N146*VLOOKUP('Données projet'!$B$9,Paramètres!$A$1:$I$89,3,0)*VLOOKUP('Données projet'!$B$9,Paramètres!$A$1:$I$89,5,0)</f>
        <v>2.2907897800905631E-13</v>
      </c>
      <c r="P146" s="13">
        <f t="shared" si="141"/>
        <v>3.1248920576624499E-12</v>
      </c>
      <c r="Q146" s="20">
        <f t="shared" si="108"/>
        <v>5.8414995537945398E-12</v>
      </c>
      <c r="R146" s="59">
        <f t="shared" si="109"/>
        <v>293.33333333333917</v>
      </c>
      <c r="S146" s="59">
        <f ca="1">AVERAGE(OFFSET($R$3,0,0,'Données projet'!$E$9+1,1))-AVERAGE(OFFSET($H$3,0,0,'Données projet'!$E$9+1,1))</f>
        <v>321.12254860105566</v>
      </c>
      <c r="T146" s="59">
        <f t="shared" si="142"/>
        <v>270.52026164274571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1.4089185268680449</v>
      </c>
      <c r="AA146" s="21">
        <f>EXP(-LN(2)/25)*AA145+(1-EXP(-LN(2)/25))/(LN(2)/25)*Calculateur!V146*Calculateur!X146*VLOOKUP('Données projet'!$B$9,Paramètres!$A$1:$I$89,3,0)*0.475*44/12</f>
        <v>0.89872306948186775</v>
      </c>
      <c r="AB146" s="21">
        <f>EXP(-LN(2)/2)*AB145+(1-EXP(-LN(2)/2))/(LN(2)/2)*V146*Y146*VLOOKUP('Données projet'!$B$9,Paramètres!$A$1:$I$89,3,0)*0.475*44/12</f>
        <v>0</v>
      </c>
      <c r="AC146" s="22">
        <f t="shared" si="111"/>
        <v>2.3076415963499128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-3.4106051316484809E-13</v>
      </c>
      <c r="AJ146" s="13">
        <f>AI146*VLOOKUP('Données projet'!$B$10,Paramètres!$A$1:$I$89,3,0)*VLOOKUP('Données projet'!$B$10,Paramètres!$A$1:$I$89,5,0)</f>
        <v>-1.5961632016114892E-13</v>
      </c>
      <c r="AK146" s="13" t="e">
        <f t="shared" si="143"/>
        <v>#NUM!</v>
      </c>
      <c r="AL146" s="20" t="e">
        <f t="shared" si="112"/>
        <v>#NUM!</v>
      </c>
      <c r="AM146" s="59" t="e">
        <f t="shared" si="113"/>
        <v>#NUM!</v>
      </c>
      <c r="AN146" s="59">
        <f ca="1">AVERAGE(OFFSET($AM$3,0,0,'Données projet'!$E$10+1,1))-AVERAGE(OFFSET($H$3,0,0,'Données projet'!$E$10+1,1))</f>
        <v>267.78121291362345</v>
      </c>
      <c r="AO146" s="59">
        <f t="shared" si="144"/>
        <v>320.1780590861174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0.77685381547542309</v>
      </c>
      <c r="AV146" s="21">
        <f>EXP(-LN(2)/25)*AV145+(1-EXP(-LN(2)/25))/(LN(2)/25)*Calculateur!AQ146*Calculateur!AS146*VLOOKUP('Données projet'!$B$10,Paramètres!$A$1:$I$89,3,0)*0.475*44/12</f>
        <v>0.87456639242919232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1.6514202079046154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8.5265128291212022E-14</v>
      </c>
      <c r="BE146" s="13">
        <f>BD146*VLOOKUP('Données projet'!$B$11,Paramètres!$A$1:$I$89,3,0)*VLOOKUP('Données projet'!$B$11,Paramètres!$A$1:$I$89,5,0)</f>
        <v>7.4487616075202836E-14</v>
      </c>
      <c r="BF146" s="13">
        <f t="shared" si="145"/>
        <v>1.1580453144473142E-12</v>
      </c>
      <c r="BG146" s="20">
        <f t="shared" si="115"/>
        <v>2.1466615206600508E-12</v>
      </c>
      <c r="BH146" s="59">
        <f t="shared" si="116"/>
        <v>293.33333333333547</v>
      </c>
      <c r="BI146" s="59">
        <f ca="1">AVERAGE(OFFSET($BH$3,0,0,'Données projet'!$E$11+1,1))-AVERAGE(OFFSET($H$3,0,0,'Données projet'!$E$11+1,1))</f>
        <v>212.82470567725971</v>
      </c>
      <c r="BJ146" s="59">
        <f t="shared" si="146"/>
        <v>196.91968622092054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0.10801147928174466</v>
      </c>
      <c r="BQ146" s="21">
        <f>EXP(-LN(2)/25)*BQ145+(1-EXP(-LN(2)/25))/(LN(2)/25)*Calculateur!BL146*Calculateur!BN146*VLOOKUP('Données projet'!$B$11,Paramètres!$A$1:$I$89,3,0)*0.475*44/12</f>
        <v>0.1779920867109121</v>
      </c>
      <c r="BR146" s="21">
        <f>EXP(-LN(2)/2)*BR145+(1-EXP(-LN(2)/2))/(LN(2)/2)*BL146*BO146*VLOOKUP('Données projet'!$B$11,Paramètres!$A$1:$I$89,3,0)*0.475*44/12</f>
        <v>0</v>
      </c>
      <c r="BS146" s="22">
        <f t="shared" si="117"/>
        <v>0.28600356599265675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25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67.392000000000266</v>
      </c>
      <c r="D147" s="11">
        <f t="shared" si="140"/>
        <v>19.024375029918055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667.07377216077305</v>
      </c>
      <c r="H147" s="67">
        <f t="shared" si="110"/>
        <v>443.84185317710774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5.6843418860808015E-13</v>
      </c>
      <c r="O147" s="13">
        <f>N147*VLOOKUP('Données projet'!$B$9,Paramètres!$A$1:$I$89,3,0)*VLOOKUP('Données projet'!$B$9,Paramètres!$A$1:$I$89,5,0)</f>
        <v>2.2907897800905631E-13</v>
      </c>
      <c r="P147" s="13">
        <f t="shared" si="141"/>
        <v>3.1248920576624499E-12</v>
      </c>
      <c r="Q147" s="20">
        <f t="shared" si="108"/>
        <v>5.8414995537945398E-12</v>
      </c>
      <c r="R147" s="59">
        <f t="shared" si="109"/>
        <v>293.33333333333917</v>
      </c>
      <c r="S147" s="59">
        <f ca="1">AVERAGE(OFFSET($R$3,0,0,'Données projet'!$E$9+1,1))-AVERAGE(OFFSET($H$3,0,0,'Données projet'!$E$9+1,1))</f>
        <v>321.12254860105566</v>
      </c>
      <c r="T147" s="59">
        <f t="shared" si="142"/>
        <v>270.52026164274571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1.3812904939116095</v>
      </c>
      <c r="AA147" s="21">
        <f>EXP(-LN(2)/25)*AA146+(1-EXP(-LN(2)/25))/(LN(2)/25)*Calculateur!V147*Calculateur!X147*VLOOKUP('Données projet'!$B$9,Paramètres!$A$1:$I$89,3,0)*0.475*44/12</f>
        <v>0.87414743988509391</v>
      </c>
      <c r="AB147" s="21">
        <f>EXP(-LN(2)/2)*AB146+(1-EXP(-LN(2)/2))/(LN(2)/2)*V147*Y147*VLOOKUP('Données projet'!$B$9,Paramètres!$A$1:$I$89,3,0)*0.475*44/12</f>
        <v>0</v>
      </c>
      <c r="AC147" s="22">
        <f t="shared" si="111"/>
        <v>2.2554379337967037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-3.4106051316484809E-13</v>
      </c>
      <c r="AJ147" s="13">
        <f>AI147*VLOOKUP('Données projet'!$B$10,Paramètres!$A$1:$I$89,3,0)*VLOOKUP('Données projet'!$B$10,Paramètres!$A$1:$I$89,5,0)</f>
        <v>-1.5961632016114892E-13</v>
      </c>
      <c r="AK147" s="13" t="e">
        <f t="shared" si="143"/>
        <v>#NUM!</v>
      </c>
      <c r="AL147" s="20" t="e">
        <f t="shared" si="112"/>
        <v>#NUM!</v>
      </c>
      <c r="AM147" s="59" t="e">
        <f t="shared" si="113"/>
        <v>#NUM!</v>
      </c>
      <c r="AN147" s="59">
        <f ca="1">AVERAGE(OFFSET($AM$3,0,0,'Données projet'!$E$10+1,1))-AVERAGE(OFFSET($H$3,0,0,'Données projet'!$E$10+1,1))</f>
        <v>267.78121291362345</v>
      </c>
      <c r="AO147" s="59">
        <f t="shared" si="144"/>
        <v>320.1780590861174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0.76162018598799031</v>
      </c>
      <c r="AV147" s="21">
        <f>EXP(-LN(2)/25)*AV146+(1-EXP(-LN(2)/25))/(LN(2)/25)*Calculateur!AQ147*Calculateur!AS147*VLOOKUP('Données projet'!$B$10,Paramètres!$A$1:$I$89,3,0)*0.475*44/12</f>
        <v>0.85065132843676827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1.6122715144247586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8.5265128291212022E-14</v>
      </c>
      <c r="BE147" s="13">
        <f>BD147*VLOOKUP('Données projet'!$B$11,Paramètres!$A$1:$I$89,3,0)*VLOOKUP('Données projet'!$B$11,Paramètres!$A$1:$I$89,5,0)</f>
        <v>7.4487616075202836E-14</v>
      </c>
      <c r="BF147" s="13">
        <f t="shared" si="145"/>
        <v>1.1580453144473142E-12</v>
      </c>
      <c r="BG147" s="20">
        <f t="shared" si="115"/>
        <v>2.1466615206600508E-12</v>
      </c>
      <c r="BH147" s="59">
        <f t="shared" si="116"/>
        <v>293.33333333333547</v>
      </c>
      <c r="BI147" s="59">
        <f ca="1">AVERAGE(OFFSET($BH$3,0,0,'Données projet'!$E$11+1,1))-AVERAGE(OFFSET($H$3,0,0,'Données projet'!$E$11+1,1))</f>
        <v>212.82470567725971</v>
      </c>
      <c r="BJ147" s="59">
        <f t="shared" si="146"/>
        <v>196.91968622092054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0.10589344005352685</v>
      </c>
      <c r="BQ147" s="21">
        <f>EXP(-LN(2)/25)*BQ146+(1-EXP(-LN(2)/25))/(LN(2)/25)*Calculateur!BL147*Calculateur!BN147*VLOOKUP('Données projet'!$B$11,Paramètres!$A$1:$I$89,3,0)*0.475*44/12</f>
        <v>0.17312488373960516</v>
      </c>
      <c r="BR147" s="21">
        <f>EXP(-LN(2)/2)*BR146+(1-EXP(-LN(2)/2))/(LN(2)/2)*BL147*BO147*VLOOKUP('Données projet'!$B$11,Paramètres!$A$1:$I$89,3,0)*0.475*44/12</f>
        <v>0</v>
      </c>
      <c r="BS147" s="22">
        <f t="shared" si="117"/>
        <v>0.27901832379313202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25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67.860000000000269</v>
      </c>
      <c r="D148" s="11">
        <f t="shared" si="140"/>
        <v>19.141063649731827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671.58715799793197</v>
      </c>
      <c r="H148" s="67">
        <f t="shared" si="110"/>
        <v>444.86018585661668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5.6843418860808015E-13</v>
      </c>
      <c r="O148" s="13">
        <f>N148*VLOOKUP('Données projet'!$B$9,Paramètres!$A$1:$I$89,3,0)*VLOOKUP('Données projet'!$B$9,Paramètres!$A$1:$I$89,5,0)</f>
        <v>2.2907897800905631E-13</v>
      </c>
      <c r="P148" s="13">
        <f t="shared" si="141"/>
        <v>3.1248920576624499E-12</v>
      </c>
      <c r="Q148" s="20">
        <f t="shared" si="108"/>
        <v>5.8414995537945398E-12</v>
      </c>
      <c r="R148" s="59">
        <f t="shared" si="109"/>
        <v>293.33333333333917</v>
      </c>
      <c r="S148" s="59">
        <f ca="1">AVERAGE(OFFSET($R$3,0,0,'Données projet'!$E$9+1,1))-AVERAGE(OFFSET($H$3,0,0,'Données projet'!$E$9+1,1))</f>
        <v>321.12254860105566</v>
      </c>
      <c r="T148" s="59">
        <f t="shared" si="142"/>
        <v>270.52026164274571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1.3542042298300139</v>
      </c>
      <c r="AA148" s="21">
        <f>EXP(-LN(2)/25)*AA147+(1-EXP(-LN(2)/25))/(LN(2)/25)*Calculateur!V148*Calculateur!X148*VLOOKUP('Données projet'!$B$9,Paramètres!$A$1:$I$89,3,0)*0.475*44/12</f>
        <v>0.85024383217202004</v>
      </c>
      <c r="AB148" s="21">
        <f>EXP(-LN(2)/2)*AB147+(1-EXP(-LN(2)/2))/(LN(2)/2)*V148*Y148*VLOOKUP('Données projet'!$B$9,Paramètres!$A$1:$I$89,3,0)*0.475*44/12</f>
        <v>0</v>
      </c>
      <c r="AC148" s="22">
        <f t="shared" si="111"/>
        <v>2.2044480620020339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-3.4106051316484809E-13</v>
      </c>
      <c r="AJ148" s="13">
        <f>AI148*VLOOKUP('Données projet'!$B$10,Paramètres!$A$1:$I$89,3,0)*VLOOKUP('Données projet'!$B$10,Paramètres!$A$1:$I$89,5,0)</f>
        <v>-1.5961632016114892E-13</v>
      </c>
      <c r="AK148" s="13" t="e">
        <f t="shared" si="143"/>
        <v>#NUM!</v>
      </c>
      <c r="AL148" s="20" t="e">
        <f t="shared" si="112"/>
        <v>#NUM!</v>
      </c>
      <c r="AM148" s="59" t="e">
        <f t="shared" si="113"/>
        <v>#NUM!</v>
      </c>
      <c r="AN148" s="59">
        <f ca="1">AVERAGE(OFFSET($AM$3,0,0,'Données projet'!$E$10+1,1))-AVERAGE(OFFSET($H$3,0,0,'Données projet'!$E$10+1,1))</f>
        <v>267.78121291362345</v>
      </c>
      <c r="AO148" s="59">
        <f t="shared" si="144"/>
        <v>320.1780590861174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0.74668527868320955</v>
      </c>
      <c r="AV148" s="21">
        <f>EXP(-LN(2)/25)*AV147+(1-EXP(-LN(2)/25))/(LN(2)/25)*Calculateur!AQ148*Calculateur!AS148*VLOOKUP('Données projet'!$B$10,Paramètres!$A$1:$I$89,3,0)*0.475*44/12</f>
        <v>0.82739022312685562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1.5740755018100652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8.5265128291212022E-14</v>
      </c>
      <c r="BE148" s="13">
        <f>BD148*VLOOKUP('Données projet'!$B$11,Paramètres!$A$1:$I$89,3,0)*VLOOKUP('Données projet'!$B$11,Paramètres!$A$1:$I$89,5,0)</f>
        <v>7.4487616075202836E-14</v>
      </c>
      <c r="BF148" s="13">
        <f t="shared" si="145"/>
        <v>1.1580453144473142E-12</v>
      </c>
      <c r="BG148" s="20">
        <f t="shared" si="115"/>
        <v>2.1466615206600508E-12</v>
      </c>
      <c r="BH148" s="59">
        <f t="shared" si="116"/>
        <v>293.33333333333547</v>
      </c>
      <c r="BI148" s="59">
        <f ca="1">AVERAGE(OFFSET($BH$3,0,0,'Données projet'!$E$11+1,1))-AVERAGE(OFFSET($H$3,0,0,'Données projet'!$E$11+1,1))</f>
        <v>212.82470567725971</v>
      </c>
      <c r="BJ148" s="59">
        <f t="shared" si="146"/>
        <v>196.91968622092054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0.10381693428269803</v>
      </c>
      <c r="BQ148" s="21">
        <f>EXP(-LN(2)/25)*BQ147+(1-EXP(-LN(2)/25))/(LN(2)/25)*Calculateur!BL148*Calculateur!BN148*VLOOKUP('Données projet'!$B$11,Paramètres!$A$1:$I$89,3,0)*0.475*44/12</f>
        <v>0.1683907746895037</v>
      </c>
      <c r="BR148" s="21">
        <f>EXP(-LN(2)/2)*BR147+(1-EXP(-LN(2)/2))/(LN(2)/2)*BL148*BO148*VLOOKUP('Données projet'!$B$11,Paramètres!$A$1:$I$89,3,0)*0.475*44/12</f>
        <v>0</v>
      </c>
      <c r="BS148" s="22">
        <f t="shared" si="117"/>
        <v>0.2722077089722017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25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68.328000000000273</v>
      </c>
      <c r="D149" s="11">
        <f t="shared" si="140"/>
        <v>19.257658633553223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676.09982103093932</v>
      </c>
      <c r="H149" s="67">
        <f t="shared" si="110"/>
        <v>445.87835545343899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5.6843418860808015E-13</v>
      </c>
      <c r="O149" s="13">
        <f>N149*VLOOKUP('Données projet'!$B$9,Paramètres!$A$1:$I$89,3,0)*VLOOKUP('Données projet'!$B$9,Paramètres!$A$1:$I$89,5,0)</f>
        <v>2.2907897800905631E-13</v>
      </c>
      <c r="P149" s="13">
        <f t="shared" si="141"/>
        <v>3.1248920576624499E-12</v>
      </c>
      <c r="Q149" s="20">
        <f t="shared" si="108"/>
        <v>5.8414995537945398E-12</v>
      </c>
      <c r="R149" s="59">
        <f t="shared" si="109"/>
        <v>293.33333333333917</v>
      </c>
      <c r="S149" s="59">
        <f ca="1">AVERAGE(OFFSET($R$3,0,0,'Données projet'!$E$9+1,1))-AVERAGE(OFFSET($H$3,0,0,'Données projet'!$E$9+1,1))</f>
        <v>321.12254860105566</v>
      </c>
      <c r="T149" s="59">
        <f t="shared" si="142"/>
        <v>270.52026164274571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1.3276491108660684</v>
      </c>
      <c r="AA149" s="21">
        <f>EXP(-LN(2)/25)*AA148+(1-EXP(-LN(2)/25))/(LN(2)/25)*Calculateur!V149*Calculateur!X149*VLOOKUP('Données projet'!$B$9,Paramètres!$A$1:$I$89,3,0)*0.475*44/12</f>
        <v>0.82699386986889623</v>
      </c>
      <c r="AB149" s="21">
        <f>EXP(-LN(2)/2)*AB148+(1-EXP(-LN(2)/2))/(LN(2)/2)*V149*Y149*VLOOKUP('Données projet'!$B$9,Paramètres!$A$1:$I$89,3,0)*0.475*44/12</f>
        <v>0</v>
      </c>
      <c r="AC149" s="22">
        <f t="shared" si="111"/>
        <v>2.1546429807349647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-3.4106051316484809E-13</v>
      </c>
      <c r="AJ149" s="13">
        <f>AI149*VLOOKUP('Données projet'!$B$10,Paramètres!$A$1:$I$89,3,0)*VLOOKUP('Données projet'!$B$10,Paramètres!$A$1:$I$89,5,0)</f>
        <v>-1.5961632016114892E-13</v>
      </c>
      <c r="AK149" s="13" t="e">
        <f t="shared" si="143"/>
        <v>#NUM!</v>
      </c>
      <c r="AL149" s="20" t="e">
        <f t="shared" si="112"/>
        <v>#NUM!</v>
      </c>
      <c r="AM149" s="59" t="e">
        <f t="shared" si="113"/>
        <v>#NUM!</v>
      </c>
      <c r="AN149" s="59">
        <f ca="1">AVERAGE(OFFSET($AM$3,0,0,'Données projet'!$E$10+1,1))-AVERAGE(OFFSET($H$3,0,0,'Données projet'!$E$10+1,1))</f>
        <v>267.78121291362345</v>
      </c>
      <c r="AO149" s="59">
        <f t="shared" si="144"/>
        <v>320.1780590861174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0.7320432358012815</v>
      </c>
      <c r="AV149" s="21">
        <f>EXP(-LN(2)/25)*AV148+(1-EXP(-LN(2)/25))/(LN(2)/25)*Calculateur!AQ149*Calculateur!AS149*VLOOKUP('Données projet'!$B$10,Paramètres!$A$1:$I$89,3,0)*0.475*44/12</f>
        <v>0.80476519396489099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1.5368084297661726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8.5265128291212022E-14</v>
      </c>
      <c r="BE149" s="13">
        <f>BD149*VLOOKUP('Données projet'!$B$11,Paramètres!$A$1:$I$89,3,0)*VLOOKUP('Données projet'!$B$11,Paramètres!$A$1:$I$89,5,0)</f>
        <v>7.4487616075202836E-14</v>
      </c>
      <c r="BF149" s="13">
        <f t="shared" si="145"/>
        <v>1.1580453144473142E-12</v>
      </c>
      <c r="BG149" s="20">
        <f t="shared" si="115"/>
        <v>2.1466615206600508E-12</v>
      </c>
      <c r="BH149" s="59">
        <f t="shared" si="116"/>
        <v>293.33333333333547</v>
      </c>
      <c r="BI149" s="59">
        <f ca="1">AVERAGE(OFFSET($BH$3,0,0,'Données projet'!$E$11+1,1))-AVERAGE(OFFSET($H$3,0,0,'Données projet'!$E$11+1,1))</f>
        <v>212.82470567725971</v>
      </c>
      <c r="BJ149" s="59">
        <f t="shared" si="146"/>
        <v>196.91968622092054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0.1017811475234917</v>
      </c>
      <c r="BQ149" s="21">
        <f>EXP(-LN(2)/25)*BQ148+(1-EXP(-LN(2)/25))/(LN(2)/25)*Calculateur!BL149*Calculateur!BN149*VLOOKUP('Données projet'!$B$11,Paramètres!$A$1:$I$89,3,0)*0.475*44/12</f>
        <v>0.16378612010033325</v>
      </c>
      <c r="BR149" s="21">
        <f>EXP(-LN(2)/2)*BR148+(1-EXP(-LN(2)/2))/(LN(2)/2)*BL149*BO149*VLOOKUP('Données projet'!$B$11,Paramètres!$A$1:$I$89,3,0)*0.475*44/12</f>
        <v>0</v>
      </c>
      <c r="BS149" s="22">
        <f t="shared" si="117"/>
        <v>0.26556726762382493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25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68.796000000000276</v>
      </c>
      <c r="D150" s="11">
        <f t="shared" si="140"/>
        <v>19.374160697102795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680.61176678465529</v>
      </c>
      <c r="H150" s="67">
        <f t="shared" si="110"/>
        <v>446.89636321412115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5.6843418860808015E-13</v>
      </c>
      <c r="O150" s="13">
        <f>N150*VLOOKUP('Données projet'!$B$9,Paramètres!$A$1:$I$89,3,0)*VLOOKUP('Données projet'!$B$9,Paramètres!$A$1:$I$89,5,0)</f>
        <v>2.2907897800905631E-13</v>
      </c>
      <c r="P150" s="13">
        <f t="shared" si="141"/>
        <v>3.1248920576624499E-12</v>
      </c>
      <c r="Q150" s="20">
        <f t="shared" si="108"/>
        <v>5.8414995537945398E-12</v>
      </c>
      <c r="R150" s="59">
        <f t="shared" si="109"/>
        <v>293.33333333333917</v>
      </c>
      <c r="S150" s="59">
        <f ca="1">AVERAGE(OFFSET($R$3,0,0,'Données projet'!$E$9+1,1))-AVERAGE(OFFSET($H$3,0,0,'Données projet'!$E$9+1,1))</f>
        <v>321.12254860105566</v>
      </c>
      <c r="T150" s="59">
        <f t="shared" si="142"/>
        <v>270.52026164274571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1.3016147215879827</v>
      </c>
      <c r="AA150" s="21">
        <f>EXP(-LN(2)/25)*AA149+(1-EXP(-LN(2)/25))/(LN(2)/25)*Calculateur!V150*Calculateur!X150*VLOOKUP('Données projet'!$B$9,Paramètres!$A$1:$I$89,3,0)*0.475*44/12</f>
        <v>0.80437967900761376</v>
      </c>
      <c r="AB150" s="21">
        <f>EXP(-LN(2)/2)*AB149+(1-EXP(-LN(2)/2))/(LN(2)/2)*V150*Y150*VLOOKUP('Données projet'!$B$9,Paramètres!$A$1:$I$89,3,0)*0.475*44/12</f>
        <v>0</v>
      </c>
      <c r="AC150" s="22">
        <f t="shared" si="111"/>
        <v>2.1059944005955966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-3.4106051316484809E-13</v>
      </c>
      <c r="AJ150" s="13">
        <f>AI150*VLOOKUP('Données projet'!$B$10,Paramètres!$A$1:$I$89,3,0)*VLOOKUP('Données projet'!$B$10,Paramètres!$A$1:$I$89,5,0)</f>
        <v>-1.5961632016114892E-13</v>
      </c>
      <c r="AK150" s="13" t="e">
        <f t="shared" si="143"/>
        <v>#NUM!</v>
      </c>
      <c r="AL150" s="20" t="e">
        <f t="shared" si="112"/>
        <v>#NUM!</v>
      </c>
      <c r="AM150" s="59" t="e">
        <f t="shared" si="113"/>
        <v>#NUM!</v>
      </c>
      <c r="AN150" s="59">
        <f ca="1">AVERAGE(OFFSET($AM$3,0,0,'Données projet'!$E$10+1,1))-AVERAGE(OFFSET($H$3,0,0,'Données projet'!$E$10+1,1))</f>
        <v>267.78121291362345</v>
      </c>
      <c r="AO150" s="59">
        <f t="shared" si="144"/>
        <v>320.1780590861174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0.71768831444950376</v>
      </c>
      <c r="AV150" s="21">
        <f>EXP(-LN(2)/25)*AV149+(1-EXP(-LN(2)/25))/(LN(2)/25)*Calculateur!AQ150*Calculateur!AS150*VLOOKUP('Données projet'!$B$10,Paramètres!$A$1:$I$89,3,0)*0.475*44/12</f>
        <v>0.78275884741515878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1.5004471618646624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8.5265128291212022E-14</v>
      </c>
      <c r="BE150" s="13">
        <f>BD150*VLOOKUP('Données projet'!$B$11,Paramètres!$A$1:$I$89,3,0)*VLOOKUP('Données projet'!$B$11,Paramètres!$A$1:$I$89,5,0)</f>
        <v>7.4487616075202836E-14</v>
      </c>
      <c r="BF150" s="13">
        <f t="shared" si="145"/>
        <v>1.1580453144473142E-12</v>
      </c>
      <c r="BG150" s="20">
        <f t="shared" si="115"/>
        <v>2.1466615206600508E-12</v>
      </c>
      <c r="BH150" s="59">
        <f t="shared" si="116"/>
        <v>293.33333333333547</v>
      </c>
      <c r="BI150" s="59">
        <f ca="1">AVERAGE(OFFSET($BH$3,0,0,'Données projet'!$E$11+1,1))-AVERAGE(OFFSET($H$3,0,0,'Données projet'!$E$11+1,1))</f>
        <v>212.82470567725971</v>
      </c>
      <c r="BJ150" s="59">
        <f t="shared" si="146"/>
        <v>196.91968622092054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9.9785281300926093E-2</v>
      </c>
      <c r="BQ150" s="21">
        <f>EXP(-LN(2)/25)*BQ149+(1-EXP(-LN(2)/25))/(LN(2)/25)*Calculateur!BL150*Calculateur!BN150*VLOOKUP('Données projet'!$B$11,Paramètres!$A$1:$I$89,3,0)*0.475*44/12</f>
        <v>0.15930738003305192</v>
      </c>
      <c r="BR150" s="21">
        <f>EXP(-LN(2)/2)*BR149+(1-EXP(-LN(2)/2))/(LN(2)/2)*BL150*BO150*VLOOKUP('Données projet'!$B$11,Paramètres!$A$1:$I$89,3,0)*0.475*44/12</f>
        <v>0</v>
      </c>
      <c r="BS150" s="22">
        <f t="shared" si="117"/>
        <v>0.25909266133397801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25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69.26400000000028</v>
      </c>
      <c r="D151" s="11">
        <f t="shared" si="140"/>
        <v>19.490570545800512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685.12300070442723</v>
      </c>
      <c r="H151" s="67">
        <f t="shared" si="110"/>
        <v>447.91421036726967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5.6843418860808015E-13</v>
      </c>
      <c r="O151" s="13">
        <f>N151*VLOOKUP('Données projet'!$B$9,Paramètres!$A$1:$I$89,3,0)*VLOOKUP('Données projet'!$B$9,Paramètres!$A$1:$I$89,5,0)</f>
        <v>2.2907897800905631E-13</v>
      </c>
      <c r="P151" s="13">
        <f t="shared" si="141"/>
        <v>3.1248920576624499E-12</v>
      </c>
      <c r="Q151" s="20">
        <f t="shared" si="108"/>
        <v>5.8414995537945398E-12</v>
      </c>
      <c r="R151" s="59">
        <f t="shared" si="109"/>
        <v>293.33333333333917</v>
      </c>
      <c r="S151" s="59">
        <f ca="1">AVERAGE(OFFSET($R$3,0,0,'Données projet'!$E$9+1,1))-AVERAGE(OFFSET($H$3,0,0,'Données projet'!$E$9+1,1))</f>
        <v>321.12254860105566</v>
      </c>
      <c r="T151" s="59">
        <f t="shared" si="142"/>
        <v>270.52026164274571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1.2760908508042308</v>
      </c>
      <c r="AA151" s="21">
        <f>EXP(-LN(2)/25)*AA150+(1-EXP(-LN(2)/25))/(LN(2)/25)*Calculateur!V151*Calculateur!X151*VLOOKUP('Données projet'!$B$9,Paramètres!$A$1:$I$89,3,0)*0.475*44/12</f>
        <v>0.78238387438466173</v>
      </c>
      <c r="AB151" s="21">
        <f>EXP(-LN(2)/2)*AB150+(1-EXP(-LN(2)/2))/(LN(2)/2)*V151*Y151*VLOOKUP('Données projet'!$B$9,Paramètres!$A$1:$I$89,3,0)*0.475*44/12</f>
        <v>0</v>
      </c>
      <c r="AC151" s="22">
        <f t="shared" si="111"/>
        <v>2.0584747251888924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-3.4106051316484809E-13</v>
      </c>
      <c r="AJ151" s="13">
        <f>AI151*VLOOKUP('Données projet'!$B$10,Paramètres!$A$1:$I$89,3,0)*VLOOKUP('Données projet'!$B$10,Paramètres!$A$1:$I$89,5,0)</f>
        <v>-1.5961632016114892E-13</v>
      </c>
      <c r="AK151" s="13" t="e">
        <f t="shared" si="143"/>
        <v>#NUM!</v>
      </c>
      <c r="AL151" s="20" t="e">
        <f t="shared" si="112"/>
        <v>#NUM!</v>
      </c>
      <c r="AM151" s="59" t="e">
        <f t="shared" si="113"/>
        <v>#NUM!</v>
      </c>
      <c r="AN151" s="59">
        <f ca="1">AVERAGE(OFFSET($AM$3,0,0,'Données projet'!$E$10+1,1))-AVERAGE(OFFSET($H$3,0,0,'Données projet'!$E$10+1,1))</f>
        <v>267.78121291362345</v>
      </c>
      <c r="AO151" s="59">
        <f t="shared" si="144"/>
        <v>320.1780590861174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0.70361488434979691</v>
      </c>
      <c r="AV151" s="21">
        <f>EXP(-LN(2)/25)*AV150+(1-EXP(-LN(2)/25))/(LN(2)/25)*Calculateur!AQ151*Calculateur!AS151*VLOOKUP('Données projet'!$B$10,Paramètres!$A$1:$I$89,3,0)*0.475*44/12</f>
        <v>0.76135426556909247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1.4649691499188893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8.5265128291212022E-14</v>
      </c>
      <c r="BE151" s="13">
        <f>BD151*VLOOKUP('Données projet'!$B$11,Paramètres!$A$1:$I$89,3,0)*VLOOKUP('Données projet'!$B$11,Paramètres!$A$1:$I$89,5,0)</f>
        <v>7.4487616075202836E-14</v>
      </c>
      <c r="BF151" s="13">
        <f t="shared" si="145"/>
        <v>1.1580453144473142E-12</v>
      </c>
      <c r="BG151" s="20">
        <f t="shared" si="115"/>
        <v>2.1466615206600508E-12</v>
      </c>
      <c r="BH151" s="59">
        <f t="shared" si="116"/>
        <v>293.33333333333547</v>
      </c>
      <c r="BI151" s="59">
        <f ca="1">AVERAGE(OFFSET($BH$3,0,0,'Données projet'!$E$11+1,1))-AVERAGE(OFFSET($H$3,0,0,'Données projet'!$E$11+1,1))</f>
        <v>212.82470567725971</v>
      </c>
      <c r="BJ151" s="59">
        <f t="shared" si="146"/>
        <v>196.91968622092054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9.7828552797626797E-2</v>
      </c>
      <c r="BQ151" s="21">
        <f>EXP(-LN(2)/25)*BQ150+(1-EXP(-LN(2)/25))/(LN(2)/25)*Calculateur!BL151*Calculateur!BN151*VLOOKUP('Données projet'!$B$11,Paramètres!$A$1:$I$89,3,0)*0.475*44/12</f>
        <v>0.15495111134843711</v>
      </c>
      <c r="BR151" s="21">
        <f>EXP(-LN(2)/2)*BR150+(1-EXP(-LN(2)/2))/(LN(2)/2)*BL151*BO151*VLOOKUP('Données projet'!$B$11,Paramètres!$A$1:$I$89,3,0)*0.475*44/12</f>
        <v>0</v>
      </c>
      <c r="BS151" s="22">
        <f t="shared" si="117"/>
        <v>0.2527796641460639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25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69.732000000000284</v>
      </c>
      <c r="D152" s="11">
        <f t="shared" si="140"/>
        <v>19.606888874982584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689.63352815776261</v>
      </c>
      <c r="H152" s="67">
        <f t="shared" si="110"/>
        <v>448.93189812392848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5.6843418860808015E-13</v>
      </c>
      <c r="O152" s="13">
        <f>N152*VLOOKUP('Données projet'!$B$9,Paramètres!$A$1:$I$89,3,0)*VLOOKUP('Données projet'!$B$9,Paramètres!$A$1:$I$89,5,0)</f>
        <v>2.2907897800905631E-13</v>
      </c>
      <c r="P152" s="13">
        <f t="shared" si="141"/>
        <v>3.1248920576624499E-12</v>
      </c>
      <c r="Q152" s="20">
        <f t="shared" si="108"/>
        <v>5.8414995537945398E-12</v>
      </c>
      <c r="R152" s="59">
        <f t="shared" si="109"/>
        <v>293.33333333333917</v>
      </c>
      <c r="S152" s="59">
        <f ca="1">AVERAGE(OFFSET($R$3,0,0,'Données projet'!$E$9+1,1))-AVERAGE(OFFSET($H$3,0,0,'Données projet'!$E$9+1,1))</f>
        <v>321.12254860105566</v>
      </c>
      <c r="T152" s="59">
        <f t="shared" si="142"/>
        <v>270.52026164274571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1.2510674875585244</v>
      </c>
      <c r="AA152" s="21">
        <f>EXP(-LN(2)/25)*AA151+(1-EXP(-LN(2)/25))/(LN(2)/25)*Calculateur!V152*Calculateur!X152*VLOOKUP('Données projet'!$B$9,Paramètres!$A$1:$I$89,3,0)*0.475*44/12</f>
        <v>0.76098954619583337</v>
      </c>
      <c r="AB152" s="21">
        <f>EXP(-LN(2)/2)*AB151+(1-EXP(-LN(2)/2))/(LN(2)/2)*V152*Y152*VLOOKUP('Données projet'!$B$9,Paramètres!$A$1:$I$89,3,0)*0.475*44/12</f>
        <v>0</v>
      </c>
      <c r="AC152" s="22">
        <f t="shared" si="111"/>
        <v>2.012057033754358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-3.4106051316484809E-13</v>
      </c>
      <c r="AJ152" s="13">
        <f>AI152*VLOOKUP('Données projet'!$B$10,Paramètres!$A$1:$I$89,3,0)*VLOOKUP('Données projet'!$B$10,Paramètres!$A$1:$I$89,5,0)</f>
        <v>-1.5961632016114892E-13</v>
      </c>
      <c r="AK152" s="13" t="e">
        <f t="shared" si="143"/>
        <v>#NUM!</v>
      </c>
      <c r="AL152" s="20" t="e">
        <f t="shared" si="112"/>
        <v>#NUM!</v>
      </c>
      <c r="AM152" s="59" t="e">
        <f t="shared" si="113"/>
        <v>#NUM!</v>
      </c>
      <c r="AN152" s="59">
        <f ca="1">AVERAGE(OFFSET($AM$3,0,0,'Données projet'!$E$10+1,1))-AVERAGE(OFFSET($H$3,0,0,'Données projet'!$E$10+1,1))</f>
        <v>267.78121291362345</v>
      </c>
      <c r="AO152" s="59">
        <f t="shared" si="144"/>
        <v>320.1780590861174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0.68981742563040049</v>
      </c>
      <c r="AV152" s="21">
        <f>EXP(-LN(2)/25)*AV151+(1-EXP(-LN(2)/25))/(LN(2)/25)*Calculateur!AQ152*Calculateur!AS152*VLOOKUP('Données projet'!$B$10,Paramètres!$A$1:$I$89,3,0)*0.475*44/12</f>
        <v>0.74053499313922488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1.4303524187696253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8.5265128291212022E-14</v>
      </c>
      <c r="BE152" s="13">
        <f>BD152*VLOOKUP('Données projet'!$B$11,Paramètres!$A$1:$I$89,3,0)*VLOOKUP('Données projet'!$B$11,Paramètres!$A$1:$I$89,5,0)</f>
        <v>7.4487616075202836E-14</v>
      </c>
      <c r="BF152" s="13">
        <f t="shared" si="145"/>
        <v>1.1580453144473142E-12</v>
      </c>
      <c r="BG152" s="20">
        <f t="shared" si="115"/>
        <v>2.1466615206600508E-12</v>
      </c>
      <c r="BH152" s="59">
        <f t="shared" si="116"/>
        <v>293.33333333333547</v>
      </c>
      <c r="BI152" s="59">
        <f ca="1">AVERAGE(OFFSET($BH$3,0,0,'Données projet'!$E$11+1,1))-AVERAGE(OFFSET($H$3,0,0,'Données projet'!$E$11+1,1))</f>
        <v>212.82470567725971</v>
      </c>
      <c r="BJ152" s="59">
        <f t="shared" si="146"/>
        <v>196.91968622092054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9.5910194546790672E-2</v>
      </c>
      <c r="BQ152" s="21">
        <f>EXP(-LN(2)/25)*BQ151+(1-EXP(-LN(2)/25))/(LN(2)/25)*Calculateur!BL152*Calculateur!BN152*VLOOKUP('Données projet'!$B$11,Paramètres!$A$1:$I$89,3,0)*0.475*44/12</f>
        <v>0.1507139650600893</v>
      </c>
      <c r="BR152" s="21">
        <f>EXP(-LN(2)/2)*BR151+(1-EXP(-LN(2)/2))/(LN(2)/2)*BL152*BO152*VLOOKUP('Données projet'!$B$11,Paramètres!$A$1:$I$89,3,0)*0.475*44/12</f>
        <v>0</v>
      </c>
      <c r="BS152" s="22">
        <f t="shared" si="117"/>
        <v>0.24662415960687997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25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70.200000000000287</v>
      </c>
      <c r="D153" s="11">
        <f t="shared" si="140"/>
        <v>19.723116370112255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694.14335443595644</v>
      </c>
      <c r="H153" s="67">
        <f t="shared" si="110"/>
        <v>449.94942767794601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5.6843418860808015E-13</v>
      </c>
      <c r="O153" s="13">
        <f>N153*VLOOKUP('Données projet'!$B$9,Paramètres!$A$1:$I$89,3,0)*VLOOKUP('Données projet'!$B$9,Paramètres!$A$1:$I$89,5,0)</f>
        <v>2.2907897800905631E-13</v>
      </c>
      <c r="P153" s="13">
        <f t="shared" si="141"/>
        <v>3.1248920576624499E-12</v>
      </c>
      <c r="Q153" s="20">
        <f t="shared" si="108"/>
        <v>5.8414995537945398E-12</v>
      </c>
      <c r="R153" s="59">
        <f t="shared" si="109"/>
        <v>293.33333333333917</v>
      </c>
      <c r="S153" s="59">
        <f ca="1">AVERAGE(OFFSET($R$3,0,0,'Données projet'!$E$9+1,1))-AVERAGE(OFFSET($H$3,0,0,'Données projet'!$E$9+1,1))</f>
        <v>321.12254860105566</v>
      </c>
      <c r="T153" s="59">
        <f t="shared" si="142"/>
        <v>270.52026164274571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1.2265348172033217</v>
      </c>
      <c r="AA153" s="21">
        <f>EXP(-LN(2)/25)*AA152+(1-EXP(-LN(2)/25))/(LN(2)/25)*Calculateur!V153*Calculateur!X153*VLOOKUP('Données projet'!$B$9,Paramètres!$A$1:$I$89,3,0)*0.475*44/12</f>
        <v>0.74018024703640728</v>
      </c>
      <c r="AB153" s="21">
        <f>EXP(-LN(2)/2)*AB152+(1-EXP(-LN(2)/2))/(LN(2)/2)*V153*Y153*VLOOKUP('Données projet'!$B$9,Paramètres!$A$1:$I$89,3,0)*0.475*44/12</f>
        <v>0</v>
      </c>
      <c r="AC153" s="22">
        <f t="shared" si="111"/>
        <v>1.9667150642397289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-3.4106051316484809E-13</v>
      </c>
      <c r="AJ153" s="13">
        <f>AI153*VLOOKUP('Données projet'!$B$10,Paramètres!$A$1:$I$89,3,0)*VLOOKUP('Données projet'!$B$10,Paramètres!$A$1:$I$89,5,0)</f>
        <v>-1.5961632016114892E-13</v>
      </c>
      <c r="AK153" s="13" t="e">
        <f t="shared" si="143"/>
        <v>#NUM!</v>
      </c>
      <c r="AL153" s="20" t="e">
        <f t="shared" si="112"/>
        <v>#NUM!</v>
      </c>
      <c r="AM153" s="59" t="e">
        <f t="shared" si="113"/>
        <v>#NUM!</v>
      </c>
      <c r="AN153" s="59">
        <f ca="1">AVERAGE(OFFSET($AM$3,0,0,'Données projet'!$E$10+1,1))-AVERAGE(OFFSET($H$3,0,0,'Données projet'!$E$10+1,1))</f>
        <v>267.78121291362345</v>
      </c>
      <c r="AO153" s="59">
        <f t="shared" si="144"/>
        <v>320.1780590861174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0.67629052666087264</v>
      </c>
      <c r="AV153" s="21">
        <f>EXP(-LN(2)/25)*AV152+(1-EXP(-LN(2)/25))/(LN(2)/25)*Calculateur!AQ153*Calculateur!AS153*VLOOKUP('Données projet'!$B$10,Paramètres!$A$1:$I$89,3,0)*0.475*44/12</f>
        <v>0.72028502480878998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1.3965755514696627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8.5265128291212022E-14</v>
      </c>
      <c r="BE153" s="13">
        <f>BD153*VLOOKUP('Données projet'!$B$11,Paramètres!$A$1:$I$89,3,0)*VLOOKUP('Données projet'!$B$11,Paramètres!$A$1:$I$89,5,0)</f>
        <v>7.4487616075202836E-14</v>
      </c>
      <c r="BF153" s="13">
        <f t="shared" si="145"/>
        <v>1.1580453144473142E-12</v>
      </c>
      <c r="BG153" s="20">
        <f t="shared" si="115"/>
        <v>2.1466615206600508E-12</v>
      </c>
      <c r="BH153" s="59">
        <f t="shared" si="116"/>
        <v>293.33333333333547</v>
      </c>
      <c r="BI153" s="59">
        <f ca="1">AVERAGE(OFFSET($BH$3,0,0,'Données projet'!$E$11+1,1))-AVERAGE(OFFSET($H$3,0,0,'Données projet'!$E$11+1,1))</f>
        <v>212.82470567725971</v>
      </c>
      <c r="BJ153" s="59">
        <f t="shared" si="146"/>
        <v>196.91968622092054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9.4029454131170434E-2</v>
      </c>
      <c r="BQ153" s="21">
        <f>EXP(-LN(2)/25)*BQ152+(1-EXP(-LN(2)/25))/(LN(2)/25)*Calculateur!BL153*Calculateur!BN153*VLOOKUP('Données projet'!$B$11,Paramètres!$A$1:$I$89,3,0)*0.475*44/12</f>
        <v>0.14659268375981821</v>
      </c>
      <c r="BR153" s="21">
        <f>EXP(-LN(2)/2)*BR152+(1-EXP(-LN(2)/2))/(LN(2)/2)*BL153*BO153*VLOOKUP('Données projet'!$B$11,Paramètres!$A$1:$I$89,3,0)*0.475*44/12</f>
        <v>0</v>
      </c>
      <c r="BS153" s="22">
        <f t="shared" si="117"/>
        <v>0.24062213789098863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25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70.668000000000291</v>
      </c>
      <c r="D154" s="11">
        <f t="shared" si="140"/>
        <v>19.839253706984934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698.65248475567535</v>
      </c>
      <c r="H154" s="67">
        <f t="shared" si="110"/>
        <v>450.96680020633255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5.6843418860808015E-13</v>
      </c>
      <c r="O154" s="13">
        <f>N154*VLOOKUP('Données projet'!$B$9,Paramètres!$A$1:$I$89,3,0)*VLOOKUP('Données projet'!$B$9,Paramètres!$A$1:$I$89,5,0)</f>
        <v>2.2907897800905631E-13</v>
      </c>
      <c r="P154" s="13">
        <f t="shared" si="141"/>
        <v>3.1248920576624499E-12</v>
      </c>
      <c r="Q154" s="20">
        <f t="shared" ref="Q154:Q203" si="162">(O154+P154)*0.475*44/12</f>
        <v>5.8414995537945398E-12</v>
      </c>
      <c r="R154" s="59">
        <f t="shared" si="109"/>
        <v>293.33333333333917</v>
      </c>
      <c r="S154" s="59">
        <f ca="1">AVERAGE(OFFSET($R$3,0,0,'Données projet'!$E$9+1,1))-AVERAGE(OFFSET($H$3,0,0,'Données projet'!$E$9+1,1))</f>
        <v>321.12254860105566</v>
      </c>
      <c r="T154" s="59">
        <f t="shared" si="142"/>
        <v>270.52026164274571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1.2024832175503331</v>
      </c>
      <c r="AA154" s="21">
        <f>EXP(-LN(2)/25)*AA153+(1-EXP(-LN(2)/25))/(LN(2)/25)*Calculateur!V154*Calculateur!X154*VLOOKUP('Données projet'!$B$9,Paramètres!$A$1:$I$89,3,0)*0.475*44/12</f>
        <v>0.71993997925680919</v>
      </c>
      <c r="AB154" s="21">
        <f>EXP(-LN(2)/2)*AB153+(1-EXP(-LN(2)/2))/(LN(2)/2)*V154*Y154*VLOOKUP('Données projet'!$B$9,Paramètres!$A$1:$I$89,3,0)*0.475*44/12</f>
        <v>0</v>
      </c>
      <c r="AC154" s="22">
        <f t="shared" ref="AC154:AC203" si="163">SUM(Z154:AB154)</f>
        <v>1.9224231968071424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-3.4106051316484809E-13</v>
      </c>
      <c r="AJ154" s="13">
        <f>AI154*VLOOKUP('Données projet'!$B$10,Paramètres!$A$1:$I$89,3,0)*VLOOKUP('Données projet'!$B$10,Paramètres!$A$1:$I$89,5,0)</f>
        <v>-1.5961632016114892E-13</v>
      </c>
      <c r="AK154" s="13" t="e">
        <f t="shared" ref="AK154:AK203" si="164">EXP(-1.0587+0.8836*LN(AJ154)+0.284)</f>
        <v>#NUM!</v>
      </c>
      <c r="AL154" s="20" t="e">
        <f t="shared" ref="AL154:AL203" si="165">(AJ154+AK154)*0.475*44/12</f>
        <v>#NUM!</v>
      </c>
      <c r="AM154" s="59" t="e">
        <f t="shared" si="113"/>
        <v>#NUM!</v>
      </c>
      <c r="AN154" s="59">
        <f ca="1">AVERAGE(OFFSET($AM$3,0,0,'Données projet'!$E$10+1,1))-AVERAGE(OFFSET($H$3,0,0,'Données projet'!$E$10+1,1))</f>
        <v>267.78121291362345</v>
      </c>
      <c r="AO154" s="59">
        <f t="shared" si="144"/>
        <v>320.1780590861174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0.66302888192954357</v>
      </c>
      <c r="AV154" s="21">
        <f>EXP(-LN(2)/25)*AV153+(1-EXP(-LN(2)/25))/(LN(2)/25)*Calculateur!AQ154*Calculateur!AS154*VLOOKUP('Données projet'!$B$10,Paramètres!$A$1:$I$89,3,0)*0.475*44/12</f>
        <v>0.7005887929272504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1.3636176748567941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8.5265128291212022E-14</v>
      </c>
      <c r="BE154" s="13">
        <f>BD154*VLOOKUP('Données projet'!$B$11,Paramètres!$A$1:$I$89,3,0)*VLOOKUP('Données projet'!$B$11,Paramètres!$A$1:$I$89,5,0)</f>
        <v>7.4487616075202836E-14</v>
      </c>
      <c r="BF154" s="13">
        <f t="shared" ref="BF154:BF203" si="167">EXP(-1.0587+0.8836*LN(BE154)+0.284)</f>
        <v>1.1580453144473142E-12</v>
      </c>
      <c r="BG154" s="20">
        <f t="shared" ref="BG154:BG203" si="168">(BE154+BF154)*0.475*44/12</f>
        <v>2.1466615206600508E-12</v>
      </c>
      <c r="BH154" s="59">
        <f t="shared" si="116"/>
        <v>293.33333333333547</v>
      </c>
      <c r="BI154" s="59">
        <f ca="1">AVERAGE(OFFSET($BH$3,0,0,'Données projet'!$E$11+1,1))-AVERAGE(OFFSET($H$3,0,0,'Données projet'!$E$11+1,1))</f>
        <v>212.82470567725971</v>
      </c>
      <c r="BJ154" s="59">
        <f t="shared" si="146"/>
        <v>196.91968622092054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9.2185593887962131E-2</v>
      </c>
      <c r="BQ154" s="21">
        <f>EXP(-LN(2)/25)*BQ153+(1-EXP(-LN(2)/25))/(LN(2)/25)*Calculateur!BL154*Calculateur!BN154*VLOOKUP('Données projet'!$B$11,Paramètres!$A$1:$I$89,3,0)*0.475*44/12</f>
        <v>0.14258409911343178</v>
      </c>
      <c r="BR154" s="21">
        <f>EXP(-LN(2)/2)*BR153+(1-EXP(-LN(2)/2))/(LN(2)/2)*BL154*BO154*VLOOKUP('Données projet'!$B$11,Paramètres!$A$1:$I$89,3,0)*0.475*44/12</f>
        <v>0</v>
      </c>
      <c r="BS154" s="22">
        <f t="shared" ref="BS154:BS203" si="169">SUM(BP154:BR154)</f>
        <v>0.23476969300139391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25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71.136000000000294</v>
      </c>
      <c r="D155" s="11">
        <f t="shared" si="140"/>
        <v>19.955301551927551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703.16092426049556</v>
      </c>
      <c r="H155" s="67">
        <f t="shared" si="110"/>
        <v>451.98401686960767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5.6843418860808015E-13</v>
      </c>
      <c r="O155" s="13">
        <f>N155*VLOOKUP('Données projet'!$B$9,Paramètres!$A$1:$I$89,3,0)*VLOOKUP('Données projet'!$B$9,Paramètres!$A$1:$I$89,5,0)</f>
        <v>2.2907897800905631E-13</v>
      </c>
      <c r="P155" s="13">
        <f t="shared" si="141"/>
        <v>3.1248920576624499E-12</v>
      </c>
      <c r="Q155" s="20">
        <f t="shared" si="162"/>
        <v>5.8414995537945398E-12</v>
      </c>
      <c r="R155" s="59">
        <f t="shared" si="109"/>
        <v>293.33333333333917</v>
      </c>
      <c r="S155" s="59">
        <f ca="1">AVERAGE(OFFSET($R$3,0,0,'Données projet'!$E$9+1,1))-AVERAGE(OFFSET($H$3,0,0,'Données projet'!$E$9+1,1))</f>
        <v>321.12254860105566</v>
      </c>
      <c r="T155" s="59">
        <f t="shared" si="142"/>
        <v>270.52026164274571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1.1789032550965124</v>
      </c>
      <c r="AA155" s="21">
        <f>EXP(-LN(2)/25)*AA154+(1-EXP(-LN(2)/25))/(LN(2)/25)*Calculateur!V155*Calculateur!X155*VLOOKUP('Données projet'!$B$9,Paramètres!$A$1:$I$89,3,0)*0.475*44/12</f>
        <v>0.70025318266403369</v>
      </c>
      <c r="AB155" s="21">
        <f>EXP(-LN(2)/2)*AB154+(1-EXP(-LN(2)/2))/(LN(2)/2)*V155*Y155*VLOOKUP('Données projet'!$B$9,Paramètres!$A$1:$I$89,3,0)*0.475*44/12</f>
        <v>0</v>
      </c>
      <c r="AC155" s="22">
        <f t="shared" si="163"/>
        <v>1.8791564377605461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-3.4106051316484809E-13</v>
      </c>
      <c r="AJ155" s="13">
        <f>AI155*VLOOKUP('Données projet'!$B$10,Paramètres!$A$1:$I$89,3,0)*VLOOKUP('Données projet'!$B$10,Paramètres!$A$1:$I$89,5,0)</f>
        <v>-1.5961632016114892E-13</v>
      </c>
      <c r="AK155" s="13" t="e">
        <f t="shared" si="164"/>
        <v>#NUM!</v>
      </c>
      <c r="AL155" s="20" t="e">
        <f t="shared" si="165"/>
        <v>#NUM!</v>
      </c>
      <c r="AM155" s="59" t="e">
        <f t="shared" si="113"/>
        <v>#NUM!</v>
      </c>
      <c r="AN155" s="59">
        <f ca="1">AVERAGE(OFFSET($AM$3,0,0,'Données projet'!$E$10+1,1))-AVERAGE(OFFSET($H$3,0,0,'Données projet'!$E$10+1,1))</f>
        <v>267.78121291362345</v>
      </c>
      <c r="AO155" s="59">
        <f t="shared" si="144"/>
        <v>320.1780590861174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0.65002728996259129</v>
      </c>
      <c r="AV155" s="21">
        <f>EXP(-LN(2)/25)*AV154+(1-EXP(-LN(2)/25))/(LN(2)/25)*Calculateur!AQ155*Calculateur!AS155*VLOOKUP('Données projet'!$B$10,Paramètres!$A$1:$I$89,3,0)*0.475*44/12</f>
        <v>0.68143115554229139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1.3314584455048828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8.5265128291212022E-14</v>
      </c>
      <c r="BE155" s="13">
        <f>BD155*VLOOKUP('Données projet'!$B$11,Paramètres!$A$1:$I$89,3,0)*VLOOKUP('Données projet'!$B$11,Paramètres!$A$1:$I$89,5,0)</f>
        <v>7.4487616075202836E-14</v>
      </c>
      <c r="BF155" s="13">
        <f t="shared" si="167"/>
        <v>1.1580453144473142E-12</v>
      </c>
      <c r="BG155" s="20">
        <f t="shared" si="168"/>
        <v>2.1466615206600508E-12</v>
      </c>
      <c r="BH155" s="59">
        <f t="shared" si="116"/>
        <v>293.33333333333547</v>
      </c>
      <c r="BI155" s="59">
        <f ca="1">AVERAGE(OFFSET($BH$3,0,0,'Données projet'!$E$11+1,1))-AVERAGE(OFFSET($H$3,0,0,'Données projet'!$E$11+1,1))</f>
        <v>212.82470567725971</v>
      </c>
      <c r="BJ155" s="59">
        <f t="shared" si="146"/>
        <v>196.91968622092054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9.0377890619479442E-2</v>
      </c>
      <c r="BQ155" s="21">
        <f>EXP(-LN(2)/25)*BQ154+(1-EXP(-LN(2)/25))/(LN(2)/25)*Calculateur!BL155*Calculateur!BN155*VLOOKUP('Données projet'!$B$11,Paramètres!$A$1:$I$89,3,0)*0.475*44/12</f>
        <v>0.13868512942500311</v>
      </c>
      <c r="BR155" s="21">
        <f>EXP(-LN(2)/2)*BR154+(1-EXP(-LN(2)/2))/(LN(2)/2)*BL155*BO155*VLOOKUP('Données projet'!$B$11,Paramètres!$A$1:$I$89,3,0)*0.475*44/12</f>
        <v>0</v>
      </c>
      <c r="BS155" s="22">
        <f t="shared" si="169"/>
        <v>0.22906302004448253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25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71.604000000000298</v>
      </c>
      <c r="D156" s="11">
        <f t="shared" si="140"/>
        <v>20.071260561992666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707.66867802240176</v>
      </c>
      <c r="H156" s="67">
        <f t="shared" si="110"/>
        <v>453.00107881213773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5.6843418860808015E-13</v>
      </c>
      <c r="O156" s="13">
        <f>N156*VLOOKUP('Données projet'!$B$9,Paramètres!$A$1:$I$89,3,0)*VLOOKUP('Données projet'!$B$9,Paramètres!$A$1:$I$89,5,0)</f>
        <v>2.2907897800905631E-13</v>
      </c>
      <c r="P156" s="13">
        <f t="shared" si="141"/>
        <v>3.1248920576624499E-12</v>
      </c>
      <c r="Q156" s="20">
        <f t="shared" si="162"/>
        <v>5.8414995537945398E-12</v>
      </c>
      <c r="R156" s="59">
        <f t="shared" si="109"/>
        <v>293.33333333333917</v>
      </c>
      <c r="S156" s="59">
        <f ca="1">AVERAGE(OFFSET($R$3,0,0,'Données projet'!$E$9+1,1))-AVERAGE(OFFSET($H$3,0,0,'Données projet'!$E$9+1,1))</f>
        <v>321.12254860105566</v>
      </c>
      <c r="T156" s="59">
        <f t="shared" si="142"/>
        <v>270.52026164274571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1.1557856813240541</v>
      </c>
      <c r="AA156" s="21">
        <f>EXP(-LN(2)/25)*AA155+(1-EXP(-LN(2)/25))/(LN(2)/25)*Calculateur!V156*Calculateur!X156*VLOOKUP('Données projet'!$B$9,Paramètres!$A$1:$I$89,3,0)*0.475*44/12</f>
        <v>0.68110472255937127</v>
      </c>
      <c r="AB156" s="21">
        <f>EXP(-LN(2)/2)*AB155+(1-EXP(-LN(2)/2))/(LN(2)/2)*V156*Y156*VLOOKUP('Données projet'!$B$9,Paramètres!$A$1:$I$89,3,0)*0.475*44/12</f>
        <v>0</v>
      </c>
      <c r="AC156" s="22">
        <f t="shared" si="163"/>
        <v>1.8368904038834253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-3.4106051316484809E-13</v>
      </c>
      <c r="AJ156" s="13">
        <f>AI156*VLOOKUP('Données projet'!$B$10,Paramètres!$A$1:$I$89,3,0)*VLOOKUP('Données projet'!$B$10,Paramètres!$A$1:$I$89,5,0)</f>
        <v>-1.5961632016114892E-13</v>
      </c>
      <c r="AK156" s="13" t="e">
        <f t="shared" si="164"/>
        <v>#NUM!</v>
      </c>
      <c r="AL156" s="20" t="e">
        <f t="shared" si="165"/>
        <v>#NUM!</v>
      </c>
      <c r="AM156" s="59" t="e">
        <f t="shared" si="113"/>
        <v>#NUM!</v>
      </c>
      <c r="AN156" s="59">
        <f ca="1">AVERAGE(OFFSET($AM$3,0,0,'Données projet'!$E$10+1,1))-AVERAGE(OFFSET($H$3,0,0,'Données projet'!$E$10+1,1))</f>
        <v>267.78121291362345</v>
      </c>
      <c r="AO156" s="59">
        <f t="shared" si="144"/>
        <v>320.1780590861174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0.63728065128392286</v>
      </c>
      <c r="AV156" s="21">
        <f>EXP(-LN(2)/25)*AV155+(1-EXP(-LN(2)/25))/(LN(2)/25)*Calculateur!AQ156*Calculateur!AS156*VLOOKUP('Données projet'!$B$10,Paramètres!$A$1:$I$89,3,0)*0.475*44/12</f>
        <v>0.66279738475908034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1.3000780360430033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8.5265128291212022E-14</v>
      </c>
      <c r="BE156" s="13">
        <f>BD156*VLOOKUP('Données projet'!$B$11,Paramètres!$A$1:$I$89,3,0)*VLOOKUP('Données projet'!$B$11,Paramètres!$A$1:$I$89,5,0)</f>
        <v>7.4487616075202836E-14</v>
      </c>
      <c r="BF156" s="13">
        <f t="shared" si="167"/>
        <v>1.1580453144473142E-12</v>
      </c>
      <c r="BG156" s="20">
        <f t="shared" si="168"/>
        <v>2.1466615206600508E-12</v>
      </c>
      <c r="BH156" s="59">
        <f t="shared" si="116"/>
        <v>293.33333333333547</v>
      </c>
      <c r="BI156" s="59">
        <f ca="1">AVERAGE(OFFSET($BH$3,0,0,'Données projet'!$E$11+1,1))-AVERAGE(OFFSET($H$3,0,0,'Données projet'!$E$11+1,1))</f>
        <v>212.82470567725971</v>
      </c>
      <c r="BJ156" s="59">
        <f t="shared" si="146"/>
        <v>196.91968622092054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8.8605635309501579E-2</v>
      </c>
      <c r="BQ156" s="21">
        <f>EXP(-LN(2)/25)*BQ155+(1-EXP(-LN(2)/25))/(LN(2)/25)*Calculateur!BL156*Calculateur!BN156*VLOOKUP('Données projet'!$B$11,Paramètres!$A$1:$I$89,3,0)*0.475*44/12</f>
        <v>0.1348927772677424</v>
      </c>
      <c r="BR156" s="21">
        <f>EXP(-LN(2)/2)*BR155+(1-EXP(-LN(2)/2))/(LN(2)/2)*BL156*BO156*VLOOKUP('Données projet'!$B$11,Paramètres!$A$1:$I$89,3,0)*0.475*44/12</f>
        <v>0</v>
      </c>
      <c r="BS156" s="22">
        <f t="shared" si="169"/>
        <v>0.22349841257724398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25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72.072000000000301</v>
      </c>
      <c r="D157" s="11">
        <f t="shared" si="140"/>
        <v>20.18713138514735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712.17575104324499</v>
      </c>
      <c r="H157" s="67">
        <f t="shared" si="110"/>
        <v>454.01798716246549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5.6843418860808015E-13</v>
      </c>
      <c r="O157" s="13">
        <f>N157*VLOOKUP('Données projet'!$B$9,Paramètres!$A$1:$I$89,3,0)*VLOOKUP('Données projet'!$B$9,Paramètres!$A$1:$I$89,5,0)</f>
        <v>2.2907897800905631E-13</v>
      </c>
      <c r="P157" s="13">
        <f t="shared" si="141"/>
        <v>3.1248920576624499E-12</v>
      </c>
      <c r="Q157" s="20">
        <f t="shared" si="162"/>
        <v>5.8414995537945398E-12</v>
      </c>
      <c r="R157" s="59">
        <f t="shared" si="109"/>
        <v>293.33333333333917</v>
      </c>
      <c r="S157" s="59">
        <f ca="1">AVERAGE(OFFSET($R$3,0,0,'Données projet'!$E$9+1,1))-AVERAGE(OFFSET($H$3,0,0,'Données projet'!$E$9+1,1))</f>
        <v>321.12254860105566</v>
      </c>
      <c r="T157" s="59">
        <f t="shared" si="142"/>
        <v>270.52026164274571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1.1331214290729461</v>
      </c>
      <c r="AA157" s="21">
        <f>EXP(-LN(2)/25)*AA156+(1-EXP(-LN(2)/25))/(LN(2)/25)*Calculateur!V157*Calculateur!X157*VLOOKUP('Données projet'!$B$9,Paramètres!$A$1:$I$89,3,0)*0.475*44/12</f>
        <v>0.6624798781032446</v>
      </c>
      <c r="AB157" s="21">
        <f>EXP(-LN(2)/2)*AB156+(1-EXP(-LN(2)/2))/(LN(2)/2)*V157*Y157*VLOOKUP('Données projet'!$B$9,Paramètres!$A$1:$I$89,3,0)*0.475*44/12</f>
        <v>0</v>
      </c>
      <c r="AC157" s="22">
        <f t="shared" si="163"/>
        <v>1.7956013071761907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-3.4106051316484809E-13</v>
      </c>
      <c r="AJ157" s="13">
        <f>AI157*VLOOKUP('Données projet'!$B$10,Paramètres!$A$1:$I$89,3,0)*VLOOKUP('Données projet'!$B$10,Paramètres!$A$1:$I$89,5,0)</f>
        <v>-1.5961632016114892E-13</v>
      </c>
      <c r="AK157" s="13" t="e">
        <f t="shared" si="164"/>
        <v>#NUM!</v>
      </c>
      <c r="AL157" s="20" t="e">
        <f t="shared" si="165"/>
        <v>#NUM!</v>
      </c>
      <c r="AM157" s="59" t="e">
        <f t="shared" si="113"/>
        <v>#NUM!</v>
      </c>
      <c r="AN157" s="59">
        <f ca="1">AVERAGE(OFFSET($AM$3,0,0,'Données projet'!$E$10+1,1))-AVERAGE(OFFSET($H$3,0,0,'Données projet'!$E$10+1,1))</f>
        <v>267.78121291362345</v>
      </c>
      <c r="AO157" s="59">
        <f t="shared" si="144"/>
        <v>320.1780590861174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0.62478396641506118</v>
      </c>
      <c r="AV157" s="21">
        <f>EXP(-LN(2)/25)*AV156+(1-EXP(-LN(2)/25))/(LN(2)/25)*Calculateur!AQ157*Calculateur!AS157*VLOOKUP('Données projet'!$B$10,Paramètres!$A$1:$I$89,3,0)*0.475*44/12</f>
        <v>0.64467315541784365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1.2694571218329047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8.5265128291212022E-14</v>
      </c>
      <c r="BE157" s="13">
        <f>BD157*VLOOKUP('Données projet'!$B$11,Paramètres!$A$1:$I$89,3,0)*VLOOKUP('Données projet'!$B$11,Paramètres!$A$1:$I$89,5,0)</f>
        <v>7.4487616075202836E-14</v>
      </c>
      <c r="BF157" s="13">
        <f t="shared" si="167"/>
        <v>1.1580453144473142E-12</v>
      </c>
      <c r="BG157" s="20">
        <f t="shared" si="168"/>
        <v>2.1466615206600508E-12</v>
      </c>
      <c r="BH157" s="59">
        <f t="shared" si="116"/>
        <v>293.33333333333547</v>
      </c>
      <c r="BI157" s="59">
        <f ca="1">AVERAGE(OFFSET($BH$3,0,0,'Données projet'!$E$11+1,1))-AVERAGE(OFFSET($H$3,0,0,'Données projet'!$E$11+1,1))</f>
        <v>212.82470567725971</v>
      </c>
      <c r="BJ157" s="59">
        <f t="shared" si="146"/>
        <v>196.91968622092054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8.6868132845183382E-2</v>
      </c>
      <c r="BQ157" s="21">
        <f>EXP(-LN(2)/25)*BQ156+(1-EXP(-LN(2)/25))/(LN(2)/25)*Calculateur!BL157*Calculateur!BN157*VLOOKUP('Données projet'!$B$11,Paramètres!$A$1:$I$89,3,0)*0.475*44/12</f>
        <v>0.13120412717965313</v>
      </c>
      <c r="BR157" s="21">
        <f>EXP(-LN(2)/2)*BR156+(1-EXP(-LN(2)/2))/(LN(2)/2)*BL157*BO157*VLOOKUP('Données projet'!$B$11,Paramètres!$A$1:$I$89,3,0)*0.475*44/12</f>
        <v>0</v>
      </c>
      <c r="BS157" s="22">
        <f t="shared" si="169"/>
        <v>0.21807226002483651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25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72.540000000000305</v>
      </c>
      <c r="D158" s="11">
        <f t="shared" si="140"/>
        <v>20.302914660456867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716.68214825616053</v>
      </c>
      <c r="H158" s="67">
        <f t="shared" si="110"/>
        <v>455.03474303362952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5.6843418860808015E-13</v>
      </c>
      <c r="O158" s="13">
        <f>N158*VLOOKUP('Données projet'!$B$9,Paramètres!$A$1:$I$89,3,0)*VLOOKUP('Données projet'!$B$9,Paramètres!$A$1:$I$89,5,0)</f>
        <v>2.2907897800905631E-13</v>
      </c>
      <c r="P158" s="13">
        <f t="shared" si="141"/>
        <v>3.1248920576624499E-12</v>
      </c>
      <c r="Q158" s="20">
        <f t="shared" si="162"/>
        <v>5.8414995537945398E-12</v>
      </c>
      <c r="R158" s="59">
        <f t="shared" si="109"/>
        <v>293.33333333333917</v>
      </c>
      <c r="S158" s="59">
        <f ca="1">AVERAGE(OFFSET($R$3,0,0,'Données projet'!$E$9+1,1))-AVERAGE(OFFSET($H$3,0,0,'Données projet'!$E$9+1,1))</f>
        <v>321.12254860105566</v>
      </c>
      <c r="T158" s="59">
        <f t="shared" si="142"/>
        <v>270.52026164274571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1.1109016089846533</v>
      </c>
      <c r="AA158" s="21">
        <f>EXP(-LN(2)/25)*AA157+(1-EXP(-LN(2)/25))/(LN(2)/25)*Calculateur!V158*Calculateur!X158*VLOOKUP('Données projet'!$B$9,Paramètres!$A$1:$I$89,3,0)*0.475*44/12</f>
        <v>0.64436433099820867</v>
      </c>
      <c r="AB158" s="21">
        <f>EXP(-LN(2)/2)*AB157+(1-EXP(-LN(2)/2))/(LN(2)/2)*V158*Y158*VLOOKUP('Données projet'!$B$9,Paramètres!$A$1:$I$89,3,0)*0.475*44/12</f>
        <v>0</v>
      </c>
      <c r="AC158" s="22">
        <f t="shared" si="163"/>
        <v>1.7552659399828618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-3.4106051316484809E-13</v>
      </c>
      <c r="AJ158" s="13">
        <f>AI158*VLOOKUP('Données projet'!$B$10,Paramètres!$A$1:$I$89,3,0)*VLOOKUP('Données projet'!$B$10,Paramètres!$A$1:$I$89,5,0)</f>
        <v>-1.5961632016114892E-13</v>
      </c>
      <c r="AK158" s="13" t="e">
        <f t="shared" si="164"/>
        <v>#NUM!</v>
      </c>
      <c r="AL158" s="20" t="e">
        <f t="shared" si="165"/>
        <v>#NUM!</v>
      </c>
      <c r="AM158" s="59" t="e">
        <f t="shared" si="113"/>
        <v>#NUM!</v>
      </c>
      <c r="AN158" s="59">
        <f ca="1">AVERAGE(OFFSET($AM$3,0,0,'Données projet'!$E$10+1,1))-AVERAGE(OFFSET($H$3,0,0,'Données projet'!$E$10+1,1))</f>
        <v>267.78121291362345</v>
      </c>
      <c r="AO158" s="59">
        <f t="shared" si="144"/>
        <v>320.1780590861174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0.61253233391425277</v>
      </c>
      <c r="AV158" s="21">
        <f>EXP(-LN(2)/25)*AV157+(1-EXP(-LN(2)/25))/(LN(2)/25)*Calculateur!AQ158*Calculateur!AS158*VLOOKUP('Données projet'!$B$10,Paramètres!$A$1:$I$89,3,0)*0.475*44/12</f>
        <v>0.62704453408105487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1.2395768679953076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8.5265128291212022E-14</v>
      </c>
      <c r="BE158" s="13">
        <f>BD158*VLOOKUP('Données projet'!$B$11,Paramètres!$A$1:$I$89,3,0)*VLOOKUP('Données projet'!$B$11,Paramètres!$A$1:$I$89,5,0)</f>
        <v>7.4487616075202836E-14</v>
      </c>
      <c r="BF158" s="13">
        <f t="shared" si="167"/>
        <v>1.1580453144473142E-12</v>
      </c>
      <c r="BG158" s="20">
        <f t="shared" si="168"/>
        <v>2.1466615206600508E-12</v>
      </c>
      <c r="BH158" s="59">
        <f t="shared" si="116"/>
        <v>293.33333333333547</v>
      </c>
      <c r="BI158" s="59">
        <f ca="1">AVERAGE(OFFSET($BH$3,0,0,'Données projet'!$E$11+1,1))-AVERAGE(OFFSET($H$3,0,0,'Données projet'!$E$11+1,1))</f>
        <v>212.82470567725971</v>
      </c>
      <c r="BJ158" s="59">
        <f t="shared" si="146"/>
        <v>196.91968622092054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8.5164701744418606E-2</v>
      </c>
      <c r="BQ158" s="21">
        <f>EXP(-LN(2)/25)*BQ157+(1-EXP(-LN(2)/25))/(LN(2)/25)*Calculateur!BL158*Calculateur!BN158*VLOOKUP('Données projet'!$B$11,Paramètres!$A$1:$I$89,3,0)*0.475*44/12</f>
        <v>0.12761634342220035</v>
      </c>
      <c r="BR158" s="21">
        <f>EXP(-LN(2)/2)*BR157+(1-EXP(-LN(2)/2))/(LN(2)/2)*BL158*BO158*VLOOKUP('Données projet'!$B$11,Paramètres!$A$1:$I$89,3,0)*0.475*44/12</f>
        <v>0</v>
      </c>
      <c r="BS158" s="22">
        <f t="shared" si="169"/>
        <v>0.21278104516661894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25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73.008000000000308</v>
      </c>
      <c r="D159" s="11">
        <f t="shared" si="140"/>
        <v>20.418611018263718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721.1878745269504</v>
      </c>
      <c r="H159" s="67">
        <f t="shared" si="110"/>
        <v>456.05134752347647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5.6843418860808015E-13</v>
      </c>
      <c r="O159" s="13">
        <f>N159*VLOOKUP('Données projet'!$B$9,Paramètres!$A$1:$I$89,3,0)*VLOOKUP('Données projet'!$B$9,Paramètres!$A$1:$I$89,5,0)</f>
        <v>2.2907897800905631E-13</v>
      </c>
      <c r="P159" s="13">
        <f t="shared" si="141"/>
        <v>3.1248920576624499E-12</v>
      </c>
      <c r="Q159" s="20">
        <f t="shared" si="162"/>
        <v>5.8414995537945398E-12</v>
      </c>
      <c r="R159" s="59">
        <f t="shared" si="109"/>
        <v>293.33333333333917</v>
      </c>
      <c r="S159" s="59">
        <f ca="1">AVERAGE(OFFSET($R$3,0,0,'Données projet'!$E$9+1,1))-AVERAGE(OFFSET($H$3,0,0,'Données projet'!$E$9+1,1))</f>
        <v>321.12254860105566</v>
      </c>
      <c r="T159" s="59">
        <f t="shared" si="142"/>
        <v>270.52026164274571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1.08911750601554</v>
      </c>
      <c r="AA159" s="21">
        <f>EXP(-LN(2)/25)*AA158+(1-EXP(-LN(2)/25))/(LN(2)/25)*Calculateur!V159*Calculateur!X159*VLOOKUP('Données projet'!$B$9,Paramètres!$A$1:$I$89,3,0)*0.475*44/12</f>
        <v>0.62674415448141518</v>
      </c>
      <c r="AB159" s="21">
        <f>EXP(-LN(2)/2)*AB158+(1-EXP(-LN(2)/2))/(LN(2)/2)*V159*Y159*VLOOKUP('Données projet'!$B$9,Paramètres!$A$1:$I$89,3,0)*0.475*44/12</f>
        <v>0</v>
      </c>
      <c r="AC159" s="22">
        <f t="shared" si="163"/>
        <v>1.7158616604969552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-3.4106051316484809E-13</v>
      </c>
      <c r="AJ159" s="13">
        <f>AI159*VLOOKUP('Données projet'!$B$10,Paramètres!$A$1:$I$89,3,0)*VLOOKUP('Données projet'!$B$10,Paramètres!$A$1:$I$89,5,0)</f>
        <v>-1.5961632016114892E-13</v>
      </c>
      <c r="AK159" s="13" t="e">
        <f t="shared" si="164"/>
        <v>#NUM!</v>
      </c>
      <c r="AL159" s="20" t="e">
        <f t="shared" si="165"/>
        <v>#NUM!</v>
      </c>
      <c r="AM159" s="59" t="e">
        <f t="shared" si="113"/>
        <v>#NUM!</v>
      </c>
      <c r="AN159" s="59">
        <f ca="1">AVERAGE(OFFSET($AM$3,0,0,'Données projet'!$E$10+1,1))-AVERAGE(OFFSET($H$3,0,0,'Données projet'!$E$10+1,1))</f>
        <v>267.78121291362345</v>
      </c>
      <c r="AO159" s="59">
        <f t="shared" si="144"/>
        <v>320.1780590861174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0.60052094845402726</v>
      </c>
      <c r="AV159" s="21">
        <f>EXP(-LN(2)/25)*AV158+(1-EXP(-LN(2)/25))/(LN(2)/25)*Calculateur!AQ159*Calculateur!AS159*VLOOKUP('Données projet'!$B$10,Paramètres!$A$1:$I$89,3,0)*0.475*44/12</f>
        <v>0.60989796832176946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1.2104189167757968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8.5265128291212022E-14</v>
      </c>
      <c r="BE159" s="13">
        <f>BD159*VLOOKUP('Données projet'!$B$11,Paramètres!$A$1:$I$89,3,0)*VLOOKUP('Données projet'!$B$11,Paramètres!$A$1:$I$89,5,0)</f>
        <v>7.4487616075202836E-14</v>
      </c>
      <c r="BF159" s="13">
        <f t="shared" si="167"/>
        <v>1.1580453144473142E-12</v>
      </c>
      <c r="BG159" s="20">
        <f t="shared" si="168"/>
        <v>2.1466615206600508E-12</v>
      </c>
      <c r="BH159" s="59">
        <f t="shared" si="116"/>
        <v>293.33333333333547</v>
      </c>
      <c r="BI159" s="59">
        <f ca="1">AVERAGE(OFFSET($BH$3,0,0,'Données projet'!$E$11+1,1))-AVERAGE(OFFSET($H$3,0,0,'Données projet'!$E$11+1,1))</f>
        <v>212.82470567725971</v>
      </c>
      <c r="BJ159" s="59">
        <f t="shared" si="146"/>
        <v>196.91968622092054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8.3494673888549448E-2</v>
      </c>
      <c r="BQ159" s="21">
        <f>EXP(-LN(2)/25)*BQ158+(1-EXP(-LN(2)/25))/(LN(2)/25)*Calculateur!BL159*Calculateur!BN159*VLOOKUP('Données projet'!$B$11,Paramètres!$A$1:$I$89,3,0)*0.475*44/12</f>
        <v>0.12412666780026846</v>
      </c>
      <c r="BR159" s="21">
        <f>EXP(-LN(2)/2)*BR158+(1-EXP(-LN(2)/2))/(LN(2)/2)*BL159*BO159*VLOOKUP('Données projet'!$B$11,Paramètres!$A$1:$I$89,3,0)*0.475*44/12</f>
        <v>0</v>
      </c>
      <c r="BS159" s="22">
        <f t="shared" si="169"/>
        <v>0.20762134168881791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25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73.476000000000312</v>
      </c>
      <c r="D160" s="11">
        <f t="shared" si="140"/>
        <v>20.534221080361753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725.69293465542648</v>
      </c>
      <c r="H160" s="67">
        <f t="shared" si="110"/>
        <v>457.06780171496393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5.6843418860808015E-13</v>
      </c>
      <c r="O160" s="13">
        <f>N160*VLOOKUP('Données projet'!$B$9,Paramètres!$A$1:$I$89,3,0)*VLOOKUP('Données projet'!$B$9,Paramètres!$A$1:$I$89,5,0)</f>
        <v>2.2907897800905631E-13</v>
      </c>
      <c r="P160" s="13">
        <f t="shared" si="141"/>
        <v>3.1248920576624499E-12</v>
      </c>
      <c r="Q160" s="20">
        <f t="shared" si="162"/>
        <v>5.8414995537945398E-12</v>
      </c>
      <c r="R160" s="59">
        <f t="shared" si="109"/>
        <v>293.33333333333917</v>
      </c>
      <c r="S160" s="59">
        <f ca="1">AVERAGE(OFFSET($R$3,0,0,'Données projet'!$E$9+1,1))-AVERAGE(OFFSET($H$3,0,0,'Données projet'!$E$9+1,1))</f>
        <v>321.12254860105566</v>
      </c>
      <c r="T160" s="59">
        <f t="shared" si="142"/>
        <v>270.52026164274571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1.0677605760186601</v>
      </c>
      <c r="AA160" s="21">
        <f>EXP(-LN(2)/25)*AA159+(1-EXP(-LN(2)/25))/(LN(2)/25)*Calculateur!V160*Calculateur!X160*VLOOKUP('Données projet'!$B$9,Paramètres!$A$1:$I$89,3,0)*0.475*44/12</f>
        <v>0.60960580261807829</v>
      </c>
      <c r="AB160" s="21">
        <f>EXP(-LN(2)/2)*AB159+(1-EXP(-LN(2)/2))/(LN(2)/2)*V160*Y160*VLOOKUP('Données projet'!$B$9,Paramètres!$A$1:$I$89,3,0)*0.475*44/12</f>
        <v>0</v>
      </c>
      <c r="AC160" s="22">
        <f t="shared" si="163"/>
        <v>1.6773663786367385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-3.4106051316484809E-13</v>
      </c>
      <c r="AJ160" s="13">
        <f>AI160*VLOOKUP('Données projet'!$B$10,Paramètres!$A$1:$I$89,3,0)*VLOOKUP('Données projet'!$B$10,Paramètres!$A$1:$I$89,5,0)</f>
        <v>-1.5961632016114892E-13</v>
      </c>
      <c r="AK160" s="13" t="e">
        <f t="shared" si="164"/>
        <v>#NUM!</v>
      </c>
      <c r="AL160" s="20" t="e">
        <f t="shared" si="165"/>
        <v>#NUM!</v>
      </c>
      <c r="AM160" s="59" t="e">
        <f t="shared" si="113"/>
        <v>#NUM!</v>
      </c>
      <c r="AN160" s="59">
        <f ca="1">AVERAGE(OFFSET($AM$3,0,0,'Données projet'!$E$10+1,1))-AVERAGE(OFFSET($H$3,0,0,'Données projet'!$E$10+1,1))</f>
        <v>267.78121291362345</v>
      </c>
      <c r="AO160" s="59">
        <f t="shared" si="144"/>
        <v>320.1780590861174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0.58874509893645499</v>
      </c>
      <c r="AV160" s="21">
        <f>EXP(-LN(2)/25)*AV159+(1-EXP(-LN(2)/25))/(LN(2)/25)*Calculateur!AQ160*Calculateur!AS160*VLOOKUP('Données projet'!$B$10,Paramètres!$A$1:$I$89,3,0)*0.475*44/12</f>
        <v>0.59322027630487051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1.1819653752413255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8.5265128291212022E-14</v>
      </c>
      <c r="BE160" s="13">
        <f>BD160*VLOOKUP('Données projet'!$B$11,Paramètres!$A$1:$I$89,3,0)*VLOOKUP('Données projet'!$B$11,Paramètres!$A$1:$I$89,5,0)</f>
        <v>7.4487616075202836E-14</v>
      </c>
      <c r="BF160" s="13">
        <f t="shared" si="167"/>
        <v>1.1580453144473142E-12</v>
      </c>
      <c r="BG160" s="20">
        <f t="shared" si="168"/>
        <v>2.1466615206600508E-12</v>
      </c>
      <c r="BH160" s="59">
        <f t="shared" si="116"/>
        <v>293.33333333333547</v>
      </c>
      <c r="BI160" s="59">
        <f ca="1">AVERAGE(OFFSET($BH$3,0,0,'Données projet'!$E$11+1,1))-AVERAGE(OFFSET($H$3,0,0,'Données projet'!$E$11+1,1))</f>
        <v>212.82470567725971</v>
      </c>
      <c r="BJ160" s="59">
        <f t="shared" si="146"/>
        <v>196.91968622092054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8.1857394260317462E-2</v>
      </c>
      <c r="BQ160" s="21">
        <f>EXP(-LN(2)/25)*BQ159+(1-EXP(-LN(2)/25))/(LN(2)/25)*Calculateur!BL160*Calculateur!BN160*VLOOKUP('Données projet'!$B$11,Paramètres!$A$1:$I$89,3,0)*0.475*44/12</f>
        <v>0.12073241754173235</v>
      </c>
      <c r="BR160" s="21">
        <f>EXP(-LN(2)/2)*BR159+(1-EXP(-LN(2)/2))/(LN(2)/2)*BL160*BO160*VLOOKUP('Données projet'!$B$11,Paramètres!$A$1:$I$89,3,0)*0.475*44/12</f>
        <v>0</v>
      </c>
      <c r="BS160" s="22">
        <f t="shared" si="169"/>
        <v>0.20258981180204982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25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73.944000000000315</v>
      </c>
      <c r="D161" s="11">
        <f t="shared" si="140"/>
        <v>20.649745460165789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730.19733337672085</v>
      </c>
      <c r="H161" s="67">
        <f t="shared" si="110"/>
        <v>458.08410667645592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5.6843418860808015E-13</v>
      </c>
      <c r="O161" s="13">
        <f>N161*VLOOKUP('Données projet'!$B$9,Paramètres!$A$1:$I$89,3,0)*VLOOKUP('Données projet'!$B$9,Paramètres!$A$1:$I$89,5,0)</f>
        <v>2.2907897800905631E-13</v>
      </c>
      <c r="P161" s="13">
        <f t="shared" si="141"/>
        <v>3.1248920576624499E-12</v>
      </c>
      <c r="Q161" s="20">
        <f t="shared" si="162"/>
        <v>5.8414995537945398E-12</v>
      </c>
      <c r="R161" s="59">
        <f t="shared" si="109"/>
        <v>293.33333333333917</v>
      </c>
      <c r="S161" s="59">
        <f ca="1">AVERAGE(OFFSET($R$3,0,0,'Données projet'!$E$9+1,1))-AVERAGE(OFFSET($H$3,0,0,'Données projet'!$E$9+1,1))</f>
        <v>321.12254860105566</v>
      </c>
      <c r="T161" s="59">
        <f t="shared" si="142"/>
        <v>270.52026164274571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1.046822442392578</v>
      </c>
      <c r="AA161" s="21">
        <f>EXP(-LN(2)/25)*AA160+(1-EXP(-LN(2)/25))/(LN(2)/25)*Calculateur!V161*Calculateur!X161*VLOOKUP('Données projet'!$B$9,Paramètres!$A$1:$I$89,3,0)*0.475*44/12</f>
        <v>0.59293609988771101</v>
      </c>
      <c r="AB161" s="21">
        <f>EXP(-LN(2)/2)*AB160+(1-EXP(-LN(2)/2))/(LN(2)/2)*V161*Y161*VLOOKUP('Données projet'!$B$9,Paramètres!$A$1:$I$89,3,0)*0.475*44/12</f>
        <v>0</v>
      </c>
      <c r="AC161" s="22">
        <f t="shared" si="163"/>
        <v>1.6397585422802892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-3.4106051316484809E-13</v>
      </c>
      <c r="AJ161" s="13">
        <f>AI161*VLOOKUP('Données projet'!$B$10,Paramètres!$A$1:$I$89,3,0)*VLOOKUP('Données projet'!$B$10,Paramètres!$A$1:$I$89,5,0)</f>
        <v>-1.5961632016114892E-13</v>
      </c>
      <c r="AK161" s="13" t="e">
        <f t="shared" si="164"/>
        <v>#NUM!</v>
      </c>
      <c r="AL161" s="20" t="e">
        <f t="shared" si="165"/>
        <v>#NUM!</v>
      </c>
      <c r="AM161" s="59" t="e">
        <f t="shared" si="113"/>
        <v>#NUM!</v>
      </c>
      <c r="AN161" s="59">
        <f ca="1">AVERAGE(OFFSET($AM$3,0,0,'Données projet'!$E$10+1,1))-AVERAGE(OFFSET($H$3,0,0,'Données projet'!$E$10+1,1))</f>
        <v>267.78121291362345</v>
      </c>
      <c r="AO161" s="59">
        <f t="shared" si="144"/>
        <v>320.1780590861174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0.57720016664536333</v>
      </c>
      <c r="AV161" s="21">
        <f>EXP(-LN(2)/25)*AV160+(1-EXP(-LN(2)/25))/(LN(2)/25)*Calculateur!AQ161*Calculateur!AS161*VLOOKUP('Données projet'!$B$10,Paramètres!$A$1:$I$89,3,0)*0.475*44/12</f>
        <v>0.57699863665321527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1.1541988032985786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8.5265128291212022E-14</v>
      </c>
      <c r="BE161" s="13">
        <f>BD161*VLOOKUP('Données projet'!$B$11,Paramètres!$A$1:$I$89,3,0)*VLOOKUP('Données projet'!$B$11,Paramètres!$A$1:$I$89,5,0)</f>
        <v>7.4487616075202836E-14</v>
      </c>
      <c r="BF161" s="13">
        <f t="shared" si="167"/>
        <v>1.1580453144473142E-12</v>
      </c>
      <c r="BG161" s="20">
        <f t="shared" si="168"/>
        <v>2.1466615206600508E-12</v>
      </c>
      <c r="BH161" s="59">
        <f t="shared" si="116"/>
        <v>293.33333333333547</v>
      </c>
      <c r="BI161" s="59">
        <f ca="1">AVERAGE(OFFSET($BH$3,0,0,'Données projet'!$E$11+1,1))-AVERAGE(OFFSET($H$3,0,0,'Données projet'!$E$11+1,1))</f>
        <v>212.82470567725971</v>
      </c>
      <c r="BJ161" s="59">
        <f t="shared" si="146"/>
        <v>196.91968622092054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8.0252220686953146E-2</v>
      </c>
      <c r="BQ161" s="21">
        <f>EXP(-LN(2)/25)*BQ160+(1-EXP(-LN(2)/25))/(LN(2)/25)*Calculateur!BL161*Calculateur!BN161*VLOOKUP('Données projet'!$B$11,Paramètres!$A$1:$I$89,3,0)*0.475*44/12</f>
        <v>0.11743098323501178</v>
      </c>
      <c r="BR161" s="21">
        <f>EXP(-LN(2)/2)*BR160+(1-EXP(-LN(2)/2))/(LN(2)/2)*BL161*BO161*VLOOKUP('Données projet'!$B$11,Paramètres!$A$1:$I$89,3,0)*0.475*44/12</f>
        <v>0</v>
      </c>
      <c r="BS161" s="22">
        <f t="shared" si="169"/>
        <v>0.19768320392196492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25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74.412000000000319</v>
      </c>
      <c r="D162" s="11">
        <f t="shared" si="140"/>
        <v>20.765184762876906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734.70107536256103</v>
      </c>
      <c r="H162" s="67">
        <f t="shared" si="110"/>
        <v>459.10026346201118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5.6843418860808015E-13</v>
      </c>
      <c r="O162" s="13">
        <f>N162*VLOOKUP('Données projet'!$B$9,Paramètres!$A$1:$I$89,3,0)*VLOOKUP('Données projet'!$B$9,Paramètres!$A$1:$I$89,5,0)</f>
        <v>2.2907897800905631E-13</v>
      </c>
      <c r="P162" s="13">
        <f t="shared" si="141"/>
        <v>3.1248920576624499E-12</v>
      </c>
      <c r="Q162" s="20">
        <f t="shared" si="162"/>
        <v>5.8414995537945398E-12</v>
      </c>
      <c r="R162" s="59">
        <f t="shared" si="109"/>
        <v>293.33333333333917</v>
      </c>
      <c r="S162" s="59">
        <f ca="1">AVERAGE(OFFSET($R$3,0,0,'Données projet'!$E$9+1,1))-AVERAGE(OFFSET($H$3,0,0,'Données projet'!$E$9+1,1))</f>
        <v>321.12254860105566</v>
      </c>
      <c r="T162" s="59">
        <f t="shared" si="142"/>
        <v>270.52026164274571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1.026294892795903</v>
      </c>
      <c r="AA162" s="21">
        <f>EXP(-LN(2)/25)*AA161+(1-EXP(-LN(2)/25))/(LN(2)/25)*Calculateur!V162*Calculateur!X162*VLOOKUP('Données projet'!$B$9,Paramètres!$A$1:$I$89,3,0)*0.475*44/12</f>
        <v>0.57672223105512721</v>
      </c>
      <c r="AB162" s="21">
        <f>EXP(-LN(2)/2)*AB161+(1-EXP(-LN(2)/2))/(LN(2)/2)*V162*Y162*VLOOKUP('Données projet'!$B$9,Paramètres!$A$1:$I$89,3,0)*0.475*44/12</f>
        <v>0</v>
      </c>
      <c r="AC162" s="22">
        <f t="shared" si="163"/>
        <v>1.6030171238510302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-3.4106051316484809E-13</v>
      </c>
      <c r="AJ162" s="13">
        <f>AI162*VLOOKUP('Données projet'!$B$10,Paramètres!$A$1:$I$89,3,0)*VLOOKUP('Données projet'!$B$10,Paramètres!$A$1:$I$89,5,0)</f>
        <v>-1.5961632016114892E-13</v>
      </c>
      <c r="AK162" s="13" t="e">
        <f t="shared" si="164"/>
        <v>#NUM!</v>
      </c>
      <c r="AL162" s="20" t="e">
        <f t="shared" si="165"/>
        <v>#NUM!</v>
      </c>
      <c r="AM162" s="59" t="e">
        <f t="shared" si="113"/>
        <v>#NUM!</v>
      </c>
      <c r="AN162" s="59">
        <f ca="1">AVERAGE(OFFSET($AM$3,0,0,'Données projet'!$E$10+1,1))-AVERAGE(OFFSET($H$3,0,0,'Données projet'!$E$10+1,1))</f>
        <v>267.78121291362345</v>
      </c>
      <c r="AO162" s="59">
        <f t="shared" si="144"/>
        <v>320.1780590861174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0.56588162343478665</v>
      </c>
      <c r="AV162" s="21">
        <f>EXP(-LN(2)/25)*AV161+(1-EXP(-LN(2)/25))/(LN(2)/25)*Calculateur!AQ162*Calculateur!AS162*VLOOKUP('Données projet'!$B$10,Paramètres!$A$1:$I$89,3,0)*0.475*44/12</f>
        <v>0.56122057859089358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1.1271022020256802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8.5265128291212022E-14</v>
      </c>
      <c r="BE162" s="13">
        <f>BD162*VLOOKUP('Données projet'!$B$11,Paramètres!$A$1:$I$89,3,0)*VLOOKUP('Données projet'!$B$11,Paramètres!$A$1:$I$89,5,0)</f>
        <v>7.4487616075202836E-14</v>
      </c>
      <c r="BF162" s="13">
        <f t="shared" si="167"/>
        <v>1.1580453144473142E-12</v>
      </c>
      <c r="BG162" s="20">
        <f t="shared" si="168"/>
        <v>2.1466615206600508E-12</v>
      </c>
      <c r="BH162" s="59">
        <f t="shared" si="116"/>
        <v>293.33333333333547</v>
      </c>
      <c r="BI162" s="59">
        <f ca="1">AVERAGE(OFFSET($BH$3,0,0,'Données projet'!$E$11+1,1))-AVERAGE(OFFSET($H$3,0,0,'Données projet'!$E$11+1,1))</f>
        <v>212.82470567725971</v>
      </c>
      <c r="BJ162" s="59">
        <f t="shared" si="146"/>
        <v>196.91968622092054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7.8678523588303295E-2</v>
      </c>
      <c r="BQ162" s="21">
        <f>EXP(-LN(2)/25)*BQ161+(1-EXP(-LN(2)/25))/(LN(2)/25)*Calculateur!BL162*Calculateur!BN162*VLOOKUP('Données projet'!$B$11,Paramètres!$A$1:$I$89,3,0)*0.475*44/12</f>
        <v>0.11421982682302337</v>
      </c>
      <c r="BR162" s="21">
        <f>EXP(-LN(2)/2)*BR161+(1-EXP(-LN(2)/2))/(LN(2)/2)*BL162*BO162*VLOOKUP('Données projet'!$B$11,Paramètres!$A$1:$I$89,3,0)*0.475*44/12</f>
        <v>0</v>
      </c>
      <c r="BS162" s="22">
        <f t="shared" si="169"/>
        <v>0.19289835041132666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25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74.880000000000322</v>
      </c>
      <c r="D163" s="11">
        <f t="shared" si="140"/>
        <v>20.880539585643316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739.20416522251242</v>
      </c>
      <c r="H163" s="67">
        <f t="shared" si="110"/>
        <v>460.11627311166262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5.6843418860808015E-13</v>
      </c>
      <c r="O163" s="13">
        <f>N163*VLOOKUP('Données projet'!$B$9,Paramètres!$A$1:$I$89,3,0)*VLOOKUP('Données projet'!$B$9,Paramètres!$A$1:$I$89,5,0)</f>
        <v>2.2907897800905631E-13</v>
      </c>
      <c r="P163" s="13">
        <f t="shared" si="141"/>
        <v>3.1248920576624499E-12</v>
      </c>
      <c r="Q163" s="20">
        <f t="shared" si="162"/>
        <v>5.8414995537945398E-12</v>
      </c>
      <c r="R163" s="59">
        <f t="shared" si="109"/>
        <v>293.33333333333917</v>
      </c>
      <c r="S163" s="59">
        <f ca="1">AVERAGE(OFFSET($R$3,0,0,'Données projet'!$E$9+1,1))-AVERAGE(OFFSET($H$3,0,0,'Données projet'!$E$9+1,1))</f>
        <v>321.12254860105566</v>
      </c>
      <c r="T163" s="59">
        <f t="shared" si="142"/>
        <v>270.52026164274571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1.0061698759262498</v>
      </c>
      <c r="AA163" s="21">
        <f>EXP(-LN(2)/25)*AA162+(1-EXP(-LN(2)/25))/(LN(2)/25)*Calculateur!V163*Calculateur!X163*VLOOKUP('Données projet'!$B$9,Paramètres!$A$1:$I$89,3,0)*0.475*44/12</f>
        <v>0.56095173131842069</v>
      </c>
      <c r="AB163" s="21">
        <f>EXP(-LN(2)/2)*AB162+(1-EXP(-LN(2)/2))/(LN(2)/2)*V163*Y163*VLOOKUP('Données projet'!$B$9,Paramètres!$A$1:$I$89,3,0)*0.475*44/12</f>
        <v>0</v>
      </c>
      <c r="AC163" s="22">
        <f t="shared" si="163"/>
        <v>1.5671216072446705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-3.4106051316484809E-13</v>
      </c>
      <c r="AJ163" s="13">
        <f>AI163*VLOOKUP('Données projet'!$B$10,Paramètres!$A$1:$I$89,3,0)*VLOOKUP('Données projet'!$B$10,Paramètres!$A$1:$I$89,5,0)</f>
        <v>-1.5961632016114892E-13</v>
      </c>
      <c r="AK163" s="13" t="e">
        <f t="shared" si="164"/>
        <v>#NUM!</v>
      </c>
      <c r="AL163" s="20" t="e">
        <f t="shared" si="165"/>
        <v>#NUM!</v>
      </c>
      <c r="AM163" s="59" t="e">
        <f t="shared" si="113"/>
        <v>#NUM!</v>
      </c>
      <c r="AN163" s="59">
        <f ca="1">AVERAGE(OFFSET($AM$3,0,0,'Données projet'!$E$10+1,1))-AVERAGE(OFFSET($H$3,0,0,'Données projet'!$E$10+1,1))</f>
        <v>267.78121291362345</v>
      </c>
      <c r="AO163" s="59">
        <f t="shared" si="144"/>
        <v>320.1780590861174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0.55478502995293966</v>
      </c>
      <c r="AV163" s="21">
        <f>EXP(-LN(2)/25)*AV162+(1-EXP(-LN(2)/25))/(LN(2)/25)*Calculateur!AQ163*Calculateur!AS163*VLOOKUP('Données projet'!$B$10,Paramètres!$A$1:$I$89,3,0)*0.475*44/12</f>
        <v>0.54587397235601809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1.1006590023089577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8.5265128291212022E-14</v>
      </c>
      <c r="BE163" s="13">
        <f>BD163*VLOOKUP('Données projet'!$B$11,Paramètres!$A$1:$I$89,3,0)*VLOOKUP('Données projet'!$B$11,Paramètres!$A$1:$I$89,5,0)</f>
        <v>7.4487616075202836E-14</v>
      </c>
      <c r="BF163" s="13">
        <f t="shared" si="167"/>
        <v>1.1580453144473142E-12</v>
      </c>
      <c r="BG163" s="20">
        <f t="shared" si="168"/>
        <v>2.1466615206600508E-12</v>
      </c>
      <c r="BH163" s="59">
        <f t="shared" si="116"/>
        <v>293.33333333333547</v>
      </c>
      <c r="BI163" s="59">
        <f ca="1">AVERAGE(OFFSET($BH$3,0,0,'Données projet'!$E$11+1,1))-AVERAGE(OFFSET($H$3,0,0,'Données projet'!$E$11+1,1))</f>
        <v>212.82470567725971</v>
      </c>
      <c r="BJ163" s="59">
        <f t="shared" si="146"/>
        <v>196.91968622092054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7.7135685729897527E-2</v>
      </c>
      <c r="BQ163" s="21">
        <f>EXP(-LN(2)/25)*BQ162+(1-EXP(-LN(2)/25))/(LN(2)/25)*Calculateur!BL163*Calculateur!BN163*VLOOKUP('Données projet'!$B$11,Paramètres!$A$1:$I$89,3,0)*0.475*44/12</f>
        <v>0.11109647965198816</v>
      </c>
      <c r="BR163" s="21">
        <f>EXP(-LN(2)/2)*BR162+(1-EXP(-LN(2)/2))/(LN(2)/2)*BL163*BO163*VLOOKUP('Données projet'!$B$11,Paramètres!$A$1:$I$89,3,0)*0.475*44/12</f>
        <v>0</v>
      </c>
      <c r="BS163" s="22">
        <f t="shared" si="169"/>
        <v>0.1882321653818857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25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75.348000000000326</v>
      </c>
      <c r="D164" s="11">
        <f t="shared" si="140"/>
        <v>20.995810517717125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743.70660750518743</v>
      </c>
      <c r="H164" s="67">
        <f t="shared" si="110"/>
        <v>461.13213665169121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5.6843418860808015E-13</v>
      </c>
      <c r="O164" s="13">
        <f>N164*VLOOKUP('Données projet'!$B$9,Paramètres!$A$1:$I$89,3,0)*VLOOKUP('Données projet'!$B$9,Paramètres!$A$1:$I$89,5,0)</f>
        <v>2.2907897800905631E-13</v>
      </c>
      <c r="P164" s="13">
        <f t="shared" si="141"/>
        <v>3.1248920576624499E-12</v>
      </c>
      <c r="Q164" s="20">
        <f t="shared" si="162"/>
        <v>5.8414995537945398E-12</v>
      </c>
      <c r="R164" s="59">
        <f t="shared" si="109"/>
        <v>293.33333333333917</v>
      </c>
      <c r="S164" s="59">
        <f ca="1">AVERAGE(OFFSET($R$3,0,0,'Données projet'!$E$9+1,1))-AVERAGE(OFFSET($H$3,0,0,'Données projet'!$E$9+1,1))</f>
        <v>321.12254860105566</v>
      </c>
      <c r="T164" s="59">
        <f t="shared" si="142"/>
        <v>270.52026164274571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0.98643949836236222</v>
      </c>
      <c r="AA164" s="21">
        <f>EXP(-LN(2)/25)*AA163+(1-EXP(-LN(2)/25))/(LN(2)/25)*Calculateur!V164*Calculateur!X164*VLOOKUP('Données projet'!$B$9,Paramètres!$A$1:$I$89,3,0)*0.475*44/12</f>
        <v>0.54561247672634905</v>
      </c>
      <c r="AB164" s="21">
        <f>EXP(-LN(2)/2)*AB163+(1-EXP(-LN(2)/2))/(LN(2)/2)*V164*Y164*VLOOKUP('Données projet'!$B$9,Paramètres!$A$1:$I$89,3,0)*0.475*44/12</f>
        <v>0</v>
      </c>
      <c r="AC164" s="22">
        <f t="shared" si="163"/>
        <v>1.5320519750887112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-3.4106051316484809E-13</v>
      </c>
      <c r="AJ164" s="13">
        <f>AI164*VLOOKUP('Données projet'!$B$10,Paramètres!$A$1:$I$89,3,0)*VLOOKUP('Données projet'!$B$10,Paramètres!$A$1:$I$89,5,0)</f>
        <v>-1.5961632016114892E-13</v>
      </c>
      <c r="AK164" s="13" t="e">
        <f t="shared" si="164"/>
        <v>#NUM!</v>
      </c>
      <c r="AL164" s="20" t="e">
        <f t="shared" si="165"/>
        <v>#NUM!</v>
      </c>
      <c r="AM164" s="59" t="e">
        <f t="shared" si="113"/>
        <v>#NUM!</v>
      </c>
      <c r="AN164" s="59">
        <f ca="1">AVERAGE(OFFSET($AM$3,0,0,'Données projet'!$E$10+1,1))-AVERAGE(OFFSET($H$3,0,0,'Données projet'!$E$10+1,1))</f>
        <v>267.78121291362345</v>
      </c>
      <c r="AO164" s="59">
        <f t="shared" si="144"/>
        <v>320.1780590861174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0.54390603390101799</v>
      </c>
      <c r="AV164" s="21">
        <f>EXP(-LN(2)/25)*AV163+(1-EXP(-LN(2)/25))/(LN(2)/25)*Calculateur!AQ164*Calculateur!AS164*VLOOKUP('Données projet'!$B$10,Paramètres!$A$1:$I$89,3,0)*0.475*44/12</f>
        <v>0.53094701987567816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1.074853053776696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8.5265128291212022E-14</v>
      </c>
      <c r="BE164" s="13">
        <f>BD164*VLOOKUP('Données projet'!$B$11,Paramètres!$A$1:$I$89,3,0)*VLOOKUP('Données projet'!$B$11,Paramètres!$A$1:$I$89,5,0)</f>
        <v>7.4487616075202836E-14</v>
      </c>
      <c r="BF164" s="13">
        <f t="shared" si="167"/>
        <v>1.1580453144473142E-12</v>
      </c>
      <c r="BG164" s="20">
        <f t="shared" si="168"/>
        <v>2.1466615206600508E-12</v>
      </c>
      <c r="BH164" s="59">
        <f t="shared" si="116"/>
        <v>293.33333333333547</v>
      </c>
      <c r="BI164" s="59">
        <f ca="1">AVERAGE(OFFSET($BH$3,0,0,'Données projet'!$E$11+1,1))-AVERAGE(OFFSET($H$3,0,0,'Données projet'!$E$11+1,1))</f>
        <v>212.82470567725971</v>
      </c>
      <c r="BJ164" s="59">
        <f t="shared" si="146"/>
        <v>196.91968622092054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7.5623101980856922E-2</v>
      </c>
      <c r="BQ164" s="21">
        <f>EXP(-LN(2)/25)*BQ163+(1-EXP(-LN(2)/25))/(LN(2)/25)*Calculateur!BL164*Calculateur!BN164*VLOOKUP('Données projet'!$B$11,Paramètres!$A$1:$I$89,3,0)*0.475*44/12</f>
        <v>0.10805854057359458</v>
      </c>
      <c r="BR164" s="21">
        <f>EXP(-LN(2)/2)*BR163+(1-EXP(-LN(2)/2))/(LN(2)/2)*BL164*BO164*VLOOKUP('Données projet'!$B$11,Paramètres!$A$1:$I$89,3,0)*0.475*44/12</f>
        <v>0</v>
      </c>
      <c r="BS164" s="22">
        <f t="shared" si="169"/>
        <v>0.18368164255445152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25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75.816000000000329</v>
      </c>
      <c r="D165" s="11">
        <f t="shared" si="140"/>
        <v>21.11099814060724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748.20840669942697</v>
      </c>
      <c r="H165" s="67">
        <f t="shared" si="110"/>
        <v>462.1478550948915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5.6843418860808015E-13</v>
      </c>
      <c r="O165" s="13">
        <f>N165*VLOOKUP('Données projet'!$B$9,Paramètres!$A$1:$I$89,3,0)*VLOOKUP('Données projet'!$B$9,Paramètres!$A$1:$I$89,5,0)</f>
        <v>2.2907897800905631E-13</v>
      </c>
      <c r="P165" s="13">
        <f t="shared" si="141"/>
        <v>3.1248920576624499E-12</v>
      </c>
      <c r="Q165" s="20">
        <f t="shared" si="162"/>
        <v>5.8414995537945398E-12</v>
      </c>
      <c r="R165" s="59">
        <f t="shared" si="109"/>
        <v>293.33333333333917</v>
      </c>
      <c r="S165" s="59">
        <f ca="1">AVERAGE(OFFSET($R$3,0,0,'Données projet'!$E$9+1,1))-AVERAGE(OFFSET($H$3,0,0,'Données projet'!$E$9+1,1))</f>
        <v>321.12254860105566</v>
      </c>
      <c r="T165" s="59">
        <f t="shared" si="142"/>
        <v>270.52026164274571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0.96709602146816043</v>
      </c>
      <c r="AA165" s="21">
        <f>EXP(-LN(2)/25)*AA164+(1-EXP(-LN(2)/25))/(LN(2)/25)*Calculateur!V165*Calculateur!X165*VLOOKUP('Données projet'!$B$9,Paramètres!$A$1:$I$89,3,0)*0.475*44/12</f>
        <v>0.53069267485775384</v>
      </c>
      <c r="AB165" s="21">
        <f>EXP(-LN(2)/2)*AB164+(1-EXP(-LN(2)/2))/(LN(2)/2)*V165*Y165*VLOOKUP('Données projet'!$B$9,Paramètres!$A$1:$I$89,3,0)*0.475*44/12</f>
        <v>0</v>
      </c>
      <c r="AC165" s="22">
        <f t="shared" si="163"/>
        <v>1.4977886963259142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-3.4106051316484809E-13</v>
      </c>
      <c r="AJ165" s="13">
        <f>AI165*VLOOKUP('Données projet'!$B$10,Paramètres!$A$1:$I$89,3,0)*VLOOKUP('Données projet'!$B$10,Paramètres!$A$1:$I$89,5,0)</f>
        <v>-1.5961632016114892E-13</v>
      </c>
      <c r="AK165" s="13" t="e">
        <f t="shared" si="164"/>
        <v>#NUM!</v>
      </c>
      <c r="AL165" s="20" t="e">
        <f t="shared" si="165"/>
        <v>#NUM!</v>
      </c>
      <c r="AM165" s="59" t="e">
        <f t="shared" si="113"/>
        <v>#NUM!</v>
      </c>
      <c r="AN165" s="59">
        <f ca="1">AVERAGE(OFFSET($AM$3,0,0,'Données projet'!$E$10+1,1))-AVERAGE(OFFSET($H$3,0,0,'Données projet'!$E$10+1,1))</f>
        <v>267.78121291362345</v>
      </c>
      <c r="AO165" s="59">
        <f t="shared" si="144"/>
        <v>320.1780590861174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0.53324036832614208</v>
      </c>
      <c r="AV165" s="21">
        <f>EXP(-LN(2)/25)*AV164+(1-EXP(-LN(2)/25))/(LN(2)/25)*Calculateur!AQ165*Calculateur!AS165*VLOOKUP('Données projet'!$B$10,Paramètres!$A$1:$I$89,3,0)*0.475*44/12</f>
        <v>0.51642824569588741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1.0496686140220295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8.5265128291212022E-14</v>
      </c>
      <c r="BE165" s="13">
        <f>BD165*VLOOKUP('Données projet'!$B$11,Paramètres!$A$1:$I$89,3,0)*VLOOKUP('Données projet'!$B$11,Paramètres!$A$1:$I$89,5,0)</f>
        <v>7.4487616075202836E-14</v>
      </c>
      <c r="BF165" s="13">
        <f t="shared" si="167"/>
        <v>1.1580453144473142E-12</v>
      </c>
      <c r="BG165" s="20">
        <f t="shared" si="168"/>
        <v>2.1466615206600508E-12</v>
      </c>
      <c r="BH165" s="59">
        <f t="shared" si="116"/>
        <v>293.33333333333547</v>
      </c>
      <c r="BI165" s="59">
        <f ca="1">AVERAGE(OFFSET($BH$3,0,0,'Données projet'!$E$11+1,1))-AVERAGE(OFFSET($H$3,0,0,'Données projet'!$E$11+1,1))</f>
        <v>212.82470567725971</v>
      </c>
      <c r="BJ165" s="59">
        <f t="shared" si="146"/>
        <v>196.91968622092054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7.4140179076550003E-2</v>
      </c>
      <c r="BQ165" s="21">
        <f>EXP(-LN(2)/25)*BQ164+(1-EXP(-LN(2)/25))/(LN(2)/25)*Calculateur!BL165*Calculateur!BN165*VLOOKUP('Données projet'!$B$11,Paramètres!$A$1:$I$89,3,0)*0.475*44/12</f>
        <v>0.10510367409905796</v>
      </c>
      <c r="BR165" s="21">
        <f>EXP(-LN(2)/2)*BR164+(1-EXP(-LN(2)/2))/(LN(2)/2)*BL165*BO165*VLOOKUP('Données projet'!$B$11,Paramètres!$A$1:$I$89,3,0)*0.475*44/12</f>
        <v>0</v>
      </c>
      <c r="BS165" s="22">
        <f t="shared" si="169"/>
        <v>0.17924385317560798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25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76.284000000000333</v>
      </c>
      <c r="D166" s="11">
        <f t="shared" si="140"/>
        <v>21.226103028228163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752.70956723544816</v>
      </c>
      <c r="H166" s="67">
        <f t="shared" si="110"/>
        <v>463.16342944083124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5.6843418860808015E-13</v>
      </c>
      <c r="O166" s="13">
        <f>N166*VLOOKUP('Données projet'!$B$9,Paramètres!$A$1:$I$89,3,0)*VLOOKUP('Données projet'!$B$9,Paramètres!$A$1:$I$89,5,0)</f>
        <v>2.2907897800905631E-13</v>
      </c>
      <c r="P166" s="13">
        <f t="shared" si="141"/>
        <v>3.1248920576624499E-12</v>
      </c>
      <c r="Q166" s="20">
        <f t="shared" si="162"/>
        <v>5.8414995537945398E-12</v>
      </c>
      <c r="R166" s="59">
        <f t="shared" si="109"/>
        <v>293.33333333333917</v>
      </c>
      <c r="S166" s="59">
        <f ca="1">AVERAGE(OFFSET($R$3,0,0,'Données projet'!$E$9+1,1))-AVERAGE(OFFSET($H$3,0,0,'Données projet'!$E$9+1,1))</f>
        <v>321.12254860105566</v>
      </c>
      <c r="T166" s="59">
        <f t="shared" si="142"/>
        <v>270.52026164274571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0.94813185835749803</v>
      </c>
      <c r="AA166" s="21">
        <f>EXP(-LN(2)/25)*AA165+(1-EXP(-LN(2)/25))/(LN(2)/25)*Calculateur!V166*Calculateur!X166*VLOOKUP('Données projet'!$B$9,Paramètres!$A$1:$I$89,3,0)*0.475*44/12</f>
        <v>0.51618085575585371</v>
      </c>
      <c r="AB166" s="21">
        <f>EXP(-LN(2)/2)*AB165+(1-EXP(-LN(2)/2))/(LN(2)/2)*V166*Y166*VLOOKUP('Données projet'!$B$9,Paramètres!$A$1:$I$89,3,0)*0.475*44/12</f>
        <v>0</v>
      </c>
      <c r="AC166" s="22">
        <f t="shared" si="163"/>
        <v>1.4643127141133516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-3.4106051316484809E-13</v>
      </c>
      <c r="AJ166" s="13">
        <f>AI166*VLOOKUP('Données projet'!$B$10,Paramètres!$A$1:$I$89,3,0)*VLOOKUP('Données projet'!$B$10,Paramètres!$A$1:$I$89,5,0)</f>
        <v>-1.5961632016114892E-13</v>
      </c>
      <c r="AK166" s="13" t="e">
        <f t="shared" si="164"/>
        <v>#NUM!</v>
      </c>
      <c r="AL166" s="20" t="e">
        <f t="shared" si="165"/>
        <v>#NUM!</v>
      </c>
      <c r="AM166" s="59" t="e">
        <f t="shared" si="113"/>
        <v>#NUM!</v>
      </c>
      <c r="AN166" s="59">
        <f ca="1">AVERAGE(OFFSET($AM$3,0,0,'Données projet'!$E$10+1,1))-AVERAGE(OFFSET($H$3,0,0,'Données projet'!$E$10+1,1))</f>
        <v>267.78121291362345</v>
      </c>
      <c r="AO166" s="59">
        <f t="shared" si="144"/>
        <v>320.1780590861174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0.52278384994777594</v>
      </c>
      <c r="AV166" s="21">
        <f>EXP(-LN(2)/25)*AV165+(1-EXP(-LN(2)/25))/(LN(2)/25)*Calculateur!AQ166*Calculateur!AS166*VLOOKUP('Données projet'!$B$10,Paramètres!$A$1:$I$89,3,0)*0.475*44/12</f>
        <v>0.50230648815955226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1.0250903381073282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8.5265128291212022E-14</v>
      </c>
      <c r="BE166" s="13">
        <f>BD166*VLOOKUP('Données projet'!$B$11,Paramètres!$A$1:$I$89,3,0)*VLOOKUP('Données projet'!$B$11,Paramètres!$A$1:$I$89,5,0)</f>
        <v>7.4487616075202836E-14</v>
      </c>
      <c r="BF166" s="13">
        <f t="shared" si="167"/>
        <v>1.1580453144473142E-12</v>
      </c>
      <c r="BG166" s="20">
        <f t="shared" si="168"/>
        <v>2.1466615206600508E-12</v>
      </c>
      <c r="BH166" s="59">
        <f t="shared" si="116"/>
        <v>293.33333333333547</v>
      </c>
      <c r="BI166" s="59">
        <f ca="1">AVERAGE(OFFSET($BH$3,0,0,'Données projet'!$E$11+1,1))-AVERAGE(OFFSET($H$3,0,0,'Données projet'!$E$11+1,1))</f>
        <v>212.82470567725971</v>
      </c>
      <c r="BJ166" s="59">
        <f t="shared" si="146"/>
        <v>196.91968622092054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7.2686335385902884E-2</v>
      </c>
      <c r="BQ166" s="21">
        <f>EXP(-LN(2)/25)*BQ165+(1-EXP(-LN(2)/25))/(LN(2)/25)*Calculateur!BL166*Calculateur!BN166*VLOOKUP('Données projet'!$B$11,Paramètres!$A$1:$I$89,3,0)*0.475*44/12</f>
        <v>0.10222960860365722</v>
      </c>
      <c r="BR166" s="21">
        <f>EXP(-LN(2)/2)*BR165+(1-EXP(-LN(2)/2))/(LN(2)/2)*BL166*BO166*VLOOKUP('Données projet'!$B$11,Paramètres!$A$1:$I$89,3,0)*0.475*44/12</f>
        <v>0</v>
      </c>
      <c r="BS166" s="22">
        <f t="shared" si="169"/>
        <v>0.17491594398956012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25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76.752000000000336</v>
      </c>
      <c r="D167" s="11">
        <f t="shared" si="140"/>
        <v>21.341125747045204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757.21009348596579</v>
      </c>
      <c r="H167" s="67">
        <f t="shared" si="110"/>
        <v>464.17886067610431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5.6843418860808015E-13</v>
      </c>
      <c r="O167" s="13">
        <f>N167*VLOOKUP('Données projet'!$B$9,Paramètres!$A$1:$I$89,3,0)*VLOOKUP('Données projet'!$B$9,Paramètres!$A$1:$I$89,5,0)</f>
        <v>2.2907897800905631E-13</v>
      </c>
      <c r="P167" s="13">
        <f t="shared" si="141"/>
        <v>3.1248920576624499E-12</v>
      </c>
      <c r="Q167" s="20">
        <f t="shared" si="162"/>
        <v>5.8414995537945398E-12</v>
      </c>
      <c r="R167" s="59">
        <f t="shared" si="109"/>
        <v>293.33333333333917</v>
      </c>
      <c r="S167" s="59">
        <f ca="1">AVERAGE(OFFSET($R$3,0,0,'Données projet'!$E$9+1,1))-AVERAGE(OFFSET($H$3,0,0,'Données projet'!$E$9+1,1))</f>
        <v>321.12254860105566</v>
      </c>
      <c r="T167" s="59">
        <f t="shared" si="142"/>
        <v>270.52026164274571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0.92953957091843842</v>
      </c>
      <c r="AA167" s="21">
        <f>EXP(-LN(2)/25)*AA166+(1-EXP(-LN(2)/25))/(LN(2)/25)*Calculateur!V167*Calculateur!X167*VLOOKUP('Données projet'!$B$9,Paramètres!$A$1:$I$89,3,0)*0.475*44/12</f>
        <v>0.50206586311043844</v>
      </c>
      <c r="AB167" s="21">
        <f>EXP(-LN(2)/2)*AB166+(1-EXP(-LN(2)/2))/(LN(2)/2)*V167*Y167*VLOOKUP('Données projet'!$B$9,Paramètres!$A$1:$I$89,3,0)*0.475*44/12</f>
        <v>0</v>
      </c>
      <c r="AC167" s="22">
        <f t="shared" si="163"/>
        <v>1.4316054340288769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-3.4106051316484809E-13</v>
      </c>
      <c r="AJ167" s="13">
        <f>AI167*VLOOKUP('Données projet'!$B$10,Paramètres!$A$1:$I$89,3,0)*VLOOKUP('Données projet'!$B$10,Paramètres!$A$1:$I$89,5,0)</f>
        <v>-1.5961632016114892E-13</v>
      </c>
      <c r="AK167" s="13" t="e">
        <f t="shared" si="164"/>
        <v>#NUM!</v>
      </c>
      <c r="AL167" s="20" t="e">
        <f t="shared" si="165"/>
        <v>#NUM!</v>
      </c>
      <c r="AM167" s="59" t="e">
        <f t="shared" si="113"/>
        <v>#NUM!</v>
      </c>
      <c r="AN167" s="59">
        <f ca="1">AVERAGE(OFFSET($AM$3,0,0,'Données projet'!$E$10+1,1))-AVERAGE(OFFSET($H$3,0,0,'Données projet'!$E$10+1,1))</f>
        <v>267.78121291362345</v>
      </c>
      <c r="AO167" s="59">
        <f t="shared" si="144"/>
        <v>320.1780590861174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0.51253237751696301</v>
      </c>
      <c r="AV167" s="21">
        <f>EXP(-LN(2)/25)*AV166+(1-EXP(-LN(2)/25))/(LN(2)/25)*Calculateur!AQ167*Calculateur!AS167*VLOOKUP('Données projet'!$B$10,Paramètres!$A$1:$I$89,3,0)*0.475*44/12</f>
        <v>0.48857089082567912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1.0011032683426422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8.5265128291212022E-14</v>
      </c>
      <c r="BE167" s="13">
        <f>BD167*VLOOKUP('Données projet'!$B$11,Paramètres!$A$1:$I$89,3,0)*VLOOKUP('Données projet'!$B$11,Paramètres!$A$1:$I$89,5,0)</f>
        <v>7.4487616075202836E-14</v>
      </c>
      <c r="BF167" s="13">
        <f t="shared" si="167"/>
        <v>1.1580453144473142E-12</v>
      </c>
      <c r="BG167" s="20">
        <f t="shared" si="168"/>
        <v>2.1466615206600508E-12</v>
      </c>
      <c r="BH167" s="59">
        <f t="shared" si="116"/>
        <v>293.33333333333547</v>
      </c>
      <c r="BI167" s="59">
        <f ca="1">AVERAGE(OFFSET($BH$3,0,0,'Données projet'!$E$11+1,1))-AVERAGE(OFFSET($H$3,0,0,'Données projet'!$E$11+1,1))</f>
        <v>212.82470567725971</v>
      </c>
      <c r="BJ167" s="59">
        <f t="shared" si="146"/>
        <v>196.91968622092054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7.1261000683272263E-2</v>
      </c>
      <c r="BQ167" s="21">
        <f>EXP(-LN(2)/25)*BQ166+(1-EXP(-LN(2)/25))/(LN(2)/25)*Calculateur!BL167*Calculateur!BN167*VLOOKUP('Données projet'!$B$11,Paramètres!$A$1:$I$89,3,0)*0.475*44/12</f>
        <v>9.9434134580368747E-2</v>
      </c>
      <c r="BR167" s="21">
        <f>EXP(-LN(2)/2)*BR166+(1-EXP(-LN(2)/2))/(LN(2)/2)*BL167*BO167*VLOOKUP('Données projet'!$B$11,Paramètres!$A$1:$I$89,3,0)*0.475*44/12</f>
        <v>0</v>
      </c>
      <c r="BS167" s="22">
        <f t="shared" si="169"/>
        <v>0.170695135263641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25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77.22000000000034</v>
      </c>
      <c r="D168" s="11">
        <f t="shared" si="140"/>
        <v>21.456066856215958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761.70998976728379</v>
      </c>
      <c r="H168" s="67">
        <f t="shared" si="110"/>
        <v>465.19414977457666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5.6843418860808015E-13</v>
      </c>
      <c r="O168" s="13">
        <f>N168*VLOOKUP('Données projet'!$B$9,Paramètres!$A$1:$I$89,3,0)*VLOOKUP('Données projet'!$B$9,Paramètres!$A$1:$I$89,5,0)</f>
        <v>2.2907897800905631E-13</v>
      </c>
      <c r="P168" s="13">
        <f t="shared" si="141"/>
        <v>3.1248920576624499E-12</v>
      </c>
      <c r="Q168" s="20">
        <f t="shared" si="162"/>
        <v>5.8414995537945398E-12</v>
      </c>
      <c r="R168" s="59">
        <f t="shared" si="109"/>
        <v>293.33333333333917</v>
      </c>
      <c r="S168" s="59">
        <f ca="1">AVERAGE(OFFSET($R$3,0,0,'Données projet'!$E$9+1,1))-AVERAGE(OFFSET($H$3,0,0,'Données projet'!$E$9+1,1))</f>
        <v>321.12254860105566</v>
      </c>
      <c r="T168" s="59">
        <f t="shared" si="142"/>
        <v>270.52026164274571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0.91131186689588317</v>
      </c>
      <c r="AA168" s="21">
        <f>EXP(-LN(2)/25)*AA167+(1-EXP(-LN(2)/25))/(LN(2)/25)*Calculateur!V168*Calculateur!X168*VLOOKUP('Données projet'!$B$9,Paramètres!$A$1:$I$89,3,0)*0.475*44/12</f>
        <v>0.48833684568118724</v>
      </c>
      <c r="AB168" s="21">
        <f>EXP(-LN(2)/2)*AB167+(1-EXP(-LN(2)/2))/(LN(2)/2)*V168*Y168*VLOOKUP('Données projet'!$B$9,Paramètres!$A$1:$I$89,3,0)*0.475*44/12</f>
        <v>0</v>
      </c>
      <c r="AC168" s="22">
        <f t="shared" si="163"/>
        <v>1.3996487125770705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-3.4106051316484809E-13</v>
      </c>
      <c r="AJ168" s="13">
        <f>AI168*VLOOKUP('Données projet'!$B$10,Paramètres!$A$1:$I$89,3,0)*VLOOKUP('Données projet'!$B$10,Paramètres!$A$1:$I$89,5,0)</f>
        <v>-1.5961632016114892E-13</v>
      </c>
      <c r="AK168" s="13" t="e">
        <f t="shared" si="164"/>
        <v>#NUM!</v>
      </c>
      <c r="AL168" s="20" t="e">
        <f t="shared" si="165"/>
        <v>#NUM!</v>
      </c>
      <c r="AM168" s="59" t="e">
        <f t="shared" si="113"/>
        <v>#NUM!</v>
      </c>
      <c r="AN168" s="59">
        <f ca="1">AVERAGE(OFFSET($AM$3,0,0,'Données projet'!$E$10+1,1))-AVERAGE(OFFSET($H$3,0,0,'Données projet'!$E$10+1,1))</f>
        <v>267.78121291362345</v>
      </c>
      <c r="AO168" s="59">
        <f t="shared" si="144"/>
        <v>320.1780590861174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0.50248193020773757</v>
      </c>
      <c r="AV168" s="21">
        <f>EXP(-LN(2)/25)*AV167+(1-EXP(-LN(2)/25))/(LN(2)/25)*Calculateur!AQ168*Calculateur!AS168*VLOOKUP('Données projet'!$B$10,Paramètres!$A$1:$I$89,3,0)*0.475*44/12</f>
        <v>0.47521089412322443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0.97769282433096194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8.5265128291212022E-14</v>
      </c>
      <c r="BE168" s="13">
        <f>BD168*VLOOKUP('Données projet'!$B$11,Paramètres!$A$1:$I$89,3,0)*VLOOKUP('Données projet'!$B$11,Paramètres!$A$1:$I$89,5,0)</f>
        <v>7.4487616075202836E-14</v>
      </c>
      <c r="BF168" s="13">
        <f t="shared" si="167"/>
        <v>1.1580453144473142E-12</v>
      </c>
      <c r="BG168" s="20">
        <f t="shared" si="168"/>
        <v>2.1466615206600508E-12</v>
      </c>
      <c r="BH168" s="59">
        <f t="shared" si="116"/>
        <v>293.33333333333547</v>
      </c>
      <c r="BI168" s="59">
        <f ca="1">AVERAGE(OFFSET($BH$3,0,0,'Données projet'!$E$11+1,1))-AVERAGE(OFFSET($H$3,0,0,'Données projet'!$E$11+1,1))</f>
        <v>212.82470567725971</v>
      </c>
      <c r="BJ168" s="59">
        <f t="shared" si="146"/>
        <v>196.91968622092054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6.98636159247919E-2</v>
      </c>
      <c r="BQ168" s="21">
        <f>EXP(-LN(2)/25)*BQ167+(1-EXP(-LN(2)/25))/(LN(2)/25)*Calculateur!BL168*Calculateur!BN168*VLOOKUP('Données projet'!$B$11,Paramètres!$A$1:$I$89,3,0)*0.475*44/12</f>
        <v>9.6715102941254683E-2</v>
      </c>
      <c r="BR168" s="21">
        <f>EXP(-LN(2)/2)*BR167+(1-EXP(-LN(2)/2))/(LN(2)/2)*BL168*BO168*VLOOKUP('Données projet'!$B$11,Paramètres!$A$1:$I$89,3,0)*0.475*44/12</f>
        <v>0</v>
      </c>
      <c r="BS168" s="22">
        <f t="shared" si="169"/>
        <v>0.16657871886604658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25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77.688000000000343</v>
      </c>
      <c r="D169" s="11">
        <f t="shared" si="140"/>
        <v>21.570926907728293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766.20926034036154</v>
      </c>
      <c r="H169" s="67">
        <f t="shared" si="110"/>
        <v>466.20929769762733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5.6843418860808015E-13</v>
      </c>
      <c r="O169" s="13">
        <f>N169*VLOOKUP('Données projet'!$B$9,Paramètres!$A$1:$I$89,3,0)*VLOOKUP('Données projet'!$B$9,Paramètres!$A$1:$I$89,5,0)</f>
        <v>2.2907897800905631E-13</v>
      </c>
      <c r="P169" s="13">
        <f t="shared" si="141"/>
        <v>3.1248920576624499E-12</v>
      </c>
      <c r="Q169" s="20">
        <f t="shared" si="162"/>
        <v>5.8414995537945398E-12</v>
      </c>
      <c r="R169" s="59">
        <f t="shared" si="109"/>
        <v>293.33333333333917</v>
      </c>
      <c r="S169" s="59">
        <f ca="1">AVERAGE(OFFSET($R$3,0,0,'Données projet'!$E$9+1,1))-AVERAGE(OFFSET($H$3,0,0,'Données projet'!$E$9+1,1))</f>
        <v>321.12254860105566</v>
      </c>
      <c r="T169" s="59">
        <f t="shared" si="142"/>
        <v>270.52026164274571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0.89344159703140857</v>
      </c>
      <c r="AA169" s="21">
        <f>EXP(-LN(2)/25)*AA168+(1-EXP(-LN(2)/25))/(LN(2)/25)*Calculateur!V169*Calculateur!X169*VLOOKUP('Données projet'!$B$9,Paramètres!$A$1:$I$89,3,0)*0.475*44/12</f>
        <v>0.47498324895551658</v>
      </c>
      <c r="AB169" s="21">
        <f>EXP(-LN(2)/2)*AB168+(1-EXP(-LN(2)/2))/(LN(2)/2)*V169*Y169*VLOOKUP('Données projet'!$B$9,Paramètres!$A$1:$I$89,3,0)*0.475*44/12</f>
        <v>0</v>
      </c>
      <c r="AC169" s="22">
        <f t="shared" si="163"/>
        <v>1.368424845986925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-3.4106051316484809E-13</v>
      </c>
      <c r="AJ169" s="13">
        <f>AI169*VLOOKUP('Données projet'!$B$10,Paramètres!$A$1:$I$89,3,0)*VLOOKUP('Données projet'!$B$10,Paramètres!$A$1:$I$89,5,0)</f>
        <v>-1.5961632016114892E-13</v>
      </c>
      <c r="AK169" s="13" t="e">
        <f t="shared" si="164"/>
        <v>#NUM!</v>
      </c>
      <c r="AL169" s="20" t="e">
        <f t="shared" si="165"/>
        <v>#NUM!</v>
      </c>
      <c r="AM169" s="59" t="e">
        <f t="shared" si="113"/>
        <v>#NUM!</v>
      </c>
      <c r="AN169" s="59">
        <f ca="1">AVERAGE(OFFSET($AM$3,0,0,'Données projet'!$E$10+1,1))-AVERAGE(OFFSET($H$3,0,0,'Données projet'!$E$10+1,1))</f>
        <v>267.78121291362345</v>
      </c>
      <c r="AO169" s="59">
        <f t="shared" si="144"/>
        <v>320.1780590861174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0.49262856604007849</v>
      </c>
      <c r="AV169" s="21">
        <f>EXP(-LN(2)/25)*AV168+(1-EXP(-LN(2)/25))/(LN(2)/25)*Calculateur!AQ169*Calculateur!AS169*VLOOKUP('Données projet'!$B$10,Paramètres!$A$1:$I$89,3,0)*0.475*44/12</f>
        <v>0.46221622723317002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0.95484479327324845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8.5265128291212022E-14</v>
      </c>
      <c r="BE169" s="13">
        <f>BD169*VLOOKUP('Données projet'!$B$11,Paramètres!$A$1:$I$89,3,0)*VLOOKUP('Données projet'!$B$11,Paramètres!$A$1:$I$89,5,0)</f>
        <v>7.4487616075202836E-14</v>
      </c>
      <c r="BF169" s="13">
        <f t="shared" si="167"/>
        <v>1.1580453144473142E-12</v>
      </c>
      <c r="BG169" s="20">
        <f t="shared" si="168"/>
        <v>2.1466615206600508E-12</v>
      </c>
      <c r="BH169" s="59">
        <f t="shared" si="116"/>
        <v>293.33333333333547</v>
      </c>
      <c r="BI169" s="59">
        <f ca="1">AVERAGE(OFFSET($BH$3,0,0,'Données projet'!$E$11+1,1))-AVERAGE(OFFSET($H$3,0,0,'Données projet'!$E$11+1,1))</f>
        <v>212.82470567725971</v>
      </c>
      <c r="BJ169" s="59">
        <f t="shared" si="146"/>
        <v>196.91968622092054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6.84936330291048E-2</v>
      </c>
      <c r="BQ169" s="21">
        <f>EXP(-LN(2)/25)*BQ168+(1-EXP(-LN(2)/25))/(LN(2)/25)*Calculateur!BL169*Calculateur!BN169*VLOOKUP('Données projet'!$B$11,Paramètres!$A$1:$I$89,3,0)*0.475*44/12</f>
        <v>9.407042336529986E-2</v>
      </c>
      <c r="BR169" s="21">
        <f>EXP(-LN(2)/2)*BR168+(1-EXP(-LN(2)/2))/(LN(2)/2)*BL169*BO169*VLOOKUP('Données projet'!$B$11,Paramètres!$A$1:$I$89,3,0)*0.475*44/12</f>
        <v>0</v>
      </c>
      <c r="BS169" s="22">
        <f t="shared" si="169"/>
        <v>0.16256405639440466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25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78.156000000000347</v>
      </c>
      <c r="D170" s="11">
        <f t="shared" si="140"/>
        <v>21.685706446534894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770.70790941185112</v>
      </c>
      <c r="H170" s="67">
        <f t="shared" si="110"/>
        <v>467.22430539438216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5.6843418860808015E-13</v>
      </c>
      <c r="O170" s="13">
        <f>N170*VLOOKUP('Données projet'!$B$9,Paramètres!$A$1:$I$89,3,0)*VLOOKUP('Données projet'!$B$9,Paramètres!$A$1:$I$89,5,0)</f>
        <v>2.2907897800905631E-13</v>
      </c>
      <c r="P170" s="13">
        <f t="shared" si="141"/>
        <v>3.1248920576624499E-12</v>
      </c>
      <c r="Q170" s="20">
        <f t="shared" si="162"/>
        <v>5.8414995537945398E-12</v>
      </c>
      <c r="R170" s="59">
        <f t="shared" si="109"/>
        <v>293.33333333333917</v>
      </c>
      <c r="S170" s="59">
        <f ca="1">AVERAGE(OFFSET($R$3,0,0,'Données projet'!$E$9+1,1))-AVERAGE(OFFSET($H$3,0,0,'Données projet'!$E$9+1,1))</f>
        <v>321.12254860105566</v>
      </c>
      <c r="T170" s="59">
        <f t="shared" si="142"/>
        <v>270.52026164274571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0.87592175225918789</v>
      </c>
      <c r="AA170" s="21">
        <f>EXP(-LN(2)/25)*AA169+(1-EXP(-LN(2)/25))/(LN(2)/25)*Calculateur!V170*Calculateur!X170*VLOOKUP('Données projet'!$B$9,Paramètres!$A$1:$I$89,3,0)*0.475*44/12</f>
        <v>0.46199480703454449</v>
      </c>
      <c r="AB170" s="21">
        <f>EXP(-LN(2)/2)*AB169+(1-EXP(-LN(2)/2))/(LN(2)/2)*V170*Y170*VLOOKUP('Données projet'!$B$9,Paramètres!$A$1:$I$89,3,0)*0.475*44/12</f>
        <v>0</v>
      </c>
      <c r="AC170" s="22">
        <f t="shared" si="163"/>
        <v>1.3379165592937323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-3.4106051316484809E-13</v>
      </c>
      <c r="AJ170" s="13">
        <f>AI170*VLOOKUP('Données projet'!$B$10,Paramètres!$A$1:$I$89,3,0)*VLOOKUP('Données projet'!$B$10,Paramètres!$A$1:$I$89,5,0)</f>
        <v>-1.5961632016114892E-13</v>
      </c>
      <c r="AK170" s="13" t="e">
        <f t="shared" si="164"/>
        <v>#NUM!</v>
      </c>
      <c r="AL170" s="20" t="e">
        <f t="shared" si="165"/>
        <v>#NUM!</v>
      </c>
      <c r="AM170" s="59" t="e">
        <f t="shared" si="113"/>
        <v>#NUM!</v>
      </c>
      <c r="AN170" s="59">
        <f ca="1">AVERAGE(OFFSET($AM$3,0,0,'Données projet'!$E$10+1,1))-AVERAGE(OFFSET($H$3,0,0,'Données projet'!$E$10+1,1))</f>
        <v>267.78121291362345</v>
      </c>
      <c r="AO170" s="59">
        <f t="shared" si="144"/>
        <v>320.1780590861174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0.48296842033378851</v>
      </c>
      <c r="AV170" s="21">
        <f>EXP(-LN(2)/25)*AV169+(1-EXP(-LN(2)/25))/(LN(2)/25)*Calculateur!AQ170*Calculateur!AS170*VLOOKUP('Données projet'!$B$10,Paramètres!$A$1:$I$89,3,0)*0.475*44/12</f>
        <v>0.44957690019258401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0.93254532052637251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8.5265128291212022E-14</v>
      </c>
      <c r="BE170" s="13">
        <f>BD170*VLOOKUP('Données projet'!$B$11,Paramètres!$A$1:$I$89,3,0)*VLOOKUP('Données projet'!$B$11,Paramètres!$A$1:$I$89,5,0)</f>
        <v>7.4487616075202836E-14</v>
      </c>
      <c r="BF170" s="13">
        <f t="shared" si="167"/>
        <v>1.1580453144473142E-12</v>
      </c>
      <c r="BG170" s="20">
        <f t="shared" si="168"/>
        <v>2.1466615206600508E-12</v>
      </c>
      <c r="BH170" s="59">
        <f t="shared" si="116"/>
        <v>293.33333333333547</v>
      </c>
      <c r="BI170" s="59">
        <f ca="1">AVERAGE(OFFSET($BH$3,0,0,'Données projet'!$E$11+1,1))-AVERAGE(OFFSET($H$3,0,0,'Données projet'!$E$11+1,1))</f>
        <v>212.82470567725971</v>
      </c>
      <c r="BJ170" s="59">
        <f t="shared" si="146"/>
        <v>196.91968622092054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6.7150514662395064E-2</v>
      </c>
      <c r="BQ170" s="21">
        <f>EXP(-LN(2)/25)*BQ169+(1-EXP(-LN(2)/25))/(LN(2)/25)*Calculateur!BL170*Calculateur!BN170*VLOOKUP('Données projet'!$B$11,Paramètres!$A$1:$I$89,3,0)*0.475*44/12</f>
        <v>9.1498062691427171E-2</v>
      </c>
      <c r="BR170" s="21">
        <f>EXP(-LN(2)/2)*BR169+(1-EXP(-LN(2)/2))/(LN(2)/2)*BL170*BO170*VLOOKUP('Données projet'!$B$11,Paramètres!$A$1:$I$89,3,0)*0.475*44/12</f>
        <v>0</v>
      </c>
      <c r="BS170" s="22">
        <f t="shared" si="169"/>
        <v>0.15864857735382223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25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78.62400000000035</v>
      </c>
      <c r="D171" s="11">
        <f t="shared" si="140"/>
        <v>21.800406010684551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775.20594113511152</v>
      </c>
      <c r="H171" s="67">
        <f t="shared" si="110"/>
        <v>468.23917380194285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5.6843418860808015E-13</v>
      </c>
      <c r="O171" s="13">
        <f>N171*VLOOKUP('Données projet'!$B$9,Paramètres!$A$1:$I$89,3,0)*VLOOKUP('Données projet'!$B$9,Paramètres!$A$1:$I$89,5,0)</f>
        <v>2.2907897800905631E-13</v>
      </c>
      <c r="P171" s="13">
        <f t="shared" si="141"/>
        <v>3.1248920576624499E-12</v>
      </c>
      <c r="Q171" s="20">
        <f t="shared" si="162"/>
        <v>5.8414995537945398E-12</v>
      </c>
      <c r="R171" s="59">
        <f t="shared" si="109"/>
        <v>293.33333333333917</v>
      </c>
      <c r="S171" s="59">
        <f ca="1">AVERAGE(OFFSET($R$3,0,0,'Données projet'!$E$9+1,1))-AVERAGE(OFFSET($H$3,0,0,'Données projet'!$E$9+1,1))</f>
        <v>321.12254860105566</v>
      </c>
      <c r="T171" s="59">
        <f t="shared" si="142"/>
        <v>270.52026164274571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0.8587454609569003</v>
      </c>
      <c r="AA171" s="21">
        <f>EXP(-LN(2)/25)*AA170+(1-EXP(-LN(2)/25))/(LN(2)/25)*Calculateur!V171*Calculateur!X171*VLOOKUP('Données projet'!$B$9,Paramètres!$A$1:$I$89,3,0)*0.475*44/12</f>
        <v>0.44936153474093388</v>
      </c>
      <c r="AB171" s="21">
        <f>EXP(-LN(2)/2)*AB170+(1-EXP(-LN(2)/2))/(LN(2)/2)*V171*Y171*VLOOKUP('Données projet'!$B$9,Paramètres!$A$1:$I$89,3,0)*0.475*44/12</f>
        <v>0</v>
      </c>
      <c r="AC171" s="22">
        <f t="shared" si="163"/>
        <v>1.3081069956978342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-3.4106051316484809E-13</v>
      </c>
      <c r="AJ171" s="13">
        <f>AI171*VLOOKUP('Données projet'!$B$10,Paramètres!$A$1:$I$89,3,0)*VLOOKUP('Données projet'!$B$10,Paramètres!$A$1:$I$89,5,0)</f>
        <v>-1.5961632016114892E-13</v>
      </c>
      <c r="AK171" s="13" t="e">
        <f t="shared" si="164"/>
        <v>#NUM!</v>
      </c>
      <c r="AL171" s="20" t="e">
        <f t="shared" si="165"/>
        <v>#NUM!</v>
      </c>
      <c r="AM171" s="59" t="e">
        <f t="shared" si="113"/>
        <v>#NUM!</v>
      </c>
      <c r="AN171" s="59">
        <f ca="1">AVERAGE(OFFSET($AM$3,0,0,'Données projet'!$E$10+1,1))-AVERAGE(OFFSET($H$3,0,0,'Données projet'!$E$10+1,1))</f>
        <v>267.78121291362345</v>
      </c>
      <c r="AO171" s="59">
        <f t="shared" si="144"/>
        <v>320.1780590861174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0.47349770419269177</v>
      </c>
      <c r="AV171" s="21">
        <f>EXP(-LN(2)/25)*AV170+(1-EXP(-LN(2)/25))/(LN(2)/25)*Calculateur!AQ171*Calculateur!AS171*VLOOKUP('Données projet'!$B$10,Paramètres!$A$1:$I$89,3,0)*0.475*44/12</f>
        <v>0.43728319621459616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0.91078090040728799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8.5265128291212022E-14</v>
      </c>
      <c r="BE171" s="13">
        <f>BD171*VLOOKUP('Données projet'!$B$11,Paramètres!$A$1:$I$89,3,0)*VLOOKUP('Données projet'!$B$11,Paramètres!$A$1:$I$89,5,0)</f>
        <v>7.4487616075202836E-14</v>
      </c>
      <c r="BF171" s="13">
        <f t="shared" si="167"/>
        <v>1.1580453144473142E-12</v>
      </c>
      <c r="BG171" s="20">
        <f t="shared" si="168"/>
        <v>2.1466615206600508E-12</v>
      </c>
      <c r="BH171" s="59">
        <f t="shared" si="116"/>
        <v>293.33333333333547</v>
      </c>
      <c r="BI171" s="59">
        <f ca="1">AVERAGE(OFFSET($BH$3,0,0,'Données projet'!$E$11+1,1))-AVERAGE(OFFSET($H$3,0,0,'Données projet'!$E$11+1,1))</f>
        <v>212.82470567725971</v>
      </c>
      <c r="BJ171" s="59">
        <f t="shared" si="146"/>
        <v>196.91968622092054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6.5833734027635191E-2</v>
      </c>
      <c r="BQ171" s="21">
        <f>EXP(-LN(2)/25)*BQ170+(1-EXP(-LN(2)/25))/(LN(2)/25)*Calculateur!BL171*Calculateur!BN171*VLOOKUP('Données projet'!$B$11,Paramètres!$A$1:$I$89,3,0)*0.475*44/12</f>
        <v>8.8996043355456106E-2</v>
      </c>
      <c r="BR171" s="21">
        <f>EXP(-LN(2)/2)*BR170+(1-EXP(-LN(2)/2))/(LN(2)/2)*BL171*BO171*VLOOKUP('Données projet'!$B$11,Paramètres!$A$1:$I$89,3,0)*0.475*44/12</f>
        <v>0</v>
      </c>
      <c r="BS171" s="22">
        <f t="shared" si="169"/>
        <v>0.15482977738309128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25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79.092000000000354</v>
      </c>
      <c r="D172" s="11">
        <f t="shared" si="140"/>
        <v>21.915026131450077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779.70335961119633</v>
      </c>
      <c r="H172" s="67">
        <f t="shared" si="110"/>
        <v>469.25390384560944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5.6843418860808015E-13</v>
      </c>
      <c r="O172" s="13">
        <f>N172*VLOOKUP('Données projet'!$B$9,Paramètres!$A$1:$I$89,3,0)*VLOOKUP('Données projet'!$B$9,Paramètres!$A$1:$I$89,5,0)</f>
        <v>2.2907897800905631E-13</v>
      </c>
      <c r="P172" s="13">
        <f t="shared" si="141"/>
        <v>3.1248920576624499E-12</v>
      </c>
      <c r="Q172" s="20">
        <f t="shared" si="162"/>
        <v>5.8414995537945398E-12</v>
      </c>
      <c r="R172" s="59">
        <f t="shared" si="109"/>
        <v>293.33333333333917</v>
      </c>
      <c r="S172" s="59">
        <f ca="1">AVERAGE(OFFSET($R$3,0,0,'Données projet'!$E$9+1,1))-AVERAGE(OFFSET($H$3,0,0,'Données projet'!$E$9+1,1))</f>
        <v>321.12254860105566</v>
      </c>
      <c r="T172" s="59">
        <f t="shared" si="142"/>
        <v>270.52026164274571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0.84190598625054736</v>
      </c>
      <c r="AA172" s="21">
        <f>EXP(-LN(2)/25)*AA171+(1-EXP(-LN(2)/25))/(LN(2)/25)*Calculateur!V172*Calculateur!X172*VLOOKUP('Données projet'!$B$9,Paramètres!$A$1:$I$89,3,0)*0.475*44/12</f>
        <v>0.43707371994254696</v>
      </c>
      <c r="AB172" s="21">
        <f>EXP(-LN(2)/2)*AB171+(1-EXP(-LN(2)/2))/(LN(2)/2)*V172*Y172*VLOOKUP('Données projet'!$B$9,Paramètres!$A$1:$I$89,3,0)*0.475*44/12</f>
        <v>0</v>
      </c>
      <c r="AC172" s="22">
        <f t="shared" si="163"/>
        <v>1.2789797061930943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-3.4106051316484809E-13</v>
      </c>
      <c r="AJ172" s="13">
        <f>AI172*VLOOKUP('Données projet'!$B$10,Paramètres!$A$1:$I$89,3,0)*VLOOKUP('Données projet'!$B$10,Paramètres!$A$1:$I$89,5,0)</f>
        <v>-1.5961632016114892E-13</v>
      </c>
      <c r="AK172" s="13" t="e">
        <f t="shared" si="164"/>
        <v>#NUM!</v>
      </c>
      <c r="AL172" s="20" t="e">
        <f t="shared" si="165"/>
        <v>#NUM!</v>
      </c>
      <c r="AM172" s="59" t="e">
        <f t="shared" si="113"/>
        <v>#NUM!</v>
      </c>
      <c r="AN172" s="59">
        <f ca="1">AVERAGE(OFFSET($AM$3,0,0,'Données projet'!$E$10+1,1))-AVERAGE(OFFSET($H$3,0,0,'Données projet'!$E$10+1,1))</f>
        <v>267.78121291362345</v>
      </c>
      <c r="AO172" s="59">
        <f t="shared" si="144"/>
        <v>320.1780590861174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0.46421270301855549</v>
      </c>
      <c r="AV172" s="21">
        <f>EXP(-LN(2)/25)*AV171+(1-EXP(-LN(2)/25))/(LN(2)/25)*Calculateur!AQ172*Calculateur!AS172*VLOOKUP('Données projet'!$B$10,Paramètres!$A$1:$I$89,3,0)*0.475*44/12</f>
        <v>0.42532566421838414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0.88953836723693969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8.5265128291212022E-14</v>
      </c>
      <c r="BE172" s="13">
        <f>BD172*VLOOKUP('Données projet'!$B$11,Paramètres!$A$1:$I$89,3,0)*VLOOKUP('Données projet'!$B$11,Paramètres!$A$1:$I$89,5,0)</f>
        <v>7.4487616075202836E-14</v>
      </c>
      <c r="BF172" s="13">
        <f t="shared" si="167"/>
        <v>1.1580453144473142E-12</v>
      </c>
      <c r="BG172" s="20">
        <f t="shared" si="168"/>
        <v>2.1466615206600508E-12</v>
      </c>
      <c r="BH172" s="59">
        <f t="shared" si="116"/>
        <v>293.33333333333547</v>
      </c>
      <c r="BI172" s="59">
        <f ca="1">AVERAGE(OFFSET($BH$3,0,0,'Données projet'!$E$11+1,1))-AVERAGE(OFFSET($H$3,0,0,'Données projet'!$E$11+1,1))</f>
        <v>212.82470567725971</v>
      </c>
      <c r="BJ172" s="59">
        <f t="shared" si="146"/>
        <v>196.91968622092054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6.4542774657966082E-2</v>
      </c>
      <c r="BQ172" s="21">
        <f>EXP(-LN(2)/25)*BQ171+(1-EXP(-LN(2)/25))/(LN(2)/25)*Calculateur!BL172*Calculateur!BN172*VLOOKUP('Données projet'!$B$11,Paramètres!$A$1:$I$89,3,0)*0.475*44/12</f>
        <v>8.6562441869802637E-2</v>
      </c>
      <c r="BR172" s="21">
        <f>EXP(-LN(2)/2)*BR171+(1-EXP(-LN(2)/2))/(LN(2)/2)*BL172*BO172*VLOOKUP('Données projet'!$B$11,Paramètres!$A$1:$I$89,3,0)*0.475*44/12</f>
        <v>0</v>
      </c>
      <c r="BS172" s="22">
        <f t="shared" si="169"/>
        <v>0.1511052165277687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25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79.560000000000358</v>
      </c>
      <c r="D173" s="11">
        <f t="shared" si="140"/>
        <v>22.0295673334534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784.20016888981854</v>
      </c>
      <c r="H173" s="67">
        <f t="shared" si="110"/>
        <v>470.26849643909861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5.6843418860808015E-13</v>
      </c>
      <c r="O173" s="13">
        <f>N173*VLOOKUP('Données projet'!$B$9,Paramètres!$A$1:$I$89,3,0)*VLOOKUP('Données projet'!$B$9,Paramètres!$A$1:$I$89,5,0)</f>
        <v>2.2907897800905631E-13</v>
      </c>
      <c r="P173" s="13">
        <f t="shared" si="141"/>
        <v>3.1248920576624499E-12</v>
      </c>
      <c r="Q173" s="20">
        <f t="shared" si="162"/>
        <v>5.8414995537945398E-12</v>
      </c>
      <c r="R173" s="59">
        <f t="shared" si="109"/>
        <v>293.33333333333917</v>
      </c>
      <c r="S173" s="59">
        <f ca="1">AVERAGE(OFFSET($R$3,0,0,'Données projet'!$E$9+1,1))-AVERAGE(OFFSET($H$3,0,0,'Données projet'!$E$9+1,1))</f>
        <v>321.12254860105566</v>
      </c>
      <c r="T173" s="59">
        <f t="shared" si="142"/>
        <v>270.52026164274571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0.82539672337212067</v>
      </c>
      <c r="AA173" s="21">
        <f>EXP(-LN(2)/25)*AA172+(1-EXP(-LN(2)/25))/(LN(2)/25)*Calculateur!V173*Calculateur!X173*VLOOKUP('Données projet'!$B$9,Paramètres!$A$1:$I$89,3,0)*0.475*44/12</f>
        <v>0.42512191608601002</v>
      </c>
      <c r="AB173" s="21">
        <f>EXP(-LN(2)/2)*AB172+(1-EXP(-LN(2)/2))/(LN(2)/2)*V173*Y173*VLOOKUP('Données projet'!$B$9,Paramètres!$A$1:$I$89,3,0)*0.475*44/12</f>
        <v>0</v>
      </c>
      <c r="AC173" s="22">
        <f t="shared" si="163"/>
        <v>1.2505186394581307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-3.4106051316484809E-13</v>
      </c>
      <c r="AJ173" s="13">
        <f>AI173*VLOOKUP('Données projet'!$B$10,Paramètres!$A$1:$I$89,3,0)*VLOOKUP('Données projet'!$B$10,Paramètres!$A$1:$I$89,5,0)</f>
        <v>-1.5961632016114892E-13</v>
      </c>
      <c r="AK173" s="13" t="e">
        <f t="shared" si="164"/>
        <v>#NUM!</v>
      </c>
      <c r="AL173" s="20" t="e">
        <f t="shared" si="165"/>
        <v>#NUM!</v>
      </c>
      <c r="AM173" s="59" t="e">
        <f t="shared" si="113"/>
        <v>#NUM!</v>
      </c>
      <c r="AN173" s="59">
        <f ca="1">AVERAGE(OFFSET($AM$3,0,0,'Données projet'!$E$10+1,1))-AVERAGE(OFFSET($H$3,0,0,'Données projet'!$E$10+1,1))</f>
        <v>267.78121291362345</v>
      </c>
      <c r="AO173" s="59">
        <f t="shared" si="144"/>
        <v>320.1780590861174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0.45510977505415251</v>
      </c>
      <c r="AV173" s="21">
        <f>EXP(-LN(2)/25)*AV172+(1-EXP(-LN(2)/25))/(LN(2)/25)*Calculateur!AQ173*Calculateur!AS173*VLOOKUP('Données projet'!$B$10,Paramètres!$A$1:$I$89,3,0)*0.475*44/12</f>
        <v>0.41369511156342781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0.86880488661758037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8.5265128291212022E-14</v>
      </c>
      <c r="BE173" s="13">
        <f>BD173*VLOOKUP('Données projet'!$B$11,Paramètres!$A$1:$I$89,3,0)*VLOOKUP('Données projet'!$B$11,Paramètres!$A$1:$I$89,5,0)</f>
        <v>7.4487616075202836E-14</v>
      </c>
      <c r="BF173" s="13">
        <f t="shared" si="167"/>
        <v>1.1580453144473142E-12</v>
      </c>
      <c r="BG173" s="20">
        <f t="shared" si="168"/>
        <v>2.1466615206600508E-12</v>
      </c>
      <c r="BH173" s="59">
        <f t="shared" si="116"/>
        <v>293.33333333333547</v>
      </c>
      <c r="BI173" s="59">
        <f ca="1">AVERAGE(OFFSET($BH$3,0,0,'Données projet'!$E$11+1,1))-AVERAGE(OFFSET($H$3,0,0,'Données projet'!$E$11+1,1))</f>
        <v>212.82470567725971</v>
      </c>
      <c r="BJ173" s="59">
        <f t="shared" si="146"/>
        <v>196.91968622092054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6.3277130214128716E-2</v>
      </c>
      <c r="BQ173" s="21">
        <f>EXP(-LN(2)/25)*BQ172+(1-EXP(-LN(2)/25))/(LN(2)/25)*Calculateur!BL173*Calculateur!BN173*VLOOKUP('Données projet'!$B$11,Paramètres!$A$1:$I$89,3,0)*0.475*44/12</f>
        <v>8.4195387344751904E-2</v>
      </c>
      <c r="BR173" s="21">
        <f>EXP(-LN(2)/2)*BR172+(1-EXP(-LN(2)/2))/(LN(2)/2)*BL173*BO173*VLOOKUP('Données projet'!$B$11,Paramètres!$A$1:$I$89,3,0)*0.475*44/12</f>
        <v>0</v>
      </c>
      <c r="BS173" s="22">
        <f t="shared" si="169"/>
        <v>0.14747251755888063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25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80.028000000000361</v>
      </c>
      <c r="D174" s="11">
        <f t="shared" si="140"/>
        <v>22.144030134787236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788.69637297029021</v>
      </c>
      <c r="H174" s="67">
        <f t="shared" si="110"/>
        <v>471.28295248475501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5.6843418860808015E-13</v>
      </c>
      <c r="O174" s="13">
        <f>N174*VLOOKUP('Données projet'!$B$9,Paramètres!$A$1:$I$89,3,0)*VLOOKUP('Données projet'!$B$9,Paramètres!$A$1:$I$89,5,0)</f>
        <v>2.2907897800905631E-13</v>
      </c>
      <c r="P174" s="13">
        <f t="shared" si="141"/>
        <v>3.1248920576624499E-12</v>
      </c>
      <c r="Q174" s="20">
        <f t="shared" si="162"/>
        <v>5.8414995537945398E-12</v>
      </c>
      <c r="R174" s="59">
        <f t="shared" si="109"/>
        <v>293.33333333333917</v>
      </c>
      <c r="S174" s="59">
        <f ca="1">AVERAGE(OFFSET($R$3,0,0,'Données projet'!$E$9+1,1))-AVERAGE(OFFSET($H$3,0,0,'Données projet'!$E$9+1,1))</f>
        <v>321.12254860105566</v>
      </c>
      <c r="T174" s="59">
        <f t="shared" si="142"/>
        <v>270.52026164274571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0.80921119706908384</v>
      </c>
      <c r="AA174" s="21">
        <f>EXP(-LN(2)/25)*AA173+(1-EXP(-LN(2)/25))/(LN(2)/25)*Calculateur!V174*Calculateur!X174*VLOOKUP('Données projet'!$B$9,Paramètres!$A$1:$I$89,3,0)*0.475*44/12</f>
        <v>0.41349693493444811</v>
      </c>
      <c r="AB174" s="21">
        <f>EXP(-LN(2)/2)*AB173+(1-EXP(-LN(2)/2))/(LN(2)/2)*V174*Y174*VLOOKUP('Données projet'!$B$9,Paramètres!$A$1:$I$89,3,0)*0.475*44/12</f>
        <v>0</v>
      </c>
      <c r="AC174" s="22">
        <f t="shared" si="163"/>
        <v>1.222708132003532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-3.4106051316484809E-13</v>
      </c>
      <c r="AJ174" s="13">
        <f>AI174*VLOOKUP('Données projet'!$B$10,Paramètres!$A$1:$I$89,3,0)*VLOOKUP('Données projet'!$B$10,Paramètres!$A$1:$I$89,5,0)</f>
        <v>-1.5961632016114892E-13</v>
      </c>
      <c r="AK174" s="13" t="e">
        <f t="shared" si="164"/>
        <v>#NUM!</v>
      </c>
      <c r="AL174" s="20" t="e">
        <f t="shared" si="165"/>
        <v>#NUM!</v>
      </c>
      <c r="AM174" s="59" t="e">
        <f t="shared" si="113"/>
        <v>#NUM!</v>
      </c>
      <c r="AN174" s="59">
        <f ca="1">AVERAGE(OFFSET($AM$3,0,0,'Données projet'!$E$10+1,1))-AVERAGE(OFFSET($H$3,0,0,'Données projet'!$E$10+1,1))</f>
        <v>267.78121291362345</v>
      </c>
      <c r="AO174" s="59">
        <f t="shared" si="144"/>
        <v>320.1780590861174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0.44618534995489367</v>
      </c>
      <c r="AV174" s="21">
        <f>EXP(-LN(2)/25)*AV173+(1-EXP(-LN(2)/25))/(LN(2)/25)*Calculateur!AQ174*Calculateur!AS174*VLOOKUP('Données projet'!$B$10,Paramètres!$A$1:$I$89,3,0)*0.475*44/12</f>
        <v>0.4023825969824455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0.84856794693733917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8.5265128291212022E-14</v>
      </c>
      <c r="BE174" s="13">
        <f>BD174*VLOOKUP('Données projet'!$B$11,Paramètres!$A$1:$I$89,3,0)*VLOOKUP('Données projet'!$B$11,Paramètres!$A$1:$I$89,5,0)</f>
        <v>7.4487616075202836E-14</v>
      </c>
      <c r="BF174" s="13">
        <f t="shared" si="167"/>
        <v>1.1580453144473142E-12</v>
      </c>
      <c r="BG174" s="20">
        <f t="shared" si="168"/>
        <v>2.1466615206600508E-12</v>
      </c>
      <c r="BH174" s="59">
        <f t="shared" si="116"/>
        <v>293.33333333333547</v>
      </c>
      <c r="BI174" s="59">
        <f ca="1">AVERAGE(OFFSET($BH$3,0,0,'Données projet'!$E$11+1,1))-AVERAGE(OFFSET($H$3,0,0,'Données projet'!$E$11+1,1))</f>
        <v>212.82470567725971</v>
      </c>
      <c r="BJ174" s="59">
        <f t="shared" si="146"/>
        <v>196.91968622092054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6.2036304285868121E-2</v>
      </c>
      <c r="BQ174" s="21">
        <f>EXP(-LN(2)/25)*BQ173+(1-EXP(-LN(2)/25))/(LN(2)/25)*Calculateur!BL174*Calculateur!BN174*VLOOKUP('Données projet'!$B$11,Paramètres!$A$1:$I$89,3,0)*0.475*44/12</f>
        <v>8.189306005016668E-2</v>
      </c>
      <c r="BR174" s="21">
        <f>EXP(-LN(2)/2)*BR173+(1-EXP(-LN(2)/2))/(LN(2)/2)*BL174*BO174*VLOOKUP('Données projet'!$B$11,Paramètres!$A$1:$I$89,3,0)*0.475*44/12</f>
        <v>0</v>
      </c>
      <c r="BS174" s="22">
        <f t="shared" si="169"/>
        <v>0.14392936433603482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25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80.496000000000365</v>
      </c>
      <c r="D175" s="11">
        <f t="shared" si="140"/>
        <v>22.258415047134207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793.19197580244236</v>
      </c>
      <c r="H175" s="67">
        <f t="shared" si="110"/>
        <v>472.29727287375937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5.6843418860808015E-13</v>
      </c>
      <c r="O175" s="13">
        <f>N175*VLOOKUP('Données projet'!$B$9,Paramètres!$A$1:$I$89,3,0)*VLOOKUP('Données projet'!$B$9,Paramètres!$A$1:$I$89,5,0)</f>
        <v>2.2907897800905631E-13</v>
      </c>
      <c r="P175" s="13">
        <f t="shared" si="141"/>
        <v>3.1248920576624499E-12</v>
      </c>
      <c r="Q175" s="20">
        <f t="shared" si="162"/>
        <v>5.8414995537945398E-12</v>
      </c>
      <c r="R175" s="59">
        <f t="shared" si="109"/>
        <v>293.33333333333917</v>
      </c>
      <c r="S175" s="59">
        <f ca="1">AVERAGE(OFFSET($R$3,0,0,'Données projet'!$E$9+1,1))-AVERAGE(OFFSET($H$3,0,0,'Données projet'!$E$9+1,1))</f>
        <v>321.12254860105566</v>
      </c>
      <c r="T175" s="59">
        <f t="shared" si="142"/>
        <v>270.52026164274571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0.7933430590646533</v>
      </c>
      <c r="AA175" s="21">
        <f>EXP(-LN(2)/25)*AA174+(1-EXP(-LN(2)/25))/(LN(2)/25)*Calculateur!V175*Calculateur!X175*VLOOKUP('Données projet'!$B$9,Paramètres!$A$1:$I$89,3,0)*0.475*44/12</f>
        <v>0.40218983950380688</v>
      </c>
      <c r="AB175" s="21">
        <f>EXP(-LN(2)/2)*AB174+(1-EXP(-LN(2)/2))/(LN(2)/2)*V175*Y175*VLOOKUP('Données projet'!$B$9,Paramètres!$A$1:$I$89,3,0)*0.475*44/12</f>
        <v>0</v>
      </c>
      <c r="AC175" s="22">
        <f t="shared" si="163"/>
        <v>1.1955328985684601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-3.4106051316484809E-13</v>
      </c>
      <c r="AJ175" s="13">
        <f>AI175*VLOOKUP('Données projet'!$B$10,Paramètres!$A$1:$I$89,3,0)*VLOOKUP('Données projet'!$B$10,Paramètres!$A$1:$I$89,5,0)</f>
        <v>-1.5961632016114892E-13</v>
      </c>
      <c r="AK175" s="13" t="e">
        <f t="shared" si="164"/>
        <v>#NUM!</v>
      </c>
      <c r="AL175" s="20" t="e">
        <f t="shared" si="165"/>
        <v>#NUM!</v>
      </c>
      <c r="AM175" s="59" t="e">
        <f t="shared" si="113"/>
        <v>#NUM!</v>
      </c>
      <c r="AN175" s="59">
        <f ca="1">AVERAGE(OFFSET($AM$3,0,0,'Données projet'!$E$10+1,1))-AVERAGE(OFFSET($H$3,0,0,'Données projet'!$E$10+1,1))</f>
        <v>267.78121291362345</v>
      </c>
      <c r="AO175" s="59">
        <f t="shared" si="144"/>
        <v>320.1780590861174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0.43743592738846948</v>
      </c>
      <c r="AV175" s="21">
        <f>EXP(-LN(2)/25)*AV174+(1-EXP(-LN(2)/25))/(LN(2)/25)*Calculateur!AQ175*Calculateur!AS175*VLOOKUP('Données projet'!$B$10,Paramètres!$A$1:$I$89,3,0)*0.475*44/12</f>
        <v>0.39137942370757939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0.82881535109604887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8.5265128291212022E-14</v>
      </c>
      <c r="BE175" s="13">
        <f>BD175*VLOOKUP('Données projet'!$B$11,Paramètres!$A$1:$I$89,3,0)*VLOOKUP('Données projet'!$B$11,Paramètres!$A$1:$I$89,5,0)</f>
        <v>7.4487616075202836E-14</v>
      </c>
      <c r="BF175" s="13">
        <f t="shared" si="167"/>
        <v>1.1580453144473142E-12</v>
      </c>
      <c r="BG175" s="20">
        <f t="shared" si="168"/>
        <v>2.1466615206600508E-12</v>
      </c>
      <c r="BH175" s="59">
        <f t="shared" si="116"/>
        <v>293.33333333333547</v>
      </c>
      <c r="BI175" s="59">
        <f ca="1">AVERAGE(OFFSET($BH$3,0,0,'Données projet'!$E$11+1,1))-AVERAGE(OFFSET($H$3,0,0,'Données projet'!$E$11+1,1))</f>
        <v>212.82470567725971</v>
      </c>
      <c r="BJ175" s="59">
        <f t="shared" si="146"/>
        <v>196.91968622092054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6.0819810197231629E-2</v>
      </c>
      <c r="BQ175" s="21">
        <f>EXP(-LN(2)/25)*BQ174+(1-EXP(-LN(2)/25))/(LN(2)/25)*Calculateur!BL175*Calculateur!BN175*VLOOKUP('Données projet'!$B$11,Paramètres!$A$1:$I$89,3,0)*0.475*44/12</f>
        <v>7.9653690016526016E-2</v>
      </c>
      <c r="BR175" s="21">
        <f>EXP(-LN(2)/2)*BR174+(1-EXP(-LN(2)/2))/(LN(2)/2)*BL175*BO175*VLOOKUP('Données projet'!$B$11,Paramètres!$A$1:$I$89,3,0)*0.475*44/12</f>
        <v>0</v>
      </c>
      <c r="BS175" s="22">
        <f t="shared" si="169"/>
        <v>0.14047350021375765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25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80.964000000000368</v>
      </c>
      <c r="D176" s="11">
        <f t="shared" si="140"/>
        <v>22.372722575882829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797.68698128751942</v>
      </c>
      <c r="H176" s="67">
        <f t="shared" si="110"/>
        <v>473.31145848632991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5.6843418860808015E-13</v>
      </c>
      <c r="O176" s="13">
        <f>N176*VLOOKUP('Données projet'!$B$9,Paramètres!$A$1:$I$89,3,0)*VLOOKUP('Données projet'!$B$9,Paramètres!$A$1:$I$89,5,0)</f>
        <v>2.2907897800905631E-13</v>
      </c>
      <c r="P176" s="13">
        <f t="shared" si="141"/>
        <v>3.1248920576624499E-12</v>
      </c>
      <c r="Q176" s="20">
        <f t="shared" si="162"/>
        <v>5.8414995537945398E-12</v>
      </c>
      <c r="R176" s="59">
        <f t="shared" si="109"/>
        <v>293.33333333333917</v>
      </c>
      <c r="S176" s="59">
        <f ca="1">AVERAGE(OFFSET($R$3,0,0,'Données projet'!$E$9+1,1))-AVERAGE(OFFSET($H$3,0,0,'Données projet'!$E$9+1,1))</f>
        <v>321.12254860105566</v>
      </c>
      <c r="T176" s="59">
        <f t="shared" si="142"/>
        <v>270.52026164274571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0.7777860855678812</v>
      </c>
      <c r="AA176" s="21">
        <f>EXP(-LN(2)/25)*AA175+(1-EXP(-LN(2)/25))/(LN(2)/25)*Calculateur!V176*Calculateur!X176*VLOOKUP('Données projet'!$B$9,Paramètres!$A$1:$I$89,3,0)*0.475*44/12</f>
        <v>0.39119193719233086</v>
      </c>
      <c r="AB176" s="21">
        <f>EXP(-LN(2)/2)*AB175+(1-EXP(-LN(2)/2))/(LN(2)/2)*V176*Y176*VLOOKUP('Données projet'!$B$9,Paramètres!$A$1:$I$89,3,0)*0.475*44/12</f>
        <v>0</v>
      </c>
      <c r="AC176" s="22">
        <f t="shared" si="163"/>
        <v>1.168978022760212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-3.4106051316484809E-13</v>
      </c>
      <c r="AJ176" s="13">
        <f>AI176*VLOOKUP('Données projet'!$B$10,Paramètres!$A$1:$I$89,3,0)*VLOOKUP('Données projet'!$B$10,Paramètres!$A$1:$I$89,5,0)</f>
        <v>-1.5961632016114892E-13</v>
      </c>
      <c r="AK176" s="13" t="e">
        <f t="shared" si="164"/>
        <v>#NUM!</v>
      </c>
      <c r="AL176" s="20" t="e">
        <f t="shared" si="165"/>
        <v>#NUM!</v>
      </c>
      <c r="AM176" s="59" t="e">
        <f t="shared" si="113"/>
        <v>#NUM!</v>
      </c>
      <c r="AN176" s="59">
        <f ca="1">AVERAGE(OFFSET($AM$3,0,0,'Données projet'!$E$10+1,1))-AVERAGE(OFFSET($H$3,0,0,'Données projet'!$E$10+1,1))</f>
        <v>267.78121291362345</v>
      </c>
      <c r="AO176" s="59">
        <f t="shared" si="144"/>
        <v>320.1780590861174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0.42885807566195205</v>
      </c>
      <c r="AV176" s="21">
        <f>EXP(-LN(2)/25)*AV175+(1-EXP(-LN(2)/25))/(LN(2)/25)*Calculateur!AQ176*Calculateur!AS176*VLOOKUP('Données projet'!$B$10,Paramètres!$A$1:$I$89,3,0)*0.475*44/12</f>
        <v>0.38067713278454623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0.80953520844649829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8.5265128291212022E-14</v>
      </c>
      <c r="BE176" s="13">
        <f>BD176*VLOOKUP('Données projet'!$B$11,Paramètres!$A$1:$I$89,3,0)*VLOOKUP('Données projet'!$B$11,Paramètres!$A$1:$I$89,5,0)</f>
        <v>7.4487616075202836E-14</v>
      </c>
      <c r="BF176" s="13">
        <f t="shared" si="167"/>
        <v>1.1580453144473142E-12</v>
      </c>
      <c r="BG176" s="20">
        <f t="shared" si="168"/>
        <v>2.1466615206600508E-12</v>
      </c>
      <c r="BH176" s="59">
        <f t="shared" si="116"/>
        <v>293.33333333333547</v>
      </c>
      <c r="BI176" s="59">
        <f ca="1">AVERAGE(OFFSET($BH$3,0,0,'Données projet'!$E$11+1,1))-AVERAGE(OFFSET($H$3,0,0,'Données projet'!$E$11+1,1))</f>
        <v>212.82470567725971</v>
      </c>
      <c r="BJ176" s="59">
        <f t="shared" si="146"/>
        <v>196.91968622092054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5.9627170815685172E-2</v>
      </c>
      <c r="BQ176" s="21">
        <f>EXP(-LN(2)/25)*BQ175+(1-EXP(-LN(2)/25))/(LN(2)/25)*Calculateur!BL176*Calculateur!BN176*VLOOKUP('Données projet'!$B$11,Paramètres!$A$1:$I$89,3,0)*0.475*44/12</f>
        <v>7.7475555674218599E-2</v>
      </c>
      <c r="BR176" s="21">
        <f>EXP(-LN(2)/2)*BR175+(1-EXP(-LN(2)/2))/(LN(2)/2)*BL176*BO176*VLOOKUP('Données projet'!$B$11,Paramètres!$A$1:$I$89,3,0)*0.475*44/12</f>
        <v>0</v>
      </c>
      <c r="BS176" s="22">
        <f t="shared" si="169"/>
        <v>0.13710272648990376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25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81.432000000000372</v>
      </c>
      <c r="D177" s="11">
        <f t="shared" si="140"/>
        <v>22.486953220240959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802.18139327905601</v>
      </c>
      <c r="H177" s="67">
        <f t="shared" si="110"/>
        <v>474.32551019192033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5.6843418860808015E-13</v>
      </c>
      <c r="O177" s="13">
        <f>N177*VLOOKUP('Données projet'!$B$9,Paramètres!$A$1:$I$89,3,0)*VLOOKUP('Données projet'!$B$9,Paramètres!$A$1:$I$89,5,0)</f>
        <v>2.2907897800905631E-13</v>
      </c>
      <c r="P177" s="13">
        <f t="shared" si="141"/>
        <v>3.1248920576624499E-12</v>
      </c>
      <c r="Q177" s="20">
        <f t="shared" si="162"/>
        <v>5.8414995537945398E-12</v>
      </c>
      <c r="R177" s="59">
        <f t="shared" si="109"/>
        <v>293.33333333333917</v>
      </c>
      <c r="S177" s="59">
        <f ca="1">AVERAGE(OFFSET($R$3,0,0,'Données projet'!$E$9+1,1))-AVERAGE(OFFSET($H$3,0,0,'Données projet'!$E$9+1,1))</f>
        <v>321.12254860105566</v>
      </c>
      <c r="T177" s="59">
        <f t="shared" si="142"/>
        <v>270.52026164274571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0.76253417483256392</v>
      </c>
      <c r="AA177" s="21">
        <f>EXP(-LN(2)/25)*AA176+(1-EXP(-LN(2)/25))/(LN(2)/25)*Calculateur!V177*Calculateur!X177*VLOOKUP('Données projet'!$B$9,Paramètres!$A$1:$I$89,3,0)*0.475*44/12</f>
        <v>0.38049477309791668</v>
      </c>
      <c r="AB177" s="21">
        <f>EXP(-LN(2)/2)*AB176+(1-EXP(-LN(2)/2))/(LN(2)/2)*V177*Y177*VLOOKUP('Données projet'!$B$9,Paramètres!$A$1:$I$89,3,0)*0.475*44/12</f>
        <v>0</v>
      </c>
      <c r="AC177" s="22">
        <f t="shared" si="163"/>
        <v>1.1430289479304805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-3.4106051316484809E-13</v>
      </c>
      <c r="AJ177" s="13">
        <f>AI177*VLOOKUP('Données projet'!$B$10,Paramètres!$A$1:$I$89,3,0)*VLOOKUP('Données projet'!$B$10,Paramètres!$A$1:$I$89,5,0)</f>
        <v>-1.5961632016114892E-13</v>
      </c>
      <c r="AK177" s="13" t="e">
        <f t="shared" si="164"/>
        <v>#NUM!</v>
      </c>
      <c r="AL177" s="20" t="e">
        <f t="shared" si="165"/>
        <v>#NUM!</v>
      </c>
      <c r="AM177" s="59" t="e">
        <f t="shared" si="113"/>
        <v>#NUM!</v>
      </c>
      <c r="AN177" s="59">
        <f ca="1">AVERAGE(OFFSET($AM$3,0,0,'Données projet'!$E$10+1,1))-AVERAGE(OFFSET($H$3,0,0,'Données projet'!$E$10+1,1))</f>
        <v>267.78121291362345</v>
      </c>
      <c r="AO177" s="59">
        <f t="shared" si="144"/>
        <v>320.1780590861174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0.42044843037581869</v>
      </c>
      <c r="AV177" s="21">
        <f>EXP(-LN(2)/25)*AV176+(1-EXP(-LN(2)/25))/(LN(2)/25)*Calculateur!AQ177*Calculateur!AS177*VLOOKUP('Données projet'!$B$10,Paramètres!$A$1:$I$89,3,0)*0.475*44/12</f>
        <v>0.37026749656961244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0.79071592694543114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8.5265128291212022E-14</v>
      </c>
      <c r="BE177" s="13">
        <f>BD177*VLOOKUP('Données projet'!$B$11,Paramètres!$A$1:$I$89,3,0)*VLOOKUP('Données projet'!$B$11,Paramètres!$A$1:$I$89,5,0)</f>
        <v>7.4487616075202836E-14</v>
      </c>
      <c r="BF177" s="13">
        <f t="shared" si="167"/>
        <v>1.1580453144473142E-12</v>
      </c>
      <c r="BG177" s="20">
        <f t="shared" si="168"/>
        <v>2.1466615206600508E-12</v>
      </c>
      <c r="BH177" s="59">
        <f t="shared" si="116"/>
        <v>293.33333333333547</v>
      </c>
      <c r="BI177" s="59">
        <f ca="1">AVERAGE(OFFSET($BH$3,0,0,'Données projet'!$E$11+1,1))-AVERAGE(OFFSET($H$3,0,0,'Données projet'!$E$11+1,1))</f>
        <v>212.82470567725971</v>
      </c>
      <c r="BJ177" s="59">
        <f t="shared" si="146"/>
        <v>196.91968622092054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5.8457918364972647E-2</v>
      </c>
      <c r="BQ177" s="21">
        <f>EXP(-LN(2)/25)*BQ176+(1-EXP(-LN(2)/25))/(LN(2)/25)*Calculateur!BL177*Calculateur!BN177*VLOOKUP('Données projet'!$B$11,Paramètres!$A$1:$I$89,3,0)*0.475*44/12</f>
        <v>7.5356982530044692E-2</v>
      </c>
      <c r="BR177" s="21">
        <f>EXP(-LN(2)/2)*BR176+(1-EXP(-LN(2)/2))/(LN(2)/2)*BL177*BO177*VLOOKUP('Données projet'!$B$11,Paramètres!$A$1:$I$89,3,0)*0.475*44/12</f>
        <v>0</v>
      </c>
      <c r="BS177" s="22">
        <f t="shared" si="169"/>
        <v>0.13381490089501735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25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81.900000000000375</v>
      </c>
      <c r="D178" s="11">
        <f t="shared" si="140"/>
        <v>22.601107473346421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806.67521558372971</v>
      </c>
      <c r="H178" s="67">
        <f t="shared" si="110"/>
        <v>475.33942884941229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5.6843418860808015E-13</v>
      </c>
      <c r="O178" s="13">
        <f>N178*VLOOKUP('Données projet'!$B$9,Paramètres!$A$1:$I$89,3,0)*VLOOKUP('Données projet'!$B$9,Paramètres!$A$1:$I$89,5,0)</f>
        <v>2.2907897800905631E-13</v>
      </c>
      <c r="P178" s="13">
        <f t="shared" si="141"/>
        <v>3.1248920576624499E-12</v>
      </c>
      <c r="Q178" s="20">
        <f t="shared" si="162"/>
        <v>5.8414995537945398E-12</v>
      </c>
      <c r="R178" s="59">
        <f t="shared" si="109"/>
        <v>293.33333333333917</v>
      </c>
      <c r="S178" s="59">
        <f ca="1">AVERAGE(OFFSET($R$3,0,0,'Données projet'!$E$9+1,1))-AVERAGE(OFFSET($H$3,0,0,'Données projet'!$E$9+1,1))</f>
        <v>321.12254860105566</v>
      </c>
      <c r="T178" s="59">
        <f t="shared" si="142"/>
        <v>270.52026164274571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0.74758134476401916</v>
      </c>
      <c r="AA178" s="21">
        <f>EXP(-LN(2)/25)*AA177+(1-EXP(-LN(2)/25))/(LN(2)/25)*Calculateur!V178*Calculateur!X178*VLOOKUP('Données projet'!$B$9,Paramètres!$A$1:$I$89,3,0)*0.475*44/12</f>
        <v>0.37009012351820364</v>
      </c>
      <c r="AB178" s="21">
        <f>EXP(-LN(2)/2)*AB177+(1-EXP(-LN(2)/2))/(LN(2)/2)*V178*Y178*VLOOKUP('Données projet'!$B$9,Paramètres!$A$1:$I$89,3,0)*0.475*44/12</f>
        <v>0</v>
      </c>
      <c r="AC178" s="22">
        <f t="shared" si="163"/>
        <v>1.1176714682822229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-3.4106051316484809E-13</v>
      </c>
      <c r="AJ178" s="13">
        <f>AI178*VLOOKUP('Données projet'!$B$10,Paramètres!$A$1:$I$89,3,0)*VLOOKUP('Données projet'!$B$10,Paramètres!$A$1:$I$89,5,0)</f>
        <v>-1.5961632016114892E-13</v>
      </c>
      <c r="AK178" s="13" t="e">
        <f t="shared" si="164"/>
        <v>#NUM!</v>
      </c>
      <c r="AL178" s="20" t="e">
        <f t="shared" si="165"/>
        <v>#NUM!</v>
      </c>
      <c r="AM178" s="59" t="e">
        <f t="shared" si="113"/>
        <v>#NUM!</v>
      </c>
      <c r="AN178" s="59">
        <f ca="1">AVERAGE(OFFSET($AM$3,0,0,'Données projet'!$E$10+1,1))-AVERAGE(OFFSET($H$3,0,0,'Données projet'!$E$10+1,1))</f>
        <v>267.78121291362345</v>
      </c>
      <c r="AO178" s="59">
        <f t="shared" si="144"/>
        <v>320.1780590861174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0.41220369310436927</v>
      </c>
      <c r="AV178" s="21">
        <f>EXP(-LN(2)/25)*AV177+(1-EXP(-LN(2)/25))/(LN(2)/25)*Calculateur!AQ178*Calculateur!AS178*VLOOKUP('Données projet'!$B$10,Paramètres!$A$1:$I$89,3,0)*0.475*44/12</f>
        <v>0.36014251240439499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0.77234620550876421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8.5265128291212022E-14</v>
      </c>
      <c r="BE178" s="13">
        <f>BD178*VLOOKUP('Données projet'!$B$11,Paramètres!$A$1:$I$89,3,0)*VLOOKUP('Données projet'!$B$11,Paramètres!$A$1:$I$89,5,0)</f>
        <v>7.4487616075202836E-14</v>
      </c>
      <c r="BF178" s="13">
        <f t="shared" si="167"/>
        <v>1.1580453144473142E-12</v>
      </c>
      <c r="BG178" s="20">
        <f t="shared" si="168"/>
        <v>2.1466615206600508E-12</v>
      </c>
      <c r="BH178" s="59">
        <f t="shared" si="116"/>
        <v>293.33333333333547</v>
      </c>
      <c r="BI178" s="59">
        <f ca="1">AVERAGE(OFFSET($BH$3,0,0,'Données projet'!$E$11+1,1))-AVERAGE(OFFSET($H$3,0,0,'Données projet'!$E$11+1,1))</f>
        <v>212.82470567725971</v>
      </c>
      <c r="BJ178" s="59">
        <f t="shared" si="146"/>
        <v>196.91968622092054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5.7311594241645017E-2</v>
      </c>
      <c r="BQ178" s="21">
        <f>EXP(-LN(2)/25)*BQ177+(1-EXP(-LN(2)/25))/(LN(2)/25)*Calculateur!BL178*Calculateur!BN178*VLOOKUP('Données projet'!$B$11,Paramètres!$A$1:$I$89,3,0)*0.475*44/12</f>
        <v>7.3296341879909133E-2</v>
      </c>
      <c r="BR178" s="21">
        <f>EXP(-LN(2)/2)*BR177+(1-EXP(-LN(2)/2))/(LN(2)/2)*BL178*BO178*VLOOKUP('Données projet'!$B$11,Paramètres!$A$1:$I$89,3,0)*0.475*44/12</f>
        <v>0</v>
      </c>
      <c r="BS178" s="22">
        <f t="shared" si="169"/>
        <v>0.13060793612155414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25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82.368000000000379</v>
      </c>
      <c r="D179" s="11">
        <f t="shared" si="140"/>
        <v>22.715185822375016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811.16845196219617</v>
      </c>
      <c r="H179" s="67">
        <f t="shared" si="110"/>
        <v>476.3532153073038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5.6843418860808015E-13</v>
      </c>
      <c r="O179" s="13">
        <f>N179*VLOOKUP('Données projet'!$B$9,Paramètres!$A$1:$I$89,3,0)*VLOOKUP('Données projet'!$B$9,Paramètres!$A$1:$I$89,5,0)</f>
        <v>2.2907897800905631E-13</v>
      </c>
      <c r="P179" s="13">
        <f t="shared" si="141"/>
        <v>3.1248920576624499E-12</v>
      </c>
      <c r="Q179" s="20">
        <f t="shared" si="162"/>
        <v>5.8414995537945398E-12</v>
      </c>
      <c r="R179" s="59">
        <f t="shared" si="109"/>
        <v>293.33333333333917</v>
      </c>
      <c r="S179" s="59">
        <f ca="1">AVERAGE(OFFSET($R$3,0,0,'Données projet'!$E$9+1,1))-AVERAGE(OFFSET($H$3,0,0,'Données projet'!$E$9+1,1))</f>
        <v>321.12254860105566</v>
      </c>
      <c r="T179" s="59">
        <f t="shared" si="142"/>
        <v>270.52026164274571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0.73292173057279286</v>
      </c>
      <c r="AA179" s="21">
        <f>EXP(-LN(2)/25)*AA178+(1-EXP(-LN(2)/25))/(LN(2)/25)*Calculateur!V179*Calculateur!X179*VLOOKUP('Données projet'!$B$9,Paramètres!$A$1:$I$89,3,0)*0.475*44/12</f>
        <v>0.3599699896284046</v>
      </c>
      <c r="AB179" s="21">
        <f>EXP(-LN(2)/2)*AB178+(1-EXP(-LN(2)/2))/(LN(2)/2)*V179*Y179*VLOOKUP('Données projet'!$B$9,Paramètres!$A$1:$I$89,3,0)*0.475*44/12</f>
        <v>0</v>
      </c>
      <c r="AC179" s="22">
        <f t="shared" si="163"/>
        <v>1.0928917202011974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-3.4106051316484809E-13</v>
      </c>
      <c r="AJ179" s="13">
        <f>AI179*VLOOKUP('Données projet'!$B$10,Paramètres!$A$1:$I$89,3,0)*VLOOKUP('Données projet'!$B$10,Paramètres!$A$1:$I$89,5,0)</f>
        <v>-1.5961632016114892E-13</v>
      </c>
      <c r="AK179" s="13" t="e">
        <f t="shared" si="164"/>
        <v>#NUM!</v>
      </c>
      <c r="AL179" s="20" t="e">
        <f t="shared" si="165"/>
        <v>#NUM!</v>
      </c>
      <c r="AM179" s="59" t="e">
        <f t="shared" si="113"/>
        <v>#NUM!</v>
      </c>
      <c r="AN179" s="59">
        <f ca="1">AVERAGE(OFFSET($AM$3,0,0,'Données projet'!$E$10+1,1))-AVERAGE(OFFSET($H$3,0,0,'Données projet'!$E$10+1,1))</f>
        <v>267.78121291362345</v>
      </c>
      <c r="AO179" s="59">
        <f t="shared" si="144"/>
        <v>320.1780590861174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0.40412063010201976</v>
      </c>
      <c r="AV179" s="21">
        <f>EXP(-LN(2)/25)*AV178+(1-EXP(-LN(2)/25))/(LN(2)/25)*Calculateur!AQ179*Calculateur!AS179*VLOOKUP('Données projet'!$B$10,Paramètres!$A$1:$I$89,3,0)*0.475*44/12</f>
        <v>0.3502943964636252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0.75441502656564496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8.5265128291212022E-14</v>
      </c>
      <c r="BE179" s="13">
        <f>BD179*VLOOKUP('Données projet'!$B$11,Paramètres!$A$1:$I$89,3,0)*VLOOKUP('Données projet'!$B$11,Paramètres!$A$1:$I$89,5,0)</f>
        <v>7.4487616075202836E-14</v>
      </c>
      <c r="BF179" s="13">
        <f t="shared" si="167"/>
        <v>1.1580453144473142E-12</v>
      </c>
      <c r="BG179" s="20">
        <f t="shared" si="168"/>
        <v>2.1466615206600508E-12</v>
      </c>
      <c r="BH179" s="59">
        <f t="shared" si="116"/>
        <v>293.33333333333547</v>
      </c>
      <c r="BI179" s="59">
        <f ca="1">AVERAGE(OFFSET($BH$3,0,0,'Données projet'!$E$11+1,1))-AVERAGE(OFFSET($H$3,0,0,'Données projet'!$E$11+1,1))</f>
        <v>212.82470567725971</v>
      </c>
      <c r="BJ179" s="59">
        <f t="shared" si="146"/>
        <v>196.91968622092054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5.6187748835187165E-2</v>
      </c>
      <c r="BQ179" s="21">
        <f>EXP(-LN(2)/25)*BQ178+(1-EXP(-LN(2)/25))/(LN(2)/25)*Calculateur!BL179*Calculateur!BN179*VLOOKUP('Données projet'!$B$11,Paramètres!$A$1:$I$89,3,0)*0.475*44/12</f>
        <v>7.129204955671592E-2</v>
      </c>
      <c r="BR179" s="21">
        <f>EXP(-LN(2)/2)*BR178+(1-EXP(-LN(2)/2))/(LN(2)/2)*BL179*BO179*VLOOKUP('Données projet'!$B$11,Paramètres!$A$1:$I$89,3,0)*0.475*44/12</f>
        <v>0</v>
      </c>
      <c r="BS179" s="22">
        <f t="shared" si="169"/>
        <v>0.1274797983919031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25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82.836000000000382</v>
      </c>
      <c r="D180" s="11">
        <f t="shared" si="140"/>
        <v>22.829188748646111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815.66110612990281</v>
      </c>
      <c r="H180" s="67">
        <f t="shared" si="110"/>
        <v>477.36687040389262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5.6843418860808015E-13</v>
      </c>
      <c r="O180" s="13">
        <f>N180*VLOOKUP('Données projet'!$B$9,Paramètres!$A$1:$I$89,3,0)*VLOOKUP('Données projet'!$B$9,Paramètres!$A$1:$I$89,5,0)</f>
        <v>2.2907897800905631E-13</v>
      </c>
      <c r="P180" s="13">
        <f t="shared" si="141"/>
        <v>3.1248920576624499E-12</v>
      </c>
      <c r="Q180" s="20">
        <f t="shared" si="162"/>
        <v>5.8414995537945398E-12</v>
      </c>
      <c r="R180" s="59">
        <f t="shared" si="109"/>
        <v>293.33333333333917</v>
      </c>
      <c r="S180" s="59">
        <f ca="1">AVERAGE(OFFSET($R$3,0,0,'Données projet'!$E$9+1,1))-AVERAGE(OFFSET($H$3,0,0,'Données projet'!$E$9+1,1))</f>
        <v>321.12254860105566</v>
      </c>
      <c r="T180" s="59">
        <f t="shared" si="142"/>
        <v>270.52026164274571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0.71854958247437473</v>
      </c>
      <c r="AA180" s="21">
        <f>EXP(-LN(2)/25)*AA179+(1-EXP(-LN(2)/25))/(LN(2)/25)*Calculateur!V180*Calculateur!X180*VLOOKUP('Données projet'!$B$9,Paramètres!$A$1:$I$89,3,0)*0.475*44/12</f>
        <v>0.35012659133201685</v>
      </c>
      <c r="AB180" s="21">
        <f>EXP(-LN(2)/2)*AB179+(1-EXP(-LN(2)/2))/(LN(2)/2)*V180*Y180*VLOOKUP('Données projet'!$B$9,Paramètres!$A$1:$I$89,3,0)*0.475*44/12</f>
        <v>0</v>
      </c>
      <c r="AC180" s="22">
        <f t="shared" si="163"/>
        <v>1.0686761738063915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-3.4106051316484809E-13</v>
      </c>
      <c r="AJ180" s="13">
        <f>AI180*VLOOKUP('Données projet'!$B$10,Paramètres!$A$1:$I$89,3,0)*VLOOKUP('Données projet'!$B$10,Paramètres!$A$1:$I$89,5,0)</f>
        <v>-1.5961632016114892E-13</v>
      </c>
      <c r="AK180" s="13" t="e">
        <f t="shared" si="164"/>
        <v>#NUM!</v>
      </c>
      <c r="AL180" s="20" t="e">
        <f t="shared" si="165"/>
        <v>#NUM!</v>
      </c>
      <c r="AM180" s="59" t="e">
        <f t="shared" si="113"/>
        <v>#NUM!</v>
      </c>
      <c r="AN180" s="59">
        <f ca="1">AVERAGE(OFFSET($AM$3,0,0,'Données projet'!$E$10+1,1))-AVERAGE(OFFSET($H$3,0,0,'Données projet'!$E$10+1,1))</f>
        <v>267.78121291362345</v>
      </c>
      <c r="AO180" s="59">
        <f t="shared" si="144"/>
        <v>320.1780590861174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0.39619607103496474</v>
      </c>
      <c r="AV180" s="21">
        <f>EXP(-LN(2)/25)*AV179+(1-EXP(-LN(2)/25))/(LN(2)/25)*Calculateur!AQ180*Calculateur!AS180*VLOOKUP('Données projet'!$B$10,Paramètres!$A$1:$I$89,3,0)*0.475*44/12</f>
        <v>0.34071557777114569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0.73691164880611049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8.5265128291212022E-14</v>
      </c>
      <c r="BE180" s="13">
        <f>BD180*VLOOKUP('Données projet'!$B$11,Paramètres!$A$1:$I$89,3,0)*VLOOKUP('Données projet'!$B$11,Paramètres!$A$1:$I$89,5,0)</f>
        <v>7.4487616075202836E-14</v>
      </c>
      <c r="BF180" s="13">
        <f t="shared" si="167"/>
        <v>1.1580453144473142E-12</v>
      </c>
      <c r="BG180" s="20">
        <f t="shared" si="168"/>
        <v>2.1466615206600508E-12</v>
      </c>
      <c r="BH180" s="59">
        <f t="shared" si="116"/>
        <v>293.33333333333547</v>
      </c>
      <c r="BI180" s="59">
        <f ca="1">AVERAGE(OFFSET($BH$3,0,0,'Données projet'!$E$11+1,1))-AVERAGE(OFFSET($H$3,0,0,'Données projet'!$E$11+1,1))</f>
        <v>212.82470567725971</v>
      </c>
      <c r="BJ180" s="59">
        <f t="shared" si="146"/>
        <v>196.91968622092054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5.5085941351671941E-2</v>
      </c>
      <c r="BQ180" s="21">
        <f>EXP(-LN(2)/25)*BQ179+(1-EXP(-LN(2)/25))/(LN(2)/25)*Calculateur!BL180*Calculateur!BN180*VLOOKUP('Données projet'!$B$11,Paramètres!$A$1:$I$89,3,0)*0.475*44/12</f>
        <v>6.9342564712501581E-2</v>
      </c>
      <c r="BR180" s="21">
        <f>EXP(-LN(2)/2)*BR179+(1-EXP(-LN(2)/2))/(LN(2)/2)*BL180*BO180*VLOOKUP('Données projet'!$B$11,Paramètres!$A$1:$I$89,3,0)*0.475*44/12</f>
        <v>0</v>
      </c>
      <c r="BS180" s="22">
        <f t="shared" si="169"/>
        <v>0.12442850606417352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25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83.304000000000386</v>
      </c>
      <c r="D181" s="11">
        <f t="shared" si="140"/>
        <v>22.943116727725723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820.15318175788582</v>
      </c>
      <c r="H181" s="67">
        <f t="shared" si="110"/>
        <v>478.38039496745625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5.6843418860808015E-13</v>
      </c>
      <c r="O181" s="13">
        <f>N181*VLOOKUP('Données projet'!$B$9,Paramètres!$A$1:$I$89,3,0)*VLOOKUP('Données projet'!$B$9,Paramètres!$A$1:$I$89,5,0)</f>
        <v>2.2907897800905631E-13</v>
      </c>
      <c r="P181" s="13">
        <f t="shared" si="141"/>
        <v>3.1248920576624499E-12</v>
      </c>
      <c r="Q181" s="20">
        <f t="shared" si="162"/>
        <v>5.8414995537945398E-12</v>
      </c>
      <c r="R181" s="59">
        <f t="shared" si="109"/>
        <v>293.33333333333917</v>
      </c>
      <c r="S181" s="59">
        <f ca="1">AVERAGE(OFFSET($R$3,0,0,'Données projet'!$E$9+1,1))-AVERAGE(OFFSET($H$3,0,0,'Données projet'!$E$9+1,1))</f>
        <v>321.12254860105566</v>
      </c>
      <c r="T181" s="59">
        <f t="shared" si="142"/>
        <v>270.52026164274571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0.70445926343402177</v>
      </c>
      <c r="AA181" s="21">
        <f>EXP(-LN(2)/25)*AA180+(1-EXP(-LN(2)/25))/(LN(2)/25)*Calculateur!V181*Calculateur!X181*VLOOKUP('Données projet'!$B$9,Paramètres!$A$1:$I$89,3,0)*0.475*44/12</f>
        <v>0.34055236127968563</v>
      </c>
      <c r="AB181" s="21">
        <f>EXP(-LN(2)/2)*AB180+(1-EXP(-LN(2)/2))/(LN(2)/2)*V181*Y181*VLOOKUP('Données projet'!$B$9,Paramètres!$A$1:$I$89,3,0)*0.475*44/12</f>
        <v>0</v>
      </c>
      <c r="AC181" s="22">
        <f t="shared" si="163"/>
        <v>1.0450116247137073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-3.4106051316484809E-13</v>
      </c>
      <c r="AJ181" s="13">
        <f>AI181*VLOOKUP('Données projet'!$B$10,Paramètres!$A$1:$I$89,3,0)*VLOOKUP('Données projet'!$B$10,Paramètres!$A$1:$I$89,5,0)</f>
        <v>-1.5961632016114892E-13</v>
      </c>
      <c r="AK181" s="13" t="e">
        <f t="shared" si="164"/>
        <v>#NUM!</v>
      </c>
      <c r="AL181" s="20" t="e">
        <f t="shared" si="165"/>
        <v>#NUM!</v>
      </c>
      <c r="AM181" s="59" t="e">
        <f t="shared" si="113"/>
        <v>#NUM!</v>
      </c>
      <c r="AN181" s="59">
        <f ca="1">AVERAGE(OFFSET($AM$3,0,0,'Données projet'!$E$10+1,1))-AVERAGE(OFFSET($H$3,0,0,'Données projet'!$E$10+1,1))</f>
        <v>267.78121291362345</v>
      </c>
      <c r="AO181" s="59">
        <f t="shared" si="144"/>
        <v>320.1780590861174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0.38842690773771088</v>
      </c>
      <c r="AV181" s="21">
        <f>EXP(-LN(2)/25)*AV180+(1-EXP(-LN(2)/25))/(LN(2)/25)*Calculateur!AQ181*Calculateur!AS181*VLOOKUP('Données projet'!$B$10,Paramètres!$A$1:$I$89,3,0)*0.475*44/12</f>
        <v>0.33139869237954017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0.71982560011725105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8.5265128291212022E-14</v>
      </c>
      <c r="BE181" s="13">
        <f>BD181*VLOOKUP('Données projet'!$B$11,Paramètres!$A$1:$I$89,3,0)*VLOOKUP('Données projet'!$B$11,Paramètres!$A$1:$I$89,5,0)</f>
        <v>7.4487616075202836E-14</v>
      </c>
      <c r="BF181" s="13">
        <f t="shared" si="167"/>
        <v>1.1580453144473142E-12</v>
      </c>
      <c r="BG181" s="20">
        <f t="shared" si="168"/>
        <v>2.1466615206600508E-12</v>
      </c>
      <c r="BH181" s="59">
        <f t="shared" si="116"/>
        <v>293.33333333333547</v>
      </c>
      <c r="BI181" s="59">
        <f ca="1">AVERAGE(OFFSET($BH$3,0,0,'Données projet'!$E$11+1,1))-AVERAGE(OFFSET($H$3,0,0,'Données projet'!$E$11+1,1))</f>
        <v>212.82470567725971</v>
      </c>
      <c r="BJ181" s="59">
        <f t="shared" si="146"/>
        <v>196.91968622092054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5.4005739640872241E-2</v>
      </c>
      <c r="BQ181" s="21">
        <f>EXP(-LN(2)/25)*BQ180+(1-EXP(-LN(2)/25))/(LN(2)/25)*Calculateur!BL181*Calculateur!BN181*VLOOKUP('Données projet'!$B$11,Paramètres!$A$1:$I$89,3,0)*0.475*44/12</f>
        <v>6.7446388633871229E-2</v>
      </c>
      <c r="BR181" s="21">
        <f>EXP(-LN(2)/2)*BR180+(1-EXP(-LN(2)/2))/(LN(2)/2)*BL181*BO181*VLOOKUP('Données projet'!$B$11,Paramètres!$A$1:$I$89,3,0)*0.475*44/12</f>
        <v>0</v>
      </c>
      <c r="BS181" s="22">
        <f t="shared" si="169"/>
        <v>0.12145212827474347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25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83.772000000000389</v>
      </c>
      <c r="D182" s="11">
        <f t="shared" si="140"/>
        <v>23.056970229527188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824.64468247354625</v>
      </c>
      <c r="H182" s="67">
        <f t="shared" si="110"/>
        <v>479.39378981642722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5.6843418860808015E-13</v>
      </c>
      <c r="O182" s="13">
        <f>N182*VLOOKUP('Données projet'!$B$9,Paramètres!$A$1:$I$89,3,0)*VLOOKUP('Données projet'!$B$9,Paramètres!$A$1:$I$89,5,0)</f>
        <v>2.2907897800905631E-13</v>
      </c>
      <c r="P182" s="13">
        <f t="shared" si="141"/>
        <v>3.1248920576624499E-12</v>
      </c>
      <c r="Q182" s="20">
        <f t="shared" si="162"/>
        <v>5.8414995537945398E-12</v>
      </c>
      <c r="R182" s="59">
        <f t="shared" si="109"/>
        <v>293.33333333333917</v>
      </c>
      <c r="S182" s="59">
        <f ca="1">AVERAGE(OFFSET($R$3,0,0,'Données projet'!$E$9+1,1))-AVERAGE(OFFSET($H$3,0,0,'Données projet'!$E$9+1,1))</f>
        <v>321.12254860105566</v>
      </c>
      <c r="T182" s="59">
        <f t="shared" si="142"/>
        <v>270.52026164274571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0.69064524695580409</v>
      </c>
      <c r="AA182" s="21">
        <f>EXP(-LN(2)/25)*AA181+(1-EXP(-LN(2)/25))/(LN(2)/25)*Calculateur!V182*Calculateur!X182*VLOOKUP('Données projet'!$B$9,Paramètres!$A$1:$I$89,3,0)*0.475*44/12</f>
        <v>0.3312399390516223</v>
      </c>
      <c r="AB182" s="21">
        <f>EXP(-LN(2)/2)*AB181+(1-EXP(-LN(2)/2))/(LN(2)/2)*V182*Y182*VLOOKUP('Données projet'!$B$9,Paramètres!$A$1:$I$89,3,0)*0.475*44/12</f>
        <v>0</v>
      </c>
      <c r="AC182" s="22">
        <f t="shared" si="163"/>
        <v>1.0218851860074265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-3.4106051316484809E-13</v>
      </c>
      <c r="AJ182" s="13">
        <f>AI182*VLOOKUP('Données projet'!$B$10,Paramètres!$A$1:$I$89,3,0)*VLOOKUP('Données projet'!$B$10,Paramètres!$A$1:$I$89,5,0)</f>
        <v>-1.5961632016114892E-13</v>
      </c>
      <c r="AK182" s="13" t="e">
        <f t="shared" si="164"/>
        <v>#NUM!</v>
      </c>
      <c r="AL182" s="20" t="e">
        <f t="shared" si="165"/>
        <v>#NUM!</v>
      </c>
      <c r="AM182" s="59" t="e">
        <f t="shared" si="113"/>
        <v>#NUM!</v>
      </c>
      <c r="AN182" s="59">
        <f ca="1">AVERAGE(OFFSET($AM$3,0,0,'Données projet'!$E$10+1,1))-AVERAGE(OFFSET($H$3,0,0,'Données projet'!$E$10+1,1))</f>
        <v>267.78121291362345</v>
      </c>
      <c r="AO182" s="59">
        <f t="shared" si="144"/>
        <v>320.1780590861174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0.38081009299399449</v>
      </c>
      <c r="AV182" s="21">
        <f>EXP(-LN(2)/25)*AV181+(1-EXP(-LN(2)/25))/(LN(2)/25)*Calculateur!AQ182*Calculateur!AS182*VLOOKUP('Données projet'!$B$10,Paramètres!$A$1:$I$89,3,0)*0.475*44/12</f>
        <v>0.32233657770892182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0.70314667070291637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8.5265128291212022E-14</v>
      </c>
      <c r="BE182" s="13">
        <f>BD182*VLOOKUP('Données projet'!$B$11,Paramètres!$A$1:$I$89,3,0)*VLOOKUP('Données projet'!$B$11,Paramètres!$A$1:$I$89,5,0)</f>
        <v>7.4487616075202836E-14</v>
      </c>
      <c r="BF182" s="13">
        <f t="shared" si="167"/>
        <v>1.1580453144473142E-12</v>
      </c>
      <c r="BG182" s="20">
        <f t="shared" si="168"/>
        <v>2.1466615206600508E-12</v>
      </c>
      <c r="BH182" s="59">
        <f t="shared" si="116"/>
        <v>293.33333333333547</v>
      </c>
      <c r="BI182" s="59">
        <f ca="1">AVERAGE(OFFSET($BH$3,0,0,'Données projet'!$E$11+1,1))-AVERAGE(OFFSET($H$3,0,0,'Données projet'!$E$11+1,1))</f>
        <v>212.82470567725971</v>
      </c>
      <c r="BJ182" s="59">
        <f t="shared" si="146"/>
        <v>196.91968622092054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5.2946720026763337E-2</v>
      </c>
      <c r="BQ182" s="21">
        <f>EXP(-LN(2)/25)*BQ181+(1-EXP(-LN(2)/25))/(LN(2)/25)*Calculateur!BL182*Calculateur!BN182*VLOOKUP('Données projet'!$B$11,Paramètres!$A$1:$I$89,3,0)*0.475*44/12</f>
        <v>6.5602063589826592E-2</v>
      </c>
      <c r="BR182" s="21">
        <f>EXP(-LN(2)/2)*BR181+(1-EXP(-LN(2)/2))/(LN(2)/2)*BL182*BO182*VLOOKUP('Données projet'!$B$11,Paramètres!$A$1:$I$89,3,0)*0.475*44/12</f>
        <v>0</v>
      </c>
      <c r="BS182" s="22">
        <f t="shared" si="169"/>
        <v>0.11854878361658994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25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84.240000000000393</v>
      </c>
      <c r="D183" s="11">
        <f t="shared" si="140"/>
        <v>23.170749718409571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829.13561186141033</v>
      </c>
      <c r="H183" s="67">
        <f t="shared" si="110"/>
        <v>480.40705575956395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5.6843418860808015E-13</v>
      </c>
      <c r="O183" s="13">
        <f>N183*VLOOKUP('Données projet'!$B$9,Paramètres!$A$1:$I$89,3,0)*VLOOKUP('Données projet'!$B$9,Paramètres!$A$1:$I$89,5,0)</f>
        <v>2.2907897800905631E-13</v>
      </c>
      <c r="P183" s="13">
        <f t="shared" si="141"/>
        <v>3.1248920576624499E-12</v>
      </c>
      <c r="Q183" s="20">
        <f t="shared" si="162"/>
        <v>5.8414995537945398E-12</v>
      </c>
      <c r="R183" s="59">
        <f t="shared" si="109"/>
        <v>293.33333333333917</v>
      </c>
      <c r="S183" s="59">
        <f ca="1">AVERAGE(OFFSET($R$3,0,0,'Données projet'!$E$9+1,1))-AVERAGE(OFFSET($H$3,0,0,'Données projet'!$E$9+1,1))</f>
        <v>321.12254860105566</v>
      </c>
      <c r="T183" s="59">
        <f t="shared" si="142"/>
        <v>270.52026164274571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0.67710211491500627</v>
      </c>
      <c r="AA183" s="21">
        <f>EXP(-LN(2)/25)*AA182+(1-EXP(-LN(2)/25))/(LN(2)/25)*Calculateur!V183*Calculateur!X183*VLOOKUP('Données projet'!$B$9,Paramètres!$A$1:$I$89,3,0)*0.475*44/12</f>
        <v>0.32218216549910433</v>
      </c>
      <c r="AB183" s="21">
        <f>EXP(-LN(2)/2)*AB182+(1-EXP(-LN(2)/2))/(LN(2)/2)*V183*Y183*VLOOKUP('Données projet'!$B$9,Paramètres!$A$1:$I$89,3,0)*0.475*44/12</f>
        <v>0</v>
      </c>
      <c r="AC183" s="22">
        <f t="shared" si="163"/>
        <v>0.99928428041411066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-3.4106051316484809E-13</v>
      </c>
      <c r="AJ183" s="13">
        <f>AI183*VLOOKUP('Données projet'!$B$10,Paramètres!$A$1:$I$89,3,0)*VLOOKUP('Données projet'!$B$10,Paramètres!$A$1:$I$89,5,0)</f>
        <v>-1.5961632016114892E-13</v>
      </c>
      <c r="AK183" s="13" t="e">
        <f t="shared" si="164"/>
        <v>#NUM!</v>
      </c>
      <c r="AL183" s="20" t="e">
        <f t="shared" si="165"/>
        <v>#NUM!</v>
      </c>
      <c r="AM183" s="59" t="e">
        <f t="shared" si="113"/>
        <v>#NUM!</v>
      </c>
      <c r="AN183" s="59">
        <f ca="1">AVERAGE(OFFSET($AM$3,0,0,'Données projet'!$E$10+1,1))-AVERAGE(OFFSET($H$3,0,0,'Données projet'!$E$10+1,1))</f>
        <v>267.78121291362345</v>
      </c>
      <c r="AO183" s="59">
        <f t="shared" si="144"/>
        <v>320.1780590861174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0.37334263934160411</v>
      </c>
      <c r="AV183" s="21">
        <f>EXP(-LN(2)/25)*AV182+(1-EXP(-LN(2)/25))/(LN(2)/25)*Calculateur!AQ183*Calculateur!AS183*VLOOKUP('Données projet'!$B$10,Paramètres!$A$1:$I$89,3,0)*0.475*44/12</f>
        <v>0.31352226704052744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0.68686490638213149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8.5265128291212022E-14</v>
      </c>
      <c r="BE183" s="13">
        <f>BD183*VLOOKUP('Données projet'!$B$11,Paramètres!$A$1:$I$89,3,0)*VLOOKUP('Données projet'!$B$11,Paramètres!$A$1:$I$89,5,0)</f>
        <v>7.4487616075202836E-14</v>
      </c>
      <c r="BF183" s="13">
        <f t="shared" si="167"/>
        <v>1.1580453144473142E-12</v>
      </c>
      <c r="BG183" s="20">
        <f t="shared" si="168"/>
        <v>2.1466615206600508E-12</v>
      </c>
      <c r="BH183" s="59">
        <f t="shared" si="116"/>
        <v>293.33333333333547</v>
      </c>
      <c r="BI183" s="59">
        <f ca="1">AVERAGE(OFFSET($BH$3,0,0,'Données projet'!$E$11+1,1))-AVERAGE(OFFSET($H$3,0,0,'Données projet'!$E$11+1,1))</f>
        <v>212.82470567725971</v>
      </c>
      <c r="BJ183" s="59">
        <f t="shared" si="146"/>
        <v>196.91968622092054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5.1908467141348925E-2</v>
      </c>
      <c r="BQ183" s="21">
        <f>EXP(-LN(2)/25)*BQ182+(1-EXP(-LN(2)/25))/(LN(2)/25)*Calculateur!BL183*Calculateur!BN183*VLOOKUP('Données projet'!$B$11,Paramètres!$A$1:$I$89,3,0)*0.475*44/12</f>
        <v>6.3808171711100189E-2</v>
      </c>
      <c r="BR183" s="21">
        <f>EXP(-LN(2)/2)*BR182+(1-EXP(-LN(2)/2))/(LN(2)/2)*BL183*BO183*VLOOKUP('Données projet'!$B$11,Paramètres!$A$1:$I$89,3,0)*0.475*44/12</f>
        <v>0</v>
      </c>
      <c r="BS183" s="22">
        <f t="shared" si="169"/>
        <v>0.11571663885244912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25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84.708000000000396</v>
      </c>
      <c r="D184" s="11">
        <f t="shared" si="140"/>
        <v>23.284455653273778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833.62597346387076</v>
      </c>
      <c r="H184" s="67">
        <f t="shared" si="110"/>
        <v>481.42019359611913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5.6843418860808015E-13</v>
      </c>
      <c r="O184" s="13">
        <f>N184*VLOOKUP('Données projet'!$B$9,Paramètres!$A$1:$I$89,3,0)*VLOOKUP('Données projet'!$B$9,Paramètres!$A$1:$I$89,5,0)</f>
        <v>2.2907897800905631E-13</v>
      </c>
      <c r="P184" s="13">
        <f t="shared" si="141"/>
        <v>3.1248920576624499E-12</v>
      </c>
      <c r="Q184" s="20">
        <f t="shared" si="162"/>
        <v>5.8414995537945398E-12</v>
      </c>
      <c r="R184" s="59">
        <f t="shared" si="109"/>
        <v>293.33333333333917</v>
      </c>
      <c r="S184" s="59">
        <f ca="1">AVERAGE(OFFSET($R$3,0,0,'Données projet'!$E$9+1,1))-AVERAGE(OFFSET($H$3,0,0,'Données projet'!$E$9+1,1))</f>
        <v>321.12254860105566</v>
      </c>
      <c r="T184" s="59">
        <f t="shared" si="142"/>
        <v>270.52026164274571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0.66382455543303354</v>
      </c>
      <c r="AA184" s="21">
        <f>EXP(-LN(2)/25)*AA183+(1-EXP(-LN(2)/25))/(LN(2)/25)*Calculateur!V184*Calculateur!X184*VLOOKUP('Données projet'!$B$9,Paramètres!$A$1:$I$89,3,0)*0.475*44/12</f>
        <v>0.31337207724070759</v>
      </c>
      <c r="AB184" s="21">
        <f>EXP(-LN(2)/2)*AB183+(1-EXP(-LN(2)/2))/(LN(2)/2)*V184*Y184*VLOOKUP('Données projet'!$B$9,Paramètres!$A$1:$I$89,3,0)*0.475*44/12</f>
        <v>0</v>
      </c>
      <c r="AC184" s="22">
        <f t="shared" si="163"/>
        <v>0.97719663267374113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-3.4106051316484809E-13</v>
      </c>
      <c r="AJ184" s="13">
        <f>AI184*VLOOKUP('Données projet'!$B$10,Paramètres!$A$1:$I$89,3,0)*VLOOKUP('Données projet'!$B$10,Paramètres!$A$1:$I$89,5,0)</f>
        <v>-1.5961632016114892E-13</v>
      </c>
      <c r="AK184" s="13" t="e">
        <f t="shared" si="164"/>
        <v>#NUM!</v>
      </c>
      <c r="AL184" s="20" t="e">
        <f t="shared" si="165"/>
        <v>#NUM!</v>
      </c>
      <c r="AM184" s="59" t="e">
        <f t="shared" si="113"/>
        <v>#NUM!</v>
      </c>
      <c r="AN184" s="59">
        <f ca="1">AVERAGE(OFFSET($AM$3,0,0,'Données projet'!$E$10+1,1))-AVERAGE(OFFSET($H$3,0,0,'Données projet'!$E$10+1,1))</f>
        <v>267.78121291362345</v>
      </c>
      <c r="AO184" s="59">
        <f t="shared" si="144"/>
        <v>320.1780590861174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0.36602161790064014</v>
      </c>
      <c r="AV184" s="21">
        <f>EXP(-LN(2)/25)*AV183+(1-EXP(-LN(2)/25))/(LN(2)/25)*Calculateur!AQ184*Calculateur!AS184*VLOOKUP('Données projet'!$B$10,Paramètres!$A$1:$I$89,3,0)*0.475*44/12</f>
        <v>0.30494898416088473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0.67097060206152492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8.5265128291212022E-14</v>
      </c>
      <c r="BE184" s="13">
        <f>BD184*VLOOKUP('Données projet'!$B$11,Paramètres!$A$1:$I$89,3,0)*VLOOKUP('Données projet'!$B$11,Paramètres!$A$1:$I$89,5,0)</f>
        <v>7.4487616075202836E-14</v>
      </c>
      <c r="BF184" s="13">
        <f t="shared" si="167"/>
        <v>1.1580453144473142E-12</v>
      </c>
      <c r="BG184" s="20">
        <f t="shared" si="168"/>
        <v>2.1466615206600508E-12</v>
      </c>
      <c r="BH184" s="59">
        <f t="shared" si="116"/>
        <v>293.33333333333547</v>
      </c>
      <c r="BI184" s="59">
        <f ca="1">AVERAGE(OFFSET($BH$3,0,0,'Données projet'!$E$11+1,1))-AVERAGE(OFFSET($H$3,0,0,'Données projet'!$E$11+1,1))</f>
        <v>212.82470567725971</v>
      </c>
      <c r="BJ184" s="59">
        <f t="shared" si="146"/>
        <v>196.91968622092054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5.0890573761745758E-2</v>
      </c>
      <c r="BQ184" s="21">
        <f>EXP(-LN(2)/25)*BQ183+(1-EXP(-LN(2)/25))/(LN(2)/25)*Calculateur!BL184*Calculateur!BN184*VLOOKUP('Données projet'!$B$11,Paramètres!$A$1:$I$89,3,0)*0.475*44/12</f>
        <v>6.2063333900134243E-2</v>
      </c>
      <c r="BR184" s="21">
        <f>EXP(-LN(2)/2)*BR183+(1-EXP(-LN(2)/2))/(LN(2)/2)*BL184*BO184*VLOOKUP('Données projet'!$B$11,Paramètres!$A$1:$I$89,3,0)*0.475*44/12</f>
        <v>0</v>
      </c>
      <c r="BS184" s="22">
        <f t="shared" si="169"/>
        <v>0.11295390766188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25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85.1760000000004</v>
      </c>
      <c r="D185" s="11">
        <f t="shared" si="140"/>
        <v>23.398088487656537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838.11577078191328</v>
      </c>
      <c r="H185" s="67">
        <f t="shared" si="110"/>
        <v>482.43320411600246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5.6843418860808015E-13</v>
      </c>
      <c r="O185" s="13">
        <f>N185*VLOOKUP('Données projet'!$B$9,Paramètres!$A$1:$I$89,3,0)*VLOOKUP('Données projet'!$B$9,Paramètres!$A$1:$I$89,5,0)</f>
        <v>2.2907897800905631E-13</v>
      </c>
      <c r="P185" s="13">
        <f t="shared" si="141"/>
        <v>3.1248920576624499E-12</v>
      </c>
      <c r="Q185" s="20">
        <f t="shared" si="162"/>
        <v>5.8414995537945398E-12</v>
      </c>
      <c r="R185" s="59">
        <f t="shared" si="109"/>
        <v>293.33333333333917</v>
      </c>
      <c r="S185" s="59">
        <f ca="1">AVERAGE(OFFSET($R$3,0,0,'Données projet'!$E$9+1,1))-AVERAGE(OFFSET($H$3,0,0,'Données projet'!$E$9+1,1))</f>
        <v>321.12254860105566</v>
      </c>
      <c r="T185" s="59">
        <f t="shared" si="142"/>
        <v>270.52026164274571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0.65080736079399071</v>
      </c>
      <c r="AA185" s="21">
        <f>EXP(-LN(2)/25)*AA184+(1-EXP(-LN(2)/25))/(LN(2)/25)*Calculateur!V185*Calculateur!X185*VLOOKUP('Données projet'!$B$9,Paramètres!$A$1:$I$89,3,0)*0.475*44/12</f>
        <v>0.30480290130903914</v>
      </c>
      <c r="AB185" s="21">
        <f>EXP(-LN(2)/2)*AB184+(1-EXP(-LN(2)/2))/(LN(2)/2)*V185*Y185*VLOOKUP('Données projet'!$B$9,Paramètres!$A$1:$I$89,3,0)*0.475*44/12</f>
        <v>0</v>
      </c>
      <c r="AC185" s="22">
        <f t="shared" si="163"/>
        <v>0.95561026210302979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-3.4106051316484809E-13</v>
      </c>
      <c r="AJ185" s="13">
        <f>AI185*VLOOKUP('Données projet'!$B$10,Paramètres!$A$1:$I$89,3,0)*VLOOKUP('Données projet'!$B$10,Paramètres!$A$1:$I$89,5,0)</f>
        <v>-1.5961632016114892E-13</v>
      </c>
      <c r="AK185" s="13" t="e">
        <f t="shared" si="164"/>
        <v>#NUM!</v>
      </c>
      <c r="AL185" s="20" t="e">
        <f t="shared" si="165"/>
        <v>#NUM!</v>
      </c>
      <c r="AM185" s="59" t="e">
        <f t="shared" si="113"/>
        <v>#NUM!</v>
      </c>
      <c r="AN185" s="59">
        <f ca="1">AVERAGE(OFFSET($AM$3,0,0,'Données projet'!$E$10+1,1))-AVERAGE(OFFSET($H$3,0,0,'Données projet'!$E$10+1,1))</f>
        <v>267.78121291362345</v>
      </c>
      <c r="AO185" s="59">
        <f t="shared" si="144"/>
        <v>320.1780590861174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0.35884415722475127</v>
      </c>
      <c r="AV185" s="21">
        <f>EXP(-LN(2)/25)*AV184+(1-EXP(-LN(2)/25))/(LN(2)/25)*Calculateur!AQ185*Calculateur!AS185*VLOOKUP('Données projet'!$B$10,Paramètres!$A$1:$I$89,3,0)*0.475*44/12</f>
        <v>0.29661013815243525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0.65545429537718647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8.5265128291212022E-14</v>
      </c>
      <c r="BE185" s="13">
        <f>BD185*VLOOKUP('Données projet'!$B$11,Paramètres!$A$1:$I$89,3,0)*VLOOKUP('Données projet'!$B$11,Paramètres!$A$1:$I$89,5,0)</f>
        <v>7.4487616075202836E-14</v>
      </c>
      <c r="BF185" s="13">
        <f t="shared" si="167"/>
        <v>1.1580453144473142E-12</v>
      </c>
      <c r="BG185" s="20">
        <f t="shared" si="168"/>
        <v>2.1466615206600508E-12</v>
      </c>
      <c r="BH185" s="59">
        <f t="shared" si="116"/>
        <v>293.33333333333547</v>
      </c>
      <c r="BI185" s="59">
        <f ca="1">AVERAGE(OFFSET($BH$3,0,0,'Données projet'!$E$11+1,1))-AVERAGE(OFFSET($H$3,0,0,'Données projet'!$E$11+1,1))</f>
        <v>212.82470567725971</v>
      </c>
      <c r="BJ185" s="59">
        <f t="shared" si="146"/>
        <v>196.91968622092054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4.9892640650462956E-2</v>
      </c>
      <c r="BQ185" s="21">
        <f>EXP(-LN(2)/25)*BQ184+(1-EXP(-LN(2)/25))/(LN(2)/25)*Calculateur!BL185*Calculateur!BN185*VLOOKUP('Données projet'!$B$11,Paramètres!$A$1:$I$89,3,0)*0.475*44/12</f>
        <v>6.0366208770866188E-2</v>
      </c>
      <c r="BR185" s="21">
        <f>EXP(-LN(2)/2)*BR184+(1-EXP(-LN(2)/2))/(LN(2)/2)*BL185*BO185*VLOOKUP('Données projet'!$B$11,Paramètres!$A$1:$I$89,3,0)*0.475*44/12</f>
        <v>0</v>
      </c>
      <c r="BS185" s="22">
        <f t="shared" si="169"/>
        <v>0.11025884942132914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25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85.644000000000403</v>
      </c>
      <c r="D186" s="11">
        <f t="shared" si="140"/>
        <v>23.511648669822165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842.60500727582337</v>
      </c>
      <c r="H186" s="67">
        <f t="shared" si="110"/>
        <v>483.44608809994094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5.6843418860808015E-13</v>
      </c>
      <c r="O186" s="13">
        <f>N186*VLOOKUP('Données projet'!$B$9,Paramètres!$A$1:$I$89,3,0)*VLOOKUP('Données projet'!$B$9,Paramètres!$A$1:$I$89,5,0)</f>
        <v>2.2907897800905631E-13</v>
      </c>
      <c r="P186" s="13">
        <f t="shared" si="141"/>
        <v>3.1248920576624499E-12</v>
      </c>
      <c r="Q186" s="20">
        <f t="shared" si="162"/>
        <v>5.8414995537945398E-12</v>
      </c>
      <c r="R186" s="59">
        <f t="shared" si="109"/>
        <v>293.33333333333917</v>
      </c>
      <c r="S186" s="59">
        <f ca="1">AVERAGE(OFFSET($R$3,0,0,'Données projet'!$E$9+1,1))-AVERAGE(OFFSET($H$3,0,0,'Données projet'!$E$9+1,1))</f>
        <v>321.12254860105566</v>
      </c>
      <c r="T186" s="59">
        <f t="shared" si="142"/>
        <v>270.52026164274571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0.63804542540211473</v>
      </c>
      <c r="AA186" s="21">
        <f>EXP(-LN(2)/25)*AA185+(1-EXP(-LN(2)/25))/(LN(2)/25)*Calculateur!V186*Calculateur!X186*VLOOKUP('Données projet'!$B$9,Paramètres!$A$1:$I$89,3,0)*0.475*44/12</f>
        <v>0.29646804994385551</v>
      </c>
      <c r="AB186" s="21">
        <f>EXP(-LN(2)/2)*AB185+(1-EXP(-LN(2)/2))/(LN(2)/2)*V186*Y186*VLOOKUP('Données projet'!$B$9,Paramètres!$A$1:$I$89,3,0)*0.475*44/12</f>
        <v>0</v>
      </c>
      <c r="AC186" s="22">
        <f t="shared" si="163"/>
        <v>0.93451347534597029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-3.4106051316484809E-13</v>
      </c>
      <c r="AJ186" s="13">
        <f>AI186*VLOOKUP('Données projet'!$B$10,Paramètres!$A$1:$I$89,3,0)*VLOOKUP('Données projet'!$B$10,Paramètres!$A$1:$I$89,5,0)</f>
        <v>-1.5961632016114892E-13</v>
      </c>
      <c r="AK186" s="13" t="e">
        <f t="shared" si="164"/>
        <v>#NUM!</v>
      </c>
      <c r="AL186" s="20" t="e">
        <f t="shared" si="165"/>
        <v>#NUM!</v>
      </c>
      <c r="AM186" s="59" t="e">
        <f t="shared" si="113"/>
        <v>#NUM!</v>
      </c>
      <c r="AN186" s="59">
        <f ca="1">AVERAGE(OFFSET($AM$3,0,0,'Données projet'!$E$10+1,1))-AVERAGE(OFFSET($H$3,0,0,'Données projet'!$E$10+1,1))</f>
        <v>267.78121291362345</v>
      </c>
      <c r="AO186" s="59">
        <f t="shared" si="144"/>
        <v>320.1780590861174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0.35180744217489784</v>
      </c>
      <c r="AV186" s="21">
        <f>EXP(-LN(2)/25)*AV185+(1-EXP(-LN(2)/25))/(LN(2)/25)*Calculateur!AQ186*Calculateur!AS186*VLOOKUP('Données projet'!$B$10,Paramètres!$A$1:$I$89,3,0)*0.475*44/12</f>
        <v>0.28849931832660763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0.64030676050150548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8.5265128291212022E-14</v>
      </c>
      <c r="BE186" s="13">
        <f>BD186*VLOOKUP('Données projet'!$B$11,Paramètres!$A$1:$I$89,3,0)*VLOOKUP('Données projet'!$B$11,Paramètres!$A$1:$I$89,5,0)</f>
        <v>7.4487616075202836E-14</v>
      </c>
      <c r="BF186" s="13">
        <f t="shared" si="167"/>
        <v>1.1580453144473142E-12</v>
      </c>
      <c r="BG186" s="20">
        <f t="shared" si="168"/>
        <v>2.1466615206600508E-12</v>
      </c>
      <c r="BH186" s="59">
        <f t="shared" si="116"/>
        <v>293.33333333333547</v>
      </c>
      <c r="BI186" s="59">
        <f ca="1">AVERAGE(OFFSET($BH$3,0,0,'Données projet'!$E$11+1,1))-AVERAGE(OFFSET($H$3,0,0,'Données projet'!$E$11+1,1))</f>
        <v>212.82470567725971</v>
      </c>
      <c r="BJ186" s="59">
        <f t="shared" si="146"/>
        <v>196.91968622092054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4.8914276398813315E-2</v>
      </c>
      <c r="BQ186" s="21">
        <f>EXP(-LN(2)/25)*BQ185+(1-EXP(-LN(2)/25))/(LN(2)/25)*Calculateur!BL186*Calculateur!BN186*VLOOKUP('Données projet'!$B$11,Paramètres!$A$1:$I$89,3,0)*0.475*44/12</f>
        <v>5.8715491617505902E-2</v>
      </c>
      <c r="BR186" s="21">
        <f>EXP(-LN(2)/2)*BR185+(1-EXP(-LN(2)/2))/(LN(2)/2)*BL186*BO186*VLOOKUP('Données projet'!$B$11,Paramètres!$A$1:$I$89,3,0)*0.475*44/12</f>
        <v>0</v>
      </c>
      <c r="BS186" s="22">
        <f t="shared" si="169"/>
        <v>0.10762976801631921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25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86.112000000000407</v>
      </c>
      <c r="D187" s="11">
        <f t="shared" si="140"/>
        <v>23.625136642852389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847.09368636588124</v>
      </c>
      <c r="H187" s="67">
        <f t="shared" si="110"/>
        <v>484.4588463196352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5.6843418860808015E-13</v>
      </c>
      <c r="O187" s="13">
        <f>N187*VLOOKUP('Données projet'!$B$9,Paramètres!$A$1:$I$89,3,0)*VLOOKUP('Données projet'!$B$9,Paramètres!$A$1:$I$89,5,0)</f>
        <v>2.2907897800905631E-13</v>
      </c>
      <c r="P187" s="13">
        <f t="shared" si="141"/>
        <v>3.1248920576624499E-12</v>
      </c>
      <c r="Q187" s="20">
        <f t="shared" si="162"/>
        <v>5.8414995537945398E-12</v>
      </c>
      <c r="R187" s="59">
        <f t="shared" si="109"/>
        <v>293.33333333333917</v>
      </c>
      <c r="S187" s="59">
        <f ca="1">AVERAGE(OFFSET($R$3,0,0,'Données projet'!$E$9+1,1))-AVERAGE(OFFSET($H$3,0,0,'Données projet'!$E$9+1,1))</f>
        <v>321.12254860105566</v>
      </c>
      <c r="T187" s="59">
        <f t="shared" si="142"/>
        <v>270.52026164274571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0.62553374377926152</v>
      </c>
      <c r="AA187" s="21">
        <f>EXP(-LN(2)/25)*AA186+(1-EXP(-LN(2)/25))/(LN(2)/25)*Calculateur!V187*Calculateur!X187*VLOOKUP('Données projet'!$B$9,Paramètres!$A$1:$I$89,3,0)*0.475*44/12</f>
        <v>0.28836111552756361</v>
      </c>
      <c r="AB187" s="21">
        <f>EXP(-LN(2)/2)*AB186+(1-EXP(-LN(2)/2))/(LN(2)/2)*V187*Y187*VLOOKUP('Données projet'!$B$9,Paramètres!$A$1:$I$89,3,0)*0.475*44/12</f>
        <v>0</v>
      </c>
      <c r="AC187" s="22">
        <f t="shared" si="163"/>
        <v>0.91389485930682512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-3.4106051316484809E-13</v>
      </c>
      <c r="AJ187" s="13">
        <f>AI187*VLOOKUP('Données projet'!$B$10,Paramètres!$A$1:$I$89,3,0)*VLOOKUP('Données projet'!$B$10,Paramètres!$A$1:$I$89,5,0)</f>
        <v>-1.5961632016114892E-13</v>
      </c>
      <c r="AK187" s="13" t="e">
        <f t="shared" si="164"/>
        <v>#NUM!</v>
      </c>
      <c r="AL187" s="20" t="e">
        <f t="shared" si="165"/>
        <v>#NUM!</v>
      </c>
      <c r="AM187" s="59" t="e">
        <f t="shared" si="113"/>
        <v>#NUM!</v>
      </c>
      <c r="AN187" s="59">
        <f ca="1">AVERAGE(OFFSET($AM$3,0,0,'Données projet'!$E$10+1,1))-AVERAGE(OFFSET($H$3,0,0,'Données projet'!$E$10+1,1))</f>
        <v>267.78121291362345</v>
      </c>
      <c r="AO187" s="59">
        <f t="shared" si="144"/>
        <v>320.1780590861174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0.34490871281519969</v>
      </c>
      <c r="AV187" s="21">
        <f>EXP(-LN(2)/25)*AV186+(1-EXP(-LN(2)/25))/(LN(2)/25)*Calculateur!AQ187*Calculateur!AS187*VLOOKUP('Données projet'!$B$10,Paramètres!$A$1:$I$89,3,0)*0.475*44/12</f>
        <v>0.28061028929544679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0.62551900211064648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8.5265128291212022E-14</v>
      </c>
      <c r="BE187" s="13">
        <f>BD187*VLOOKUP('Données projet'!$B$11,Paramètres!$A$1:$I$89,3,0)*VLOOKUP('Données projet'!$B$11,Paramètres!$A$1:$I$89,5,0)</f>
        <v>7.4487616075202836E-14</v>
      </c>
      <c r="BF187" s="13">
        <f t="shared" si="167"/>
        <v>1.1580453144473142E-12</v>
      </c>
      <c r="BG187" s="20">
        <f t="shared" si="168"/>
        <v>2.1466615206600508E-12</v>
      </c>
      <c r="BH187" s="59">
        <f t="shared" si="116"/>
        <v>293.33333333333547</v>
      </c>
      <c r="BI187" s="59">
        <f ca="1">AVERAGE(OFFSET($BH$3,0,0,'Données projet'!$E$11+1,1))-AVERAGE(OFFSET($H$3,0,0,'Données projet'!$E$11+1,1))</f>
        <v>212.82470567725971</v>
      </c>
      <c r="BJ187" s="59">
        <f t="shared" si="146"/>
        <v>196.91968622092054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4.7955097273395253E-2</v>
      </c>
      <c r="BQ187" s="21">
        <f>EXP(-LN(2)/25)*BQ186+(1-EXP(-LN(2)/25))/(LN(2)/25)*Calculateur!BL187*Calculateur!BN187*VLOOKUP('Données projet'!$B$11,Paramètres!$A$1:$I$89,3,0)*0.475*44/12</f>
        <v>5.7109913411511698E-2</v>
      </c>
      <c r="BR187" s="21">
        <f>EXP(-LN(2)/2)*BR186+(1-EXP(-LN(2)/2))/(LN(2)/2)*BL187*BO187*VLOOKUP('Données projet'!$B$11,Paramètres!$A$1:$I$89,3,0)*0.475*44/12</f>
        <v>0</v>
      </c>
      <c r="BS187" s="22">
        <f t="shared" si="169"/>
        <v>0.10506501068490695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25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86.58000000000041</v>
      </c>
      <c r="D188" s="11">
        <f t="shared" si="140"/>
        <v>23.73855284473407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851.58181143303818</v>
      </c>
      <c r="H188" s="67">
        <f t="shared" si="110"/>
        <v>485.4714795379125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5.6843418860808015E-13</v>
      </c>
      <c r="O188" s="13">
        <f>N188*VLOOKUP('Données projet'!$B$9,Paramètres!$A$1:$I$89,3,0)*VLOOKUP('Données projet'!$B$9,Paramètres!$A$1:$I$89,5,0)</f>
        <v>2.2907897800905631E-13</v>
      </c>
      <c r="P188" s="13">
        <f t="shared" si="141"/>
        <v>3.1248920576624499E-12</v>
      </c>
      <c r="Q188" s="20">
        <f t="shared" si="162"/>
        <v>5.8414995537945398E-12</v>
      </c>
      <c r="R188" s="59">
        <f t="shared" si="109"/>
        <v>293.33333333333917</v>
      </c>
      <c r="S188" s="59">
        <f ca="1">AVERAGE(OFFSET($R$3,0,0,'Données projet'!$E$9+1,1))-AVERAGE(OFFSET($H$3,0,0,'Données projet'!$E$9+1,1))</f>
        <v>321.12254860105566</v>
      </c>
      <c r="T188" s="59">
        <f t="shared" si="142"/>
        <v>270.52026164274571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0.61326740860166018</v>
      </c>
      <c r="AA188" s="21">
        <f>EXP(-LN(2)/25)*AA187+(1-EXP(-LN(2)/25))/(LN(2)/25)*Calculateur!V188*Calculateur!X188*VLOOKUP('Données projet'!$B$9,Paramètres!$A$1:$I$89,3,0)*0.475*44/12</f>
        <v>0.28047586565921034</v>
      </c>
      <c r="AB188" s="21">
        <f>EXP(-LN(2)/2)*AB187+(1-EXP(-LN(2)/2))/(LN(2)/2)*V188*Y188*VLOOKUP('Données projet'!$B$9,Paramètres!$A$1:$I$89,3,0)*0.475*44/12</f>
        <v>0</v>
      </c>
      <c r="AC188" s="22">
        <f t="shared" si="163"/>
        <v>0.89374327426087052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-3.4106051316484809E-13</v>
      </c>
      <c r="AJ188" s="13">
        <f>AI188*VLOOKUP('Données projet'!$B$10,Paramètres!$A$1:$I$89,3,0)*VLOOKUP('Données projet'!$B$10,Paramètres!$A$1:$I$89,5,0)</f>
        <v>-1.5961632016114892E-13</v>
      </c>
      <c r="AK188" s="13" t="e">
        <f t="shared" si="164"/>
        <v>#NUM!</v>
      </c>
      <c r="AL188" s="20" t="e">
        <f t="shared" si="165"/>
        <v>#NUM!</v>
      </c>
      <c r="AM188" s="59" t="e">
        <f t="shared" si="113"/>
        <v>#NUM!</v>
      </c>
      <c r="AN188" s="59">
        <f ca="1">AVERAGE(OFFSET($AM$3,0,0,'Données projet'!$E$10+1,1))-AVERAGE(OFFSET($H$3,0,0,'Données projet'!$E$10+1,1))</f>
        <v>267.78121291362345</v>
      </c>
      <c r="AO188" s="59">
        <f t="shared" si="144"/>
        <v>320.1780590861174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0.33814526333043576</v>
      </c>
      <c r="AV188" s="21">
        <f>EXP(-LN(2)/25)*AV187+(1-EXP(-LN(2)/25))/(LN(2)/25)*Calculateur!AQ188*Calculateur!AS188*VLOOKUP('Données projet'!$B$10,Paramètres!$A$1:$I$89,3,0)*0.475*44/12</f>
        <v>0.27293698617800904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0.61108224950844481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8.5265128291212022E-14</v>
      </c>
      <c r="BE188" s="13">
        <f>BD188*VLOOKUP('Données projet'!$B$11,Paramètres!$A$1:$I$89,3,0)*VLOOKUP('Données projet'!$B$11,Paramètres!$A$1:$I$89,5,0)</f>
        <v>7.4487616075202836E-14</v>
      </c>
      <c r="BF188" s="13">
        <f t="shared" si="167"/>
        <v>1.1580453144473142E-12</v>
      </c>
      <c r="BG188" s="20">
        <f t="shared" si="168"/>
        <v>2.1466615206600508E-12</v>
      </c>
      <c r="BH188" s="59">
        <f t="shared" si="116"/>
        <v>293.33333333333547</v>
      </c>
      <c r="BI188" s="59">
        <f ca="1">AVERAGE(OFFSET($BH$3,0,0,'Données projet'!$E$11+1,1))-AVERAGE(OFFSET($H$3,0,0,'Données projet'!$E$11+1,1))</f>
        <v>212.82470567725971</v>
      </c>
      <c r="BJ188" s="59">
        <f t="shared" si="146"/>
        <v>196.91968622092054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4.7014727065585141E-2</v>
      </c>
      <c r="BQ188" s="21">
        <f>EXP(-LN(2)/25)*BQ187+(1-EXP(-LN(2)/25))/(LN(2)/25)*Calculateur!BL188*Calculateur!BN188*VLOOKUP('Données projet'!$B$11,Paramètres!$A$1:$I$89,3,0)*0.475*44/12</f>
        <v>5.5548239825994092E-2</v>
      </c>
      <c r="BR188" s="21">
        <f>EXP(-LN(2)/2)*BR187+(1-EXP(-LN(2)/2))/(LN(2)/2)*BL188*BO188*VLOOKUP('Données projet'!$B$11,Paramètres!$A$1:$I$89,3,0)*0.475*44/12</f>
        <v>0</v>
      </c>
      <c r="BS188" s="22">
        <f t="shared" si="169"/>
        <v>0.10256296689157923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25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87.048000000000414</v>
      </c>
      <c r="D189" s="11">
        <f t="shared" si="140"/>
        <v>23.851897708444977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856.06938581957854</v>
      </c>
      <c r="H189" s="67">
        <f t="shared" si="110"/>
        <v>486.48398850887571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5.6843418860808015E-13</v>
      </c>
      <c r="O189" s="13">
        <f>N189*VLOOKUP('Données projet'!$B$9,Paramètres!$A$1:$I$89,3,0)*VLOOKUP('Données projet'!$B$9,Paramètres!$A$1:$I$89,5,0)</f>
        <v>2.2907897800905631E-13</v>
      </c>
      <c r="P189" s="13">
        <f t="shared" si="141"/>
        <v>3.1248920576624499E-12</v>
      </c>
      <c r="Q189" s="20">
        <f t="shared" si="162"/>
        <v>5.8414995537945398E-12</v>
      </c>
      <c r="R189" s="59">
        <f t="shared" si="109"/>
        <v>293.33333333333917</v>
      </c>
      <c r="S189" s="59">
        <f ca="1">AVERAGE(OFFSET($R$3,0,0,'Données projet'!$E$9+1,1))-AVERAGE(OFFSET($H$3,0,0,'Données projet'!$E$9+1,1))</f>
        <v>321.12254860105566</v>
      </c>
      <c r="T189" s="59">
        <f t="shared" si="142"/>
        <v>270.52026164274571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0.60124160877516586</v>
      </c>
      <c r="AA189" s="21">
        <f>EXP(-LN(2)/25)*AA188+(1-EXP(-LN(2)/25))/(LN(2)/25)*Calculateur!V189*Calculateur!X189*VLOOKUP('Données projet'!$B$9,Paramètres!$A$1:$I$89,3,0)*0.475*44/12</f>
        <v>0.27280623836317452</v>
      </c>
      <c r="AB189" s="21">
        <f>EXP(-LN(2)/2)*AB188+(1-EXP(-LN(2)/2))/(LN(2)/2)*V189*Y189*VLOOKUP('Données projet'!$B$9,Paramètres!$A$1:$I$89,3,0)*0.475*44/12</f>
        <v>0</v>
      </c>
      <c r="AC189" s="22">
        <f t="shared" si="163"/>
        <v>0.87404784713834038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-3.4106051316484809E-13</v>
      </c>
      <c r="AJ189" s="13">
        <f>AI189*VLOOKUP('Données projet'!$B$10,Paramètres!$A$1:$I$89,3,0)*VLOOKUP('Données projet'!$B$10,Paramètres!$A$1:$I$89,5,0)</f>
        <v>-1.5961632016114892E-13</v>
      </c>
      <c r="AK189" s="13" t="e">
        <f t="shared" si="164"/>
        <v>#NUM!</v>
      </c>
      <c r="AL189" s="20" t="e">
        <f t="shared" si="165"/>
        <v>#NUM!</v>
      </c>
      <c r="AM189" s="59" t="e">
        <f t="shared" si="113"/>
        <v>#NUM!</v>
      </c>
      <c r="AN189" s="59">
        <f ca="1">AVERAGE(OFFSET($AM$3,0,0,'Données projet'!$E$10+1,1))-AVERAGE(OFFSET($H$3,0,0,'Données projet'!$E$10+1,1))</f>
        <v>267.78121291362345</v>
      </c>
      <c r="AO189" s="59">
        <f t="shared" si="144"/>
        <v>320.1780590861174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0.33151444096477123</v>
      </c>
      <c r="AV189" s="21">
        <f>EXP(-LN(2)/25)*AV188+(1-EXP(-LN(2)/25))/(LN(2)/25)*Calculateur!AQ189*Calculateur!AS189*VLOOKUP('Données projet'!$B$10,Paramètres!$A$1:$I$89,3,0)*0.475*44/12</f>
        <v>0.26547350993783908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0.59698795090261036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8.5265128291212022E-14</v>
      </c>
      <c r="BE189" s="13">
        <f>BD189*VLOOKUP('Données projet'!$B$11,Paramètres!$A$1:$I$89,3,0)*VLOOKUP('Données projet'!$B$11,Paramètres!$A$1:$I$89,5,0)</f>
        <v>7.4487616075202836E-14</v>
      </c>
      <c r="BF189" s="13">
        <f t="shared" si="167"/>
        <v>1.1580453144473142E-12</v>
      </c>
      <c r="BG189" s="20">
        <f t="shared" si="168"/>
        <v>2.1466615206600508E-12</v>
      </c>
      <c r="BH189" s="59">
        <f t="shared" si="116"/>
        <v>293.33333333333547</v>
      </c>
      <c r="BI189" s="59">
        <f ca="1">AVERAGE(OFFSET($BH$3,0,0,'Données projet'!$E$11+1,1))-AVERAGE(OFFSET($H$3,0,0,'Données projet'!$E$11+1,1))</f>
        <v>212.82470567725971</v>
      </c>
      <c r="BJ189" s="59">
        <f t="shared" si="146"/>
        <v>196.91968622092054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4.6092796943980989E-2</v>
      </c>
      <c r="BQ189" s="21">
        <f>EXP(-LN(2)/25)*BQ188+(1-EXP(-LN(2)/25))/(LN(2)/25)*Calculateur!BL189*Calculateur!BN189*VLOOKUP('Données projet'!$B$11,Paramètres!$A$1:$I$89,3,0)*0.475*44/12</f>
        <v>5.4029270286797305E-2</v>
      </c>
      <c r="BR189" s="21">
        <f>EXP(-LN(2)/2)*BR188+(1-EXP(-LN(2)/2))/(LN(2)/2)*BL189*BO189*VLOOKUP('Données projet'!$B$11,Paramètres!$A$1:$I$89,3,0)*0.475*44/12</f>
        <v>0</v>
      </c>
      <c r="BS189" s="22">
        <f t="shared" si="169"/>
        <v>0.10012206723077829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25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87.516000000000417</v>
      </c>
      <c r="D190" s="11">
        <f t="shared" si="140"/>
        <v>23.96517166203774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860.55641282976819</v>
      </c>
      <c r="H190" s="67">
        <f t="shared" si="110"/>
        <v>487.49637397804975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5.6843418860808015E-13</v>
      </c>
      <c r="O190" s="13">
        <f>N190*VLOOKUP('Données projet'!$B$9,Paramètres!$A$1:$I$89,3,0)*VLOOKUP('Données projet'!$B$9,Paramètres!$A$1:$I$89,5,0)</f>
        <v>2.2907897800905631E-13</v>
      </c>
      <c r="P190" s="13">
        <f t="shared" si="141"/>
        <v>3.1248920576624499E-12</v>
      </c>
      <c r="Q190" s="20">
        <f t="shared" si="162"/>
        <v>5.8414995537945398E-12</v>
      </c>
      <c r="R190" s="59">
        <f t="shared" si="109"/>
        <v>293.33333333333917</v>
      </c>
      <c r="S190" s="59">
        <f ca="1">AVERAGE(OFFSET($R$3,0,0,'Données projet'!$E$9+1,1))-AVERAGE(OFFSET($H$3,0,0,'Données projet'!$E$9+1,1))</f>
        <v>321.12254860105566</v>
      </c>
      <c r="T190" s="59">
        <f t="shared" si="142"/>
        <v>270.52026164274571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0.58945162754825553</v>
      </c>
      <c r="AA190" s="21">
        <f>EXP(-LN(2)/25)*AA189+(1-EXP(-LN(2)/25))/(LN(2)/25)*Calculateur!V190*Calculateur!X190*VLOOKUP('Données projet'!$B$9,Paramètres!$A$1:$I$89,3,0)*0.475*44/12</f>
        <v>0.26534633742887692</v>
      </c>
      <c r="AB190" s="21">
        <f>EXP(-LN(2)/2)*AB189+(1-EXP(-LN(2)/2))/(LN(2)/2)*V190*Y190*VLOOKUP('Données projet'!$B$9,Paramètres!$A$1:$I$89,3,0)*0.475*44/12</f>
        <v>0</v>
      </c>
      <c r="AC190" s="22">
        <f t="shared" si="163"/>
        <v>0.85479796497713245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-3.4106051316484809E-13</v>
      </c>
      <c r="AJ190" s="13">
        <f>AI190*VLOOKUP('Données projet'!$B$10,Paramètres!$A$1:$I$89,3,0)*VLOOKUP('Données projet'!$B$10,Paramètres!$A$1:$I$89,5,0)</f>
        <v>-1.5961632016114892E-13</v>
      </c>
      <c r="AK190" s="13" t="e">
        <f t="shared" si="164"/>
        <v>#NUM!</v>
      </c>
      <c r="AL190" s="20" t="e">
        <f t="shared" si="165"/>
        <v>#NUM!</v>
      </c>
      <c r="AM190" s="59" t="e">
        <f t="shared" si="113"/>
        <v>#NUM!</v>
      </c>
      <c r="AN190" s="59">
        <f ca="1">AVERAGE(OFFSET($AM$3,0,0,'Données projet'!$E$10+1,1))-AVERAGE(OFFSET($H$3,0,0,'Données projet'!$E$10+1,1))</f>
        <v>267.78121291362345</v>
      </c>
      <c r="AO190" s="59">
        <f t="shared" si="144"/>
        <v>320.1780590861174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0.32501364498129509</v>
      </c>
      <c r="AV190" s="21">
        <f>EXP(-LN(2)/25)*AV189+(1-EXP(-LN(2)/25))/(LN(2)/25)*Calculateur!AQ190*Calculateur!AS190*VLOOKUP('Données projet'!$B$10,Paramètres!$A$1:$I$89,3,0)*0.475*44/12</f>
        <v>0.25821412284794371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0.5832277678292388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8.5265128291212022E-14</v>
      </c>
      <c r="BE190" s="13">
        <f>BD190*VLOOKUP('Données projet'!$B$11,Paramètres!$A$1:$I$89,3,0)*VLOOKUP('Données projet'!$B$11,Paramètres!$A$1:$I$89,5,0)</f>
        <v>7.4487616075202836E-14</v>
      </c>
      <c r="BF190" s="13">
        <f t="shared" si="167"/>
        <v>1.1580453144473142E-12</v>
      </c>
      <c r="BG190" s="20">
        <f t="shared" si="168"/>
        <v>2.1466615206600508E-12</v>
      </c>
      <c r="BH190" s="59">
        <f t="shared" si="116"/>
        <v>293.33333333333547</v>
      </c>
      <c r="BI190" s="59">
        <f ca="1">AVERAGE(OFFSET($BH$3,0,0,'Données projet'!$E$11+1,1))-AVERAGE(OFFSET($H$3,0,0,'Données projet'!$E$11+1,1))</f>
        <v>212.82470567725971</v>
      </c>
      <c r="BJ190" s="59">
        <f t="shared" si="146"/>
        <v>196.91968622092054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4.5188945309739645E-2</v>
      </c>
      <c r="BQ190" s="21">
        <f>EXP(-LN(2)/25)*BQ189+(1-EXP(-LN(2)/25))/(LN(2)/25)*Calculateur!BL190*Calculateur!BN190*VLOOKUP('Données projet'!$B$11,Paramètres!$A$1:$I$89,3,0)*0.475*44/12</f>
        <v>5.2551837049528996E-2</v>
      </c>
      <c r="BR190" s="21">
        <f>EXP(-LN(2)/2)*BR189+(1-EXP(-LN(2)/2))/(LN(2)/2)*BL190*BO190*VLOOKUP('Données projet'!$B$11,Paramètres!$A$1:$I$89,3,0)*0.475*44/12</f>
        <v>0</v>
      </c>
      <c r="BS190" s="22">
        <f t="shared" si="169"/>
        <v>9.7740782359268641E-2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25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87.984000000000421</v>
      </c>
      <c r="D191" s="11">
        <f t="shared" si="140"/>
        <v>24.078375128721891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865.042895730488</v>
      </c>
      <c r="H191" s="67">
        <f t="shared" si="110"/>
        <v>488.50863668252464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5.6843418860808015E-13</v>
      </c>
      <c r="O191" s="13">
        <f>N191*VLOOKUP('Données projet'!$B$9,Paramètres!$A$1:$I$89,3,0)*VLOOKUP('Données projet'!$B$9,Paramètres!$A$1:$I$89,5,0)</f>
        <v>2.2907897800905631E-13</v>
      </c>
      <c r="P191" s="13">
        <f t="shared" si="141"/>
        <v>3.1248920576624499E-12</v>
      </c>
      <c r="Q191" s="20">
        <f t="shared" si="162"/>
        <v>5.8414995537945398E-12</v>
      </c>
      <c r="R191" s="59">
        <f t="shared" si="109"/>
        <v>293.33333333333917</v>
      </c>
      <c r="S191" s="59">
        <f ca="1">AVERAGE(OFFSET($R$3,0,0,'Données projet'!$E$9+1,1))-AVERAGE(OFFSET($H$3,0,0,'Données projet'!$E$9+1,1))</f>
        <v>321.12254860105566</v>
      </c>
      <c r="T191" s="59">
        <f t="shared" si="142"/>
        <v>270.52026164274571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0.5778928406620264</v>
      </c>
      <c r="AA191" s="21">
        <f>EXP(-LN(2)/25)*AA190+(1-EXP(-LN(2)/25))/(LN(2)/25)*Calculateur!V191*Calculateur!X191*VLOOKUP('Données projet'!$B$9,Paramètres!$A$1:$I$89,3,0)*0.475*44/12</f>
        <v>0.25809042787792685</v>
      </c>
      <c r="AB191" s="21">
        <f>EXP(-LN(2)/2)*AB190+(1-EXP(-LN(2)/2))/(LN(2)/2)*V191*Y191*VLOOKUP('Données projet'!$B$9,Paramètres!$A$1:$I$89,3,0)*0.475*44/12</f>
        <v>0</v>
      </c>
      <c r="AC191" s="22">
        <f t="shared" si="163"/>
        <v>0.83598326853995331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-3.4106051316484809E-13</v>
      </c>
      <c r="AJ191" s="13">
        <f>AI191*VLOOKUP('Données projet'!$B$10,Paramètres!$A$1:$I$89,3,0)*VLOOKUP('Données projet'!$B$10,Paramètres!$A$1:$I$89,5,0)</f>
        <v>-1.5961632016114892E-13</v>
      </c>
      <c r="AK191" s="13" t="e">
        <f t="shared" si="164"/>
        <v>#NUM!</v>
      </c>
      <c r="AL191" s="20" t="e">
        <f t="shared" si="165"/>
        <v>#NUM!</v>
      </c>
      <c r="AM191" s="59" t="e">
        <f t="shared" si="113"/>
        <v>#NUM!</v>
      </c>
      <c r="AN191" s="59">
        <f ca="1">AVERAGE(OFFSET($AM$3,0,0,'Données projet'!$E$10+1,1))-AVERAGE(OFFSET($H$3,0,0,'Données projet'!$E$10+1,1))</f>
        <v>267.78121291362345</v>
      </c>
      <c r="AO191" s="59">
        <f t="shared" si="144"/>
        <v>320.1780590861174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0.31864032564196088</v>
      </c>
      <c r="AV191" s="21">
        <f>EXP(-LN(2)/25)*AV190+(1-EXP(-LN(2)/25))/(LN(2)/25)*Calculateur!AQ191*Calculateur!AS191*VLOOKUP('Données projet'!$B$10,Paramètres!$A$1:$I$89,3,0)*0.475*44/12</f>
        <v>0.25115324407977613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0.569793569721737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8.5265128291212022E-14</v>
      </c>
      <c r="BE191" s="13">
        <f>BD191*VLOOKUP('Données projet'!$B$11,Paramètres!$A$1:$I$89,3,0)*VLOOKUP('Données projet'!$B$11,Paramètres!$A$1:$I$89,5,0)</f>
        <v>7.4487616075202836E-14</v>
      </c>
      <c r="BF191" s="13">
        <f t="shared" si="167"/>
        <v>1.1580453144473142E-12</v>
      </c>
      <c r="BG191" s="20">
        <f t="shared" si="168"/>
        <v>2.1466615206600508E-12</v>
      </c>
      <c r="BH191" s="59">
        <f t="shared" si="116"/>
        <v>293.33333333333547</v>
      </c>
      <c r="BI191" s="59">
        <f ca="1">AVERAGE(OFFSET($BH$3,0,0,'Données projet'!$E$11+1,1))-AVERAGE(OFFSET($H$3,0,0,'Données projet'!$E$11+1,1))</f>
        <v>212.82470567725971</v>
      </c>
      <c r="BJ191" s="59">
        <f t="shared" si="146"/>
        <v>196.91968622092054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4.4302817654750713E-2</v>
      </c>
      <c r="BQ191" s="21">
        <f>EXP(-LN(2)/25)*BQ190+(1-EXP(-LN(2)/25))/(LN(2)/25)*Calculateur!BL191*Calculateur!BN191*VLOOKUP('Données projet'!$B$11,Paramètres!$A$1:$I$89,3,0)*0.475*44/12</f>
        <v>5.1114804301828624E-2</v>
      </c>
      <c r="BR191" s="21">
        <f>EXP(-LN(2)/2)*BR190+(1-EXP(-LN(2)/2))/(LN(2)/2)*BL191*BO191*VLOOKUP('Données projet'!$B$11,Paramètres!$A$1:$I$89,3,0)*0.475*44/12</f>
        <v>0</v>
      </c>
      <c r="BS191" s="22">
        <f t="shared" si="169"/>
        <v>9.5417621956579338E-2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25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88.452000000000425</v>
      </c>
      <c r="D192" s="11">
        <f t="shared" si="140"/>
        <v>24.191508526944062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869.52883775185228</v>
      </c>
      <c r="H192" s="67">
        <f t="shared" si="110"/>
        <v>489.52077735109492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5.6843418860808015E-13</v>
      </c>
      <c r="O192" s="13">
        <f>N192*VLOOKUP('Données projet'!$B$9,Paramètres!$A$1:$I$89,3,0)*VLOOKUP('Données projet'!$B$9,Paramètres!$A$1:$I$89,5,0)</f>
        <v>2.2907897800905631E-13</v>
      </c>
      <c r="P192" s="13">
        <f t="shared" si="141"/>
        <v>3.1248920576624499E-12</v>
      </c>
      <c r="Q192" s="20">
        <f t="shared" si="162"/>
        <v>5.8414995537945398E-12</v>
      </c>
      <c r="R192" s="59">
        <f t="shared" si="109"/>
        <v>293.33333333333917</v>
      </c>
      <c r="S192" s="59">
        <f ca="1">AVERAGE(OFFSET($R$3,0,0,'Données projet'!$E$9+1,1))-AVERAGE(OFFSET($H$3,0,0,'Données projet'!$E$9+1,1))</f>
        <v>321.12254860105566</v>
      </c>
      <c r="T192" s="59">
        <f t="shared" si="142"/>
        <v>270.52026164274571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0.56656071453647239</v>
      </c>
      <c r="AA192" s="21">
        <f>EXP(-LN(2)/25)*AA191+(1-EXP(-LN(2)/25))/(LN(2)/25)*Calculateur!V192*Calculateur!X192*VLOOKUP('Données projet'!$B$9,Paramètres!$A$1:$I$89,3,0)*0.475*44/12</f>
        <v>0.25103293155521922</v>
      </c>
      <c r="AB192" s="21">
        <f>EXP(-LN(2)/2)*AB191+(1-EXP(-LN(2)/2))/(LN(2)/2)*V192*Y192*VLOOKUP('Données projet'!$B$9,Paramètres!$A$1:$I$89,3,0)*0.475*44/12</f>
        <v>0</v>
      </c>
      <c r="AC192" s="22">
        <f t="shared" si="163"/>
        <v>0.81759364609169161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-3.4106051316484809E-13</v>
      </c>
      <c r="AJ192" s="13">
        <f>AI192*VLOOKUP('Données projet'!$B$10,Paramètres!$A$1:$I$89,3,0)*VLOOKUP('Données projet'!$B$10,Paramètres!$A$1:$I$89,5,0)</f>
        <v>-1.5961632016114892E-13</v>
      </c>
      <c r="AK192" s="13" t="e">
        <f t="shared" si="164"/>
        <v>#NUM!</v>
      </c>
      <c r="AL192" s="20" t="e">
        <f t="shared" si="165"/>
        <v>#NUM!</v>
      </c>
      <c r="AM192" s="59" t="e">
        <f t="shared" si="113"/>
        <v>#NUM!</v>
      </c>
      <c r="AN192" s="59">
        <f ca="1">AVERAGE(OFFSET($AM$3,0,0,'Données projet'!$E$10+1,1))-AVERAGE(OFFSET($H$3,0,0,'Données projet'!$E$10+1,1))</f>
        <v>267.78121291362345</v>
      </c>
      <c r="AO192" s="59">
        <f t="shared" si="144"/>
        <v>320.1780590861174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0.31239198320753003</v>
      </c>
      <c r="AV192" s="21">
        <f>EXP(-LN(2)/25)*AV191+(1-EXP(-LN(2)/25))/(LN(2)/25)*Calculateur!AQ192*Calculateur!AS192*VLOOKUP('Données projet'!$B$10,Paramètres!$A$1:$I$89,3,0)*0.475*44/12</f>
        <v>0.24428544541283956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0.55667742862036962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8.5265128291212022E-14</v>
      </c>
      <c r="BE192" s="13">
        <f>BD192*VLOOKUP('Données projet'!$B$11,Paramètres!$A$1:$I$89,3,0)*VLOOKUP('Données projet'!$B$11,Paramètres!$A$1:$I$89,5,0)</f>
        <v>7.4487616075202836E-14</v>
      </c>
      <c r="BF192" s="13">
        <f t="shared" si="167"/>
        <v>1.1580453144473142E-12</v>
      </c>
      <c r="BG192" s="20">
        <f t="shared" si="168"/>
        <v>2.1466615206600508E-12</v>
      </c>
      <c r="BH192" s="59">
        <f t="shared" si="116"/>
        <v>293.33333333333547</v>
      </c>
      <c r="BI192" s="59">
        <f ca="1">AVERAGE(OFFSET($BH$3,0,0,'Données projet'!$E$11+1,1))-AVERAGE(OFFSET($H$3,0,0,'Données projet'!$E$11+1,1))</f>
        <v>212.82470567725971</v>
      </c>
      <c r="BJ192" s="59">
        <f t="shared" si="146"/>
        <v>196.91968622092054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4.3434066422591615E-2</v>
      </c>
      <c r="BQ192" s="21">
        <f>EXP(-LN(2)/25)*BQ191+(1-EXP(-LN(2)/25))/(LN(2)/25)*Calculateur!BL192*Calculateur!BN192*VLOOKUP('Données projet'!$B$11,Paramètres!$A$1:$I$89,3,0)*0.475*44/12</f>
        <v>4.9717067290184387E-2</v>
      </c>
      <c r="BR192" s="21">
        <f>EXP(-LN(2)/2)*BR191+(1-EXP(-LN(2)/2))/(LN(2)/2)*BL192*BO192*VLOOKUP('Données projet'!$B$11,Paramètres!$A$1:$I$89,3,0)*0.475*44/12</f>
        <v>0</v>
      </c>
      <c r="BS192" s="22">
        <f t="shared" si="169"/>
        <v>9.3151133712776002E-2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25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88.920000000000428</v>
      </c>
      <c r="D193" s="11">
        <f t="shared" si="140"/>
        <v>24.304572270466586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874.01424208781555</v>
      </c>
      <c r="H193" s="67">
        <f t="shared" si="110"/>
        <v>490.53279670439667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5.6843418860808015E-13</v>
      </c>
      <c r="O193" s="13">
        <f>N193*VLOOKUP('Données projet'!$B$9,Paramètres!$A$1:$I$89,3,0)*VLOOKUP('Données projet'!$B$9,Paramètres!$A$1:$I$89,5,0)</f>
        <v>2.2907897800905631E-13</v>
      </c>
      <c r="P193" s="13">
        <f t="shared" si="141"/>
        <v>3.1248920576624499E-12</v>
      </c>
      <c r="Q193" s="20">
        <f t="shared" si="162"/>
        <v>5.8414995537945398E-12</v>
      </c>
      <c r="R193" s="59">
        <f t="shared" si="109"/>
        <v>293.33333333333917</v>
      </c>
      <c r="S193" s="59">
        <f ca="1">AVERAGE(OFFSET($R$3,0,0,'Données projet'!$E$9+1,1))-AVERAGE(OFFSET($H$3,0,0,'Données projet'!$E$9+1,1))</f>
        <v>321.12254860105566</v>
      </c>
      <c r="T193" s="59">
        <f t="shared" si="142"/>
        <v>270.52026164274571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0.55545080449232609</v>
      </c>
      <c r="AA193" s="21">
        <f>EXP(-LN(2)/25)*AA192+(1-EXP(-LN(2)/25))/(LN(2)/25)*Calculateur!V193*Calculateur!X193*VLOOKUP('Données projet'!$B$9,Paramètres!$A$1:$I$89,3,0)*0.475*44/12</f>
        <v>0.24416842284059362</v>
      </c>
      <c r="AB193" s="21">
        <f>EXP(-LN(2)/2)*AB192+(1-EXP(-LN(2)/2))/(LN(2)/2)*V193*Y193*VLOOKUP('Données projet'!$B$9,Paramètres!$A$1:$I$89,3,0)*0.475*44/12</f>
        <v>0</v>
      </c>
      <c r="AC193" s="22">
        <f t="shared" si="163"/>
        <v>0.79961922733291968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-3.4106051316484809E-13</v>
      </c>
      <c r="AJ193" s="13">
        <f>AI193*VLOOKUP('Données projet'!$B$10,Paramètres!$A$1:$I$89,3,0)*VLOOKUP('Données projet'!$B$10,Paramètres!$A$1:$I$89,5,0)</f>
        <v>-1.5961632016114892E-13</v>
      </c>
      <c r="AK193" s="13" t="e">
        <f t="shared" si="164"/>
        <v>#NUM!</v>
      </c>
      <c r="AL193" s="20" t="e">
        <f t="shared" si="165"/>
        <v>#NUM!</v>
      </c>
      <c r="AM193" s="59" t="e">
        <f t="shared" si="113"/>
        <v>#NUM!</v>
      </c>
      <c r="AN193" s="59">
        <f ca="1">AVERAGE(OFFSET($AM$3,0,0,'Données projet'!$E$10+1,1))-AVERAGE(OFFSET($H$3,0,0,'Données projet'!$E$10+1,1))</f>
        <v>267.78121291362345</v>
      </c>
      <c r="AO193" s="59">
        <f t="shared" si="144"/>
        <v>320.1780590861174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0.30626616695712583</v>
      </c>
      <c r="AV193" s="21">
        <f>EXP(-LN(2)/25)*AV192+(1-EXP(-LN(2)/25))/(LN(2)/25)*Calculateur!AQ193*Calculateur!AS193*VLOOKUP('Données projet'!$B$10,Paramètres!$A$1:$I$89,3,0)*0.475*44/12</f>
        <v>0.23760544706161221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0.54387161401873807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8.5265128291212022E-14</v>
      </c>
      <c r="BE193" s="13">
        <f>BD193*VLOOKUP('Données projet'!$B$11,Paramètres!$A$1:$I$89,3,0)*VLOOKUP('Données projet'!$B$11,Paramètres!$A$1:$I$89,5,0)</f>
        <v>7.4487616075202836E-14</v>
      </c>
      <c r="BF193" s="13">
        <f t="shared" si="167"/>
        <v>1.1580453144473142E-12</v>
      </c>
      <c r="BG193" s="20">
        <f t="shared" si="168"/>
        <v>2.1466615206600508E-12</v>
      </c>
      <c r="BH193" s="59">
        <f t="shared" si="116"/>
        <v>293.33333333333547</v>
      </c>
      <c r="BI193" s="59">
        <f ca="1">AVERAGE(OFFSET($BH$3,0,0,'Données projet'!$E$11+1,1))-AVERAGE(OFFSET($H$3,0,0,'Données projet'!$E$11+1,1))</f>
        <v>212.82470567725971</v>
      </c>
      <c r="BJ193" s="59">
        <f t="shared" si="146"/>
        <v>196.91968622092054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4.2582350872209226E-2</v>
      </c>
      <c r="BQ193" s="21">
        <f>EXP(-LN(2)/25)*BQ192+(1-EXP(-LN(2)/25))/(LN(2)/25)*Calculateur!BL193*Calculateur!BN193*VLOOKUP('Données projet'!$B$11,Paramètres!$A$1:$I$89,3,0)*0.475*44/12</f>
        <v>4.8357551470627355E-2</v>
      </c>
      <c r="BR193" s="21">
        <f>EXP(-LN(2)/2)*BR192+(1-EXP(-LN(2)/2))/(LN(2)/2)*BL193*BO193*VLOOKUP('Données projet'!$B$11,Paramètres!$A$1:$I$89,3,0)*0.475*44/12</f>
        <v>0</v>
      </c>
      <c r="BS193" s="22">
        <f t="shared" si="169"/>
        <v>9.0939902342836582E-2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25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89.388000000000432</v>
      </c>
      <c r="D194" s="11">
        <f t="shared" si="140"/>
        <v>24.417566768444267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878.49911189676607</v>
      </c>
      <c r="H194" s="67">
        <f t="shared" si="110"/>
        <v>491.54469545504116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5.6843418860808015E-13</v>
      </c>
      <c r="O194" s="13">
        <f>N194*VLOOKUP('Données projet'!$B$9,Paramètres!$A$1:$I$89,3,0)*VLOOKUP('Données projet'!$B$9,Paramètres!$A$1:$I$89,5,0)</f>
        <v>2.2907897800905631E-13</v>
      </c>
      <c r="P194" s="13">
        <f t="shared" si="141"/>
        <v>3.1248920576624499E-12</v>
      </c>
      <c r="Q194" s="20">
        <f t="shared" si="162"/>
        <v>5.8414995537945398E-12</v>
      </c>
      <c r="R194" s="59">
        <f t="shared" si="109"/>
        <v>293.33333333333917</v>
      </c>
      <c r="S194" s="59">
        <f ca="1">AVERAGE(OFFSET($R$3,0,0,'Données projet'!$E$9+1,1))-AVERAGE(OFFSET($H$3,0,0,'Données projet'!$E$9+1,1))</f>
        <v>321.12254860105566</v>
      </c>
      <c r="T194" s="59">
        <f t="shared" si="142"/>
        <v>270.52026164274571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0.54455875300776946</v>
      </c>
      <c r="AA194" s="21">
        <f>EXP(-LN(2)/25)*AA193+(1-EXP(-LN(2)/25))/(LN(2)/25)*Calculateur!V194*Calculateur!X194*VLOOKUP('Données projet'!$B$9,Paramètres!$A$1:$I$89,3,0)*0.475*44/12</f>
        <v>0.23749162447775829</v>
      </c>
      <c r="AB194" s="21">
        <f>EXP(-LN(2)/2)*AB193+(1-EXP(-LN(2)/2))/(LN(2)/2)*V194*Y194*VLOOKUP('Données projet'!$B$9,Paramètres!$A$1:$I$89,3,0)*0.475*44/12</f>
        <v>0</v>
      </c>
      <c r="AC194" s="22">
        <f t="shared" si="163"/>
        <v>0.78205037748552775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-3.4106051316484809E-13</v>
      </c>
      <c r="AJ194" s="13">
        <f>AI194*VLOOKUP('Données projet'!$B$10,Paramètres!$A$1:$I$89,3,0)*VLOOKUP('Données projet'!$B$10,Paramètres!$A$1:$I$89,5,0)</f>
        <v>-1.5961632016114892E-13</v>
      </c>
      <c r="AK194" s="13" t="e">
        <f t="shared" si="164"/>
        <v>#NUM!</v>
      </c>
      <c r="AL194" s="20" t="e">
        <f t="shared" si="165"/>
        <v>#NUM!</v>
      </c>
      <c r="AM194" s="59" t="e">
        <f t="shared" si="113"/>
        <v>#NUM!</v>
      </c>
      <c r="AN194" s="59">
        <f ca="1">AVERAGE(OFFSET($AM$3,0,0,'Données projet'!$E$10+1,1))-AVERAGE(OFFSET($H$3,0,0,'Données projet'!$E$10+1,1))</f>
        <v>267.78121291362345</v>
      </c>
      <c r="AO194" s="59">
        <f t="shared" si="144"/>
        <v>320.1780590861174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0.30026047422701307</v>
      </c>
      <c r="AV194" s="21">
        <f>EXP(-LN(2)/25)*AV193+(1-EXP(-LN(2)/25))/(LN(2)/25)*Calculateur!AQ194*Calculateur!AS194*VLOOKUP('Données projet'!$B$10,Paramètres!$A$1:$I$89,3,0)*0.475*44/12</f>
        <v>0.23110811361658501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0.53136858784359808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8.5265128291212022E-14</v>
      </c>
      <c r="BE194" s="13">
        <f>BD194*VLOOKUP('Données projet'!$B$11,Paramètres!$A$1:$I$89,3,0)*VLOOKUP('Données projet'!$B$11,Paramètres!$A$1:$I$89,5,0)</f>
        <v>7.4487616075202836E-14</v>
      </c>
      <c r="BF194" s="13">
        <f t="shared" si="167"/>
        <v>1.1580453144473142E-12</v>
      </c>
      <c r="BG194" s="20">
        <f t="shared" si="168"/>
        <v>2.1466615206600508E-12</v>
      </c>
      <c r="BH194" s="59">
        <f t="shared" si="116"/>
        <v>293.33333333333547</v>
      </c>
      <c r="BI194" s="59">
        <f ca="1">AVERAGE(OFFSET($BH$3,0,0,'Données projet'!$E$11+1,1))-AVERAGE(OFFSET($H$3,0,0,'Données projet'!$E$11+1,1))</f>
        <v>212.82470567725971</v>
      </c>
      <c r="BJ194" s="59">
        <f t="shared" si="146"/>
        <v>196.91968622092054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4.1747336944274648E-2</v>
      </c>
      <c r="BQ194" s="21">
        <f>EXP(-LN(2)/25)*BQ193+(1-EXP(-LN(2)/25))/(LN(2)/25)*Calculateur!BL194*Calculateur!BN194*VLOOKUP('Données projet'!$B$11,Paramètres!$A$1:$I$89,3,0)*0.475*44/12</f>
        <v>4.7035211682649944E-2</v>
      </c>
      <c r="BR194" s="21">
        <f>EXP(-LN(2)/2)*BR193+(1-EXP(-LN(2)/2))/(LN(2)/2)*BL194*BO194*VLOOKUP('Données projet'!$B$11,Paramètres!$A$1:$I$89,3,0)*0.475*44/12</f>
        <v>0</v>
      </c>
      <c r="BS194" s="22">
        <f t="shared" si="169"/>
        <v>8.8782548626924584E-2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25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89.856000000000435</v>
      </c>
      <c r="D195" s="11">
        <f t="shared" si="140"/>
        <v>24.530492425499521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882.98345030210487</v>
      </c>
      <c r="H195" s="67">
        <f t="shared" si="110"/>
        <v>492.5564743077457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5.6843418860808015E-13</v>
      </c>
      <c r="O195" s="13">
        <f>N195*VLOOKUP('Données projet'!$B$9,Paramètres!$A$1:$I$89,3,0)*VLOOKUP('Données projet'!$B$9,Paramètres!$A$1:$I$89,5,0)</f>
        <v>2.2907897800905631E-13</v>
      </c>
      <c r="P195" s="13">
        <f t="shared" si="141"/>
        <v>3.1248920576624499E-12</v>
      </c>
      <c r="Q195" s="20">
        <f t="shared" si="162"/>
        <v>5.8414995537945398E-12</v>
      </c>
      <c r="R195" s="59">
        <f t="shared" ref="R195:R203" si="191">Q195+(I195+J195)*44/12</f>
        <v>293.33333333333917</v>
      </c>
      <c r="S195" s="59">
        <f ca="1">AVERAGE(OFFSET($R$3,0,0,'Données projet'!$E$9+1,1))-AVERAGE(OFFSET($H$3,0,0,'Données projet'!$E$9+1,1))</f>
        <v>321.12254860105566</v>
      </c>
      <c r="T195" s="59">
        <f t="shared" si="142"/>
        <v>270.52026164274571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0.53388028800932952</v>
      </c>
      <c r="AA195" s="21">
        <f>EXP(-LN(2)/25)*AA194+(1-EXP(-LN(2)/25))/(LN(2)/25)*Calculateur!V195*Calculateur!X195*VLOOKUP('Données projet'!$B$9,Paramètres!$A$1:$I$89,3,0)*0.475*44/12</f>
        <v>0.23099740351727224</v>
      </c>
      <c r="AB195" s="21">
        <f>EXP(-LN(2)/2)*AB194+(1-EXP(-LN(2)/2))/(LN(2)/2)*V195*Y195*VLOOKUP('Données projet'!$B$9,Paramètres!$A$1:$I$89,3,0)*0.475*44/12</f>
        <v>0</v>
      </c>
      <c r="AC195" s="22">
        <f t="shared" si="163"/>
        <v>0.76487769152660179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-3.4106051316484809E-13</v>
      </c>
      <c r="AJ195" s="13">
        <f>AI195*VLOOKUP('Données projet'!$B$10,Paramètres!$A$1:$I$89,3,0)*VLOOKUP('Données projet'!$B$10,Paramètres!$A$1:$I$89,5,0)</f>
        <v>-1.5961632016114892E-13</v>
      </c>
      <c r="AK195" s="13" t="e">
        <f t="shared" si="164"/>
        <v>#NUM!</v>
      </c>
      <c r="AL195" s="20" t="e">
        <f t="shared" si="165"/>
        <v>#NUM!</v>
      </c>
      <c r="AM195" s="59" t="e">
        <f t="shared" si="113"/>
        <v>#NUM!</v>
      </c>
      <c r="AN195" s="59">
        <f ca="1">AVERAGE(OFFSET($AM$3,0,0,'Données projet'!$E$10+1,1))-AVERAGE(OFFSET($H$3,0,0,'Données projet'!$E$10+1,1))</f>
        <v>267.78121291362345</v>
      </c>
      <c r="AO195" s="59">
        <f t="shared" si="144"/>
        <v>320.1780590861174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0.294372549468227</v>
      </c>
      <c r="AV195" s="21">
        <f>EXP(-LN(2)/25)*AV194+(1-EXP(-LN(2)/25))/(LN(2)/25)*Calculateur!AQ195*Calculateur!AS195*VLOOKUP('Données projet'!$B$10,Paramètres!$A$1:$I$89,3,0)*0.475*44/12</f>
        <v>0.224788450096292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0.519160999564519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8.5265128291212022E-14</v>
      </c>
      <c r="BE195" s="13">
        <f>BD195*VLOOKUP('Données projet'!$B$11,Paramètres!$A$1:$I$89,3,0)*VLOOKUP('Données projet'!$B$11,Paramètres!$A$1:$I$89,5,0)</f>
        <v>7.4487616075202836E-14</v>
      </c>
      <c r="BF195" s="13">
        <f t="shared" si="167"/>
        <v>1.1580453144473142E-12</v>
      </c>
      <c r="BG195" s="20">
        <f t="shared" si="168"/>
        <v>2.1466615206600508E-12</v>
      </c>
      <c r="BH195" s="59">
        <f t="shared" si="116"/>
        <v>293.33333333333547</v>
      </c>
      <c r="BI195" s="59">
        <f ca="1">AVERAGE(OFFSET($BH$3,0,0,'Données projet'!$E$11+1,1))-AVERAGE(OFFSET($H$3,0,0,'Données projet'!$E$11+1,1))</f>
        <v>212.82470567725971</v>
      </c>
      <c r="BJ195" s="59">
        <f t="shared" si="146"/>
        <v>196.91968622092054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4.0928697130158662E-2</v>
      </c>
      <c r="BQ195" s="21">
        <f>EXP(-LN(2)/25)*BQ194+(1-EXP(-LN(2)/25))/(LN(2)/25)*Calculateur!BL195*Calculateur!BN195*VLOOKUP('Données projet'!$B$11,Paramètres!$A$1:$I$89,3,0)*0.475*44/12</f>
        <v>4.5749031345713599E-2</v>
      </c>
      <c r="BR195" s="21">
        <f>EXP(-LN(2)/2)*BR194+(1-EXP(-LN(2)/2))/(LN(2)/2)*BL195*BO195*VLOOKUP('Données projet'!$B$11,Paramètres!$A$1:$I$89,3,0)*0.475*44/12</f>
        <v>0</v>
      </c>
      <c r="BS195" s="22">
        <f t="shared" si="169"/>
        <v>8.6677728475872268E-2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25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90.324000000000439</v>
      </c>
      <c r="D196" s="11">
        <f t="shared" si="140"/>
        <v>24.643349641795954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887.4672603928143</v>
      </c>
      <c r="H196" s="67">
        <f t="shared" ref="H196:H203" si="192">(B196+E196+F196)*44/12+(C196+D196)*0.475*44/12</f>
        <v>493.56813395946199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5.6843418860808015E-13</v>
      </c>
      <c r="O196" s="13">
        <f>N196*VLOOKUP('Données projet'!$B$9,Paramètres!$A$1:$I$89,3,0)*VLOOKUP('Données projet'!$B$9,Paramètres!$A$1:$I$89,5,0)</f>
        <v>2.2907897800905631E-13</v>
      </c>
      <c r="P196" s="13">
        <f t="shared" si="141"/>
        <v>3.1248920576624499E-12</v>
      </c>
      <c r="Q196" s="20">
        <f t="shared" si="162"/>
        <v>5.8414995537945398E-12</v>
      </c>
      <c r="R196" s="59">
        <f t="shared" si="191"/>
        <v>293.33333333333917</v>
      </c>
      <c r="S196" s="59">
        <f ca="1">AVERAGE(OFFSET($R$3,0,0,'Données projet'!$E$9+1,1))-AVERAGE(OFFSET($H$3,0,0,'Données projet'!$E$9+1,1))</f>
        <v>321.12254860105566</v>
      </c>
      <c r="T196" s="59">
        <f t="shared" si="142"/>
        <v>270.52026164274571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0.52341122119628847</v>
      </c>
      <c r="AA196" s="21">
        <f>EXP(-LN(2)/25)*AA195+(1-EXP(-LN(2)/25))/(LN(2)/25)*Calculateur!V196*Calculateur!X196*VLOOKUP('Données projet'!$B$9,Paramètres!$A$1:$I$89,3,0)*0.475*44/12</f>
        <v>0.22468076737046694</v>
      </c>
      <c r="AB196" s="21">
        <f>EXP(-LN(2)/2)*AB195+(1-EXP(-LN(2)/2))/(LN(2)/2)*V196*Y196*VLOOKUP('Données projet'!$B$9,Paramètres!$A$1:$I$89,3,0)*0.475*44/12</f>
        <v>0</v>
      </c>
      <c r="AC196" s="22">
        <f t="shared" si="163"/>
        <v>0.74809198856675541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-3.4106051316484809E-13</v>
      </c>
      <c r="AJ196" s="13">
        <f>AI196*VLOOKUP('Données projet'!$B$10,Paramètres!$A$1:$I$89,3,0)*VLOOKUP('Données projet'!$B$10,Paramètres!$A$1:$I$89,5,0)</f>
        <v>-1.5961632016114892E-13</v>
      </c>
      <c r="AK196" s="13" t="e">
        <f t="shared" si="164"/>
        <v>#NUM!</v>
      </c>
      <c r="AL196" s="20" t="e">
        <f t="shared" si="165"/>
        <v>#NUM!</v>
      </c>
      <c r="AM196" s="59" t="e">
        <f t="shared" ref="AM196:AM203" si="193">AL196+(AD196+AE196)*44/12</f>
        <v>#NUM!</v>
      </c>
      <c r="AN196" s="59">
        <f ca="1">AVERAGE(OFFSET($AM$3,0,0,'Données projet'!$E$10+1,1))-AVERAGE(OFFSET($H$3,0,0,'Données projet'!$E$10+1,1))</f>
        <v>267.78121291362345</v>
      </c>
      <c r="AO196" s="59">
        <f t="shared" si="144"/>
        <v>320.1780590861174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0.28860008332268122</v>
      </c>
      <c r="AV196" s="21">
        <f>EXP(-LN(2)/25)*AV195+(1-EXP(-LN(2)/25))/(LN(2)/25)*Calculateur!AQ196*Calculateur!AS196*VLOOKUP('Données projet'!$B$10,Paramètres!$A$1:$I$89,3,0)*0.475*44/12</f>
        <v>0.21864159810729808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0.50724168142997927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8.5265128291212022E-14</v>
      </c>
      <c r="BE196" s="13">
        <f>BD196*VLOOKUP('Données projet'!$B$11,Paramètres!$A$1:$I$89,3,0)*VLOOKUP('Données projet'!$B$11,Paramètres!$A$1:$I$89,5,0)</f>
        <v>7.4487616075202836E-14</v>
      </c>
      <c r="BF196" s="13">
        <f t="shared" si="167"/>
        <v>1.1580453144473142E-12</v>
      </c>
      <c r="BG196" s="20">
        <f t="shared" si="168"/>
        <v>2.1466615206600508E-12</v>
      </c>
      <c r="BH196" s="59">
        <f t="shared" ref="BH196:BH203" si="194">BG196+(AY196+AZ196)*44/12</f>
        <v>293.33333333333547</v>
      </c>
      <c r="BI196" s="59">
        <f ca="1">AVERAGE(OFFSET($BH$3,0,0,'Données projet'!$E$11+1,1))-AVERAGE(OFFSET($H$3,0,0,'Données projet'!$E$11+1,1))</f>
        <v>212.82470567725971</v>
      </c>
      <c r="BJ196" s="59">
        <f t="shared" si="146"/>
        <v>196.91968622092054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4.0126110343476504E-2</v>
      </c>
      <c r="BQ196" s="21">
        <f>EXP(-LN(2)/25)*BQ195+(1-EXP(-LN(2)/25))/(LN(2)/25)*Calculateur!BL196*Calculateur!BN196*VLOOKUP('Données projet'!$B$11,Paramètres!$A$1:$I$89,3,0)*0.475*44/12</f>
        <v>4.449802167772806E-2</v>
      </c>
      <c r="BR196" s="21">
        <f>EXP(-LN(2)/2)*BR195+(1-EXP(-LN(2)/2))/(LN(2)/2)*BL196*BO196*VLOOKUP('Données projet'!$B$11,Paramètres!$A$1:$I$89,3,0)*0.475*44/12</f>
        <v>0</v>
      </c>
      <c r="BS196" s="22">
        <f t="shared" si="169"/>
        <v>8.4624132021204557E-2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25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90.792000000000442</v>
      </c>
      <c r="D197" s="11">
        <f t="shared" ref="D197:D203" si="202">IFERROR(EXP(-1.0587+0.8836*LN(C197)+0.284),0)</f>
        <v>24.756138813110294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891.95054522401279</v>
      </c>
      <c r="H197" s="67">
        <f t="shared" si="192"/>
        <v>494.57967509950117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5.6843418860808015E-13</v>
      </c>
      <c r="O197" s="13">
        <f>N197*VLOOKUP('Données projet'!$B$9,Paramètres!$A$1:$I$89,3,0)*VLOOKUP('Données projet'!$B$9,Paramètres!$A$1:$I$89,5,0)</f>
        <v>2.2907897800905631E-13</v>
      </c>
      <c r="P197" s="13">
        <f t="shared" ref="P197:P203" si="203">EXP(-1.0587+0.8836*LN(O197)+0.284)</f>
        <v>3.1248920576624499E-12</v>
      </c>
      <c r="Q197" s="20">
        <f t="shared" si="162"/>
        <v>5.8414995537945398E-12</v>
      </c>
      <c r="R197" s="59">
        <f t="shared" si="191"/>
        <v>293.33333333333917</v>
      </c>
      <c r="S197" s="59">
        <f ca="1">AVERAGE(OFFSET($R$3,0,0,'Données projet'!$E$9+1,1))-AVERAGE(OFFSET($H$3,0,0,'Données projet'!$E$9+1,1))</f>
        <v>321.12254860105566</v>
      </c>
      <c r="T197" s="59">
        <f t="shared" ref="T197:T203" si="204">$T$3</f>
        <v>270.52026164274571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0.51314744639795096</v>
      </c>
      <c r="AA197" s="21">
        <f>EXP(-LN(2)/25)*AA196+(1-EXP(-LN(2)/25))/(LN(2)/25)*Calculateur!V197*Calculateur!X197*VLOOKUP('Données projet'!$B$9,Paramètres!$A$1:$I$89,3,0)*0.475*44/12</f>
        <v>0.21853685997127348</v>
      </c>
      <c r="AB197" s="21">
        <f>EXP(-LN(2)/2)*AB196+(1-EXP(-LN(2)/2))/(LN(2)/2)*V197*Y197*VLOOKUP('Données projet'!$B$9,Paramètres!$A$1:$I$89,3,0)*0.475*44/12</f>
        <v>0</v>
      </c>
      <c r="AC197" s="22">
        <f t="shared" si="163"/>
        <v>0.73168430636922444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-3.4106051316484809E-13</v>
      </c>
      <c r="AJ197" s="13">
        <f>AI197*VLOOKUP('Données projet'!$B$10,Paramètres!$A$1:$I$89,3,0)*VLOOKUP('Données projet'!$B$10,Paramètres!$A$1:$I$89,5,0)</f>
        <v>-1.5961632016114892E-13</v>
      </c>
      <c r="AK197" s="13" t="e">
        <f t="shared" si="164"/>
        <v>#NUM!</v>
      </c>
      <c r="AL197" s="20" t="e">
        <f t="shared" si="165"/>
        <v>#NUM!</v>
      </c>
      <c r="AM197" s="59" t="e">
        <f t="shared" si="193"/>
        <v>#NUM!</v>
      </c>
      <c r="AN197" s="59">
        <f ca="1">AVERAGE(OFFSET($AM$3,0,0,'Données projet'!$E$10+1,1))-AVERAGE(OFFSET($H$3,0,0,'Données projet'!$E$10+1,1))</f>
        <v>267.78121291362345</v>
      </c>
      <c r="AO197" s="59">
        <f t="shared" ref="AO197:AO203" si="205">$AO$3</f>
        <v>320.1780590861174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0.28294081171739288</v>
      </c>
      <c r="AV197" s="21">
        <f>EXP(-LN(2)/25)*AV196+(1-EXP(-LN(2)/25))/(LN(2)/25)*Calculateur!AQ197*Calculateur!AS197*VLOOKUP('Données projet'!$B$10,Paramètres!$A$1:$I$89,3,0)*0.475*44/12</f>
        <v>0.21266283210919207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0.49560364382658495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8.5265128291212022E-14</v>
      </c>
      <c r="BE197" s="13">
        <f>BD197*VLOOKUP('Données projet'!$B$11,Paramètres!$A$1:$I$89,3,0)*VLOOKUP('Données projet'!$B$11,Paramètres!$A$1:$I$89,5,0)</f>
        <v>7.4487616075202836E-14</v>
      </c>
      <c r="BF197" s="13">
        <f t="shared" si="167"/>
        <v>1.1580453144473142E-12</v>
      </c>
      <c r="BG197" s="20">
        <f t="shared" si="168"/>
        <v>2.1466615206600508E-12</v>
      </c>
      <c r="BH197" s="59">
        <f t="shared" si="194"/>
        <v>293.33333333333547</v>
      </c>
      <c r="BI197" s="59">
        <f ca="1">AVERAGE(OFFSET($BH$3,0,0,'Données projet'!$E$11+1,1))-AVERAGE(OFFSET($H$3,0,0,'Données projet'!$E$11+1,1))</f>
        <v>212.82470567725971</v>
      </c>
      <c r="BJ197" s="59">
        <f t="shared" ref="BJ197:BJ203" si="206">$BJ$3</f>
        <v>196.91968622092054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3.9339261794151585E-2</v>
      </c>
      <c r="BQ197" s="21">
        <f>EXP(-LN(2)/25)*BQ196+(1-EXP(-LN(2)/25))/(LN(2)/25)*Calculateur!BL197*Calculateur!BN197*VLOOKUP('Données projet'!$B$11,Paramètres!$A$1:$I$89,3,0)*0.475*44/12</f>
        <v>4.3281220934901325E-2</v>
      </c>
      <c r="BR197" s="21">
        <f>EXP(-LN(2)/2)*BR196+(1-EXP(-LN(2)/2))/(LN(2)/2)*BL197*BO197*VLOOKUP('Données projet'!$B$11,Paramètres!$A$1:$I$89,3,0)*0.475*44/12</f>
        <v>0</v>
      </c>
      <c r="BS197" s="22">
        <f t="shared" si="169"/>
        <v>8.262048272905291E-2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25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91.260000000000446</v>
      </c>
      <c r="D198" s="11">
        <f t="shared" si="202"/>
        <v>24.868860330902901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896.43330781749955</v>
      </c>
      <c r="H198" s="67">
        <f t="shared" si="192"/>
        <v>495.59109840965664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5.6843418860808015E-13</v>
      </c>
      <c r="O198" s="13">
        <f>N198*VLOOKUP('Données projet'!$B$9,Paramètres!$A$1:$I$89,3,0)*VLOOKUP('Données projet'!$B$9,Paramètres!$A$1:$I$89,5,0)</f>
        <v>2.2907897800905631E-13</v>
      </c>
      <c r="P198" s="13">
        <f t="shared" si="203"/>
        <v>3.1248920576624499E-12</v>
      </c>
      <c r="Q198" s="20">
        <f t="shared" si="162"/>
        <v>5.8414995537945398E-12</v>
      </c>
      <c r="R198" s="59">
        <f t="shared" si="191"/>
        <v>293.33333333333917</v>
      </c>
      <c r="S198" s="59">
        <f ca="1">AVERAGE(OFFSET($R$3,0,0,'Données projet'!$E$9+1,1))-AVERAGE(OFFSET($H$3,0,0,'Données projet'!$E$9+1,1))</f>
        <v>321.12254860105566</v>
      </c>
      <c r="T198" s="59">
        <f t="shared" si="204"/>
        <v>270.52026164274571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0.50308493796312437</v>
      </c>
      <c r="AA198" s="21">
        <f>EXP(-LN(2)/25)*AA197+(1-EXP(-LN(2)/25))/(LN(2)/25)*Calculateur!V198*Calculateur!X198*VLOOKUP('Données projet'!$B$9,Paramètres!$A$1:$I$89,3,0)*0.475*44/12</f>
        <v>0.21256095804300501</v>
      </c>
      <c r="AB198" s="21">
        <f>EXP(-LN(2)/2)*AB197+(1-EXP(-LN(2)/2))/(LN(2)/2)*V198*Y198*VLOOKUP('Données projet'!$B$9,Paramètres!$A$1:$I$89,3,0)*0.475*44/12</f>
        <v>0</v>
      </c>
      <c r="AC198" s="22">
        <f t="shared" si="163"/>
        <v>0.71564589600612938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-3.4106051316484809E-13</v>
      </c>
      <c r="AJ198" s="13">
        <f>AI198*VLOOKUP('Données projet'!$B$10,Paramètres!$A$1:$I$89,3,0)*VLOOKUP('Données projet'!$B$10,Paramètres!$A$1:$I$89,5,0)</f>
        <v>-1.5961632016114892E-13</v>
      </c>
      <c r="AK198" s="13" t="e">
        <f t="shared" si="164"/>
        <v>#NUM!</v>
      </c>
      <c r="AL198" s="20" t="e">
        <f t="shared" si="165"/>
        <v>#NUM!</v>
      </c>
      <c r="AM198" s="59" t="e">
        <f t="shared" si="193"/>
        <v>#NUM!</v>
      </c>
      <c r="AN198" s="59">
        <f ca="1">AVERAGE(OFFSET($AM$3,0,0,'Données projet'!$E$10+1,1))-AVERAGE(OFFSET($H$3,0,0,'Données projet'!$E$10+1,1))</f>
        <v>267.78121291362345</v>
      </c>
      <c r="AO198" s="59">
        <f t="shared" si="205"/>
        <v>320.1780590861174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0.27739251497646938</v>
      </c>
      <c r="AV198" s="21">
        <f>EXP(-LN(2)/25)*AV197+(1-EXP(-LN(2)/25))/(LN(2)/25)*Calculateur!AQ198*Calculateur!AS198*VLOOKUP('Données projet'!$B$10,Paramètres!$A$1:$I$89,3,0)*0.475*44/12</f>
        <v>0.2068475557817139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0.48424007075818332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8.5265128291212022E-14</v>
      </c>
      <c r="BE198" s="13">
        <f>BD198*VLOOKUP('Données projet'!$B$11,Paramètres!$A$1:$I$89,3,0)*VLOOKUP('Données projet'!$B$11,Paramètres!$A$1:$I$89,5,0)</f>
        <v>7.4487616075202836E-14</v>
      </c>
      <c r="BF198" s="13">
        <f t="shared" si="167"/>
        <v>1.1580453144473142E-12</v>
      </c>
      <c r="BG198" s="20">
        <f t="shared" si="168"/>
        <v>2.1466615206600508E-12</v>
      </c>
      <c r="BH198" s="59">
        <f t="shared" si="194"/>
        <v>293.33333333333547</v>
      </c>
      <c r="BI198" s="59">
        <f ca="1">AVERAGE(OFFSET($BH$3,0,0,'Données projet'!$E$11+1,1))-AVERAGE(OFFSET($H$3,0,0,'Données projet'!$E$11+1,1))</f>
        <v>212.82470567725971</v>
      </c>
      <c r="BJ198" s="59">
        <f t="shared" si="206"/>
        <v>196.91968622092054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3.8567842864948701E-2</v>
      </c>
      <c r="BQ198" s="21">
        <f>EXP(-LN(2)/25)*BQ197+(1-EXP(-LN(2)/25))/(LN(2)/25)*Calculateur!BL198*Calculateur!BN198*VLOOKUP('Données projet'!$B$11,Paramètres!$A$1:$I$89,3,0)*0.475*44/12</f>
        <v>4.2097693672375959E-2</v>
      </c>
      <c r="BR198" s="21">
        <f>EXP(-LN(2)/2)*BR197+(1-EXP(-LN(2)/2))/(LN(2)/2)*BL198*BO198*VLOOKUP('Données projet'!$B$11,Paramètres!$A$1:$I$89,3,0)*0.475*44/12</f>
        <v>0</v>
      </c>
      <c r="BS198" s="22">
        <f t="shared" si="169"/>
        <v>8.0665536537324667E-2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25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91.728000000000449</v>
      </c>
      <c r="D199" s="11">
        <f t="shared" si="202"/>
        <v>24.981514582386662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900.91555116228653</v>
      </c>
      <c r="H199" s="67">
        <f t="shared" si="192"/>
        <v>496.60240456432416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5.6843418860808015E-13</v>
      </c>
      <c r="O199" s="13">
        <f>N199*VLOOKUP('Données projet'!$B$9,Paramètres!$A$1:$I$89,3,0)*VLOOKUP('Données projet'!$B$9,Paramètres!$A$1:$I$89,5,0)</f>
        <v>2.2907897800905631E-13</v>
      </c>
      <c r="P199" s="13">
        <f t="shared" si="203"/>
        <v>3.1248920576624499E-12</v>
      </c>
      <c r="Q199" s="20">
        <f t="shared" si="162"/>
        <v>5.8414995537945398E-12</v>
      </c>
      <c r="R199" s="59">
        <f t="shared" si="191"/>
        <v>293.33333333333917</v>
      </c>
      <c r="S199" s="59">
        <f ca="1">AVERAGE(OFFSET($R$3,0,0,'Données projet'!$E$9+1,1))-AVERAGE(OFFSET($H$3,0,0,'Données projet'!$E$9+1,1))</f>
        <v>321.12254860105566</v>
      </c>
      <c r="T199" s="59">
        <f t="shared" si="204"/>
        <v>270.52026164274571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0.49321974918118061</v>
      </c>
      <c r="AA199" s="21">
        <f>EXP(-LN(2)/25)*AA198+(1-EXP(-LN(2)/25))/(LN(2)/25)*Calculateur!V199*Calculateur!X199*VLOOKUP('Données projet'!$B$9,Paramètres!$A$1:$I$89,3,0)*0.475*44/12</f>
        <v>0.20674846746722406</v>
      </c>
      <c r="AB199" s="21">
        <f>EXP(-LN(2)/2)*AB198+(1-EXP(-LN(2)/2))/(LN(2)/2)*V199*Y199*VLOOKUP('Données projet'!$B$9,Paramètres!$A$1:$I$89,3,0)*0.475*44/12</f>
        <v>0</v>
      </c>
      <c r="AC199" s="22">
        <f t="shared" si="163"/>
        <v>0.6999682166484047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-3.4106051316484809E-13</v>
      </c>
      <c r="AJ199" s="13">
        <f>AI199*VLOOKUP('Données projet'!$B$10,Paramètres!$A$1:$I$89,3,0)*VLOOKUP('Données projet'!$B$10,Paramètres!$A$1:$I$89,5,0)</f>
        <v>-1.5961632016114892E-13</v>
      </c>
      <c r="AK199" s="13" t="e">
        <f t="shared" si="164"/>
        <v>#NUM!</v>
      </c>
      <c r="AL199" s="20" t="e">
        <f t="shared" si="165"/>
        <v>#NUM!</v>
      </c>
      <c r="AM199" s="59" t="e">
        <f t="shared" si="193"/>
        <v>#NUM!</v>
      </c>
      <c r="AN199" s="59">
        <f ca="1">AVERAGE(OFFSET($AM$3,0,0,'Données projet'!$E$10+1,1))-AVERAGE(OFFSET($H$3,0,0,'Données projet'!$E$10+1,1))</f>
        <v>267.78121291362345</v>
      </c>
      <c r="AO199" s="59">
        <f t="shared" si="205"/>
        <v>320.1780590861174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0.27195301695050855</v>
      </c>
      <c r="AV199" s="21">
        <f>EXP(-LN(2)/25)*AV198+(1-EXP(-LN(2)/25))/(LN(2)/25)*Calculateur!AQ199*Calculateur!AS199*VLOOKUP('Données projet'!$B$10,Paramètres!$A$1:$I$89,3,0)*0.475*44/12</f>
        <v>0.20119129849122275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0.4731443154417313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8.5265128291212022E-14</v>
      </c>
      <c r="BE199" s="13">
        <f>BD199*VLOOKUP('Données projet'!$B$11,Paramètres!$A$1:$I$89,3,0)*VLOOKUP('Données projet'!$B$11,Paramètres!$A$1:$I$89,5,0)</f>
        <v>7.4487616075202836E-14</v>
      </c>
      <c r="BF199" s="13">
        <f t="shared" si="167"/>
        <v>1.1580453144473142E-12</v>
      </c>
      <c r="BG199" s="20">
        <f t="shared" si="168"/>
        <v>2.1466615206600508E-12</v>
      </c>
      <c r="BH199" s="59">
        <f t="shared" si="194"/>
        <v>293.33333333333547</v>
      </c>
      <c r="BI199" s="59">
        <f ca="1">AVERAGE(OFFSET($BH$3,0,0,'Données projet'!$E$11+1,1))-AVERAGE(OFFSET($H$3,0,0,'Données projet'!$E$11+1,1))</f>
        <v>212.82470567725971</v>
      </c>
      <c r="BJ199" s="59">
        <f t="shared" si="206"/>
        <v>196.91968622092054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3.7811550990428398E-2</v>
      </c>
      <c r="BQ199" s="21">
        <f>EXP(-LN(2)/25)*BQ198+(1-EXP(-LN(2)/25))/(LN(2)/25)*Calculateur!BL199*Calculateur!BN199*VLOOKUP('Données projet'!$B$11,Paramètres!$A$1:$I$89,3,0)*0.475*44/12</f>
        <v>4.0946530025083347E-2</v>
      </c>
      <c r="BR199" s="21">
        <f>EXP(-LN(2)/2)*BR198+(1-EXP(-LN(2)/2))/(LN(2)/2)*BL199*BO199*VLOOKUP('Données projet'!$B$11,Paramètres!$A$1:$I$89,3,0)*0.475*44/12</f>
        <v>0</v>
      </c>
      <c r="BS199" s="22">
        <f t="shared" si="169"/>
        <v>7.8758081015511738E-2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25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92.196000000000453</v>
      </c>
      <c r="D200" s="11">
        <f t="shared" si="202"/>
        <v>25.094101950594609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905.39727821511985</v>
      </c>
      <c r="H200" s="67">
        <f t="shared" si="192"/>
        <v>497.6135942306197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5.6843418860808015E-13</v>
      </c>
      <c r="O200" s="13">
        <f>N200*VLOOKUP('Données projet'!$B$9,Paramètres!$A$1:$I$89,3,0)*VLOOKUP('Données projet'!$B$9,Paramètres!$A$1:$I$89,5,0)</f>
        <v>2.2907897800905631E-13</v>
      </c>
      <c r="P200" s="13">
        <f t="shared" si="203"/>
        <v>3.1248920576624499E-12</v>
      </c>
      <c r="Q200" s="20">
        <f t="shared" si="162"/>
        <v>5.8414995537945398E-12</v>
      </c>
      <c r="R200" s="59">
        <f t="shared" si="191"/>
        <v>293.33333333333917</v>
      </c>
      <c r="S200" s="59">
        <f ca="1">AVERAGE(OFFSET($R$3,0,0,'Données projet'!$E$9+1,1))-AVERAGE(OFFSET($H$3,0,0,'Données projet'!$E$9+1,1))</f>
        <v>321.12254860105566</v>
      </c>
      <c r="T200" s="59">
        <f t="shared" si="204"/>
        <v>270.52026164274571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0.48354801073407971</v>
      </c>
      <c r="AA200" s="21">
        <f>EXP(-LN(2)/25)*AA199+(1-EXP(-LN(2)/25))/(LN(2)/25)*Calculateur!V200*Calculateur!X200*VLOOKUP('Données projet'!$B$9,Paramètres!$A$1:$I$89,3,0)*0.475*44/12</f>
        <v>0.20109491975190344</v>
      </c>
      <c r="AB200" s="21">
        <f>EXP(-LN(2)/2)*AB199+(1-EXP(-LN(2)/2))/(LN(2)/2)*V200*Y200*VLOOKUP('Données projet'!$B$9,Paramètres!$A$1:$I$89,3,0)*0.475*44/12</f>
        <v>0</v>
      </c>
      <c r="AC200" s="22">
        <f t="shared" si="163"/>
        <v>0.68464293048598313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-3.4106051316484809E-13</v>
      </c>
      <c r="AJ200" s="13">
        <f>AI200*VLOOKUP('Données projet'!$B$10,Paramètres!$A$1:$I$89,3,0)*VLOOKUP('Données projet'!$B$10,Paramètres!$A$1:$I$89,5,0)</f>
        <v>-1.5961632016114892E-13</v>
      </c>
      <c r="AK200" s="13" t="e">
        <f t="shared" si="164"/>
        <v>#NUM!</v>
      </c>
      <c r="AL200" s="20" t="e">
        <f t="shared" si="165"/>
        <v>#NUM!</v>
      </c>
      <c r="AM200" s="59" t="e">
        <f t="shared" si="193"/>
        <v>#NUM!</v>
      </c>
      <c r="AN200" s="59">
        <f ca="1">AVERAGE(OFFSET($AM$3,0,0,'Données projet'!$E$10+1,1))-AVERAGE(OFFSET($H$3,0,0,'Données projet'!$E$10+1,1))</f>
        <v>267.78121291362345</v>
      </c>
      <c r="AO200" s="59">
        <f t="shared" si="205"/>
        <v>320.1780590861174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0.26662018416307065</v>
      </c>
      <c r="AV200" s="21">
        <f>EXP(-LN(2)/25)*AV199+(1-EXP(-LN(2)/25))/(LN(2)/25)*Calculateur!AQ200*Calculateur!AS200*VLOOKUP('Données projet'!$B$10,Paramètres!$A$1:$I$89,3,0)*0.475*44/12</f>
        <v>0.19568971185378969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0.46230989601686034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8.5265128291212022E-14</v>
      </c>
      <c r="BE200" s="13">
        <f>BD200*VLOOKUP('Données projet'!$B$11,Paramètres!$A$1:$I$89,3,0)*VLOOKUP('Données projet'!$B$11,Paramètres!$A$1:$I$89,5,0)</f>
        <v>7.4487616075202836E-14</v>
      </c>
      <c r="BF200" s="13">
        <f t="shared" si="167"/>
        <v>1.1580453144473142E-12</v>
      </c>
      <c r="BG200" s="20">
        <f t="shared" si="168"/>
        <v>2.1466615206600508E-12</v>
      </c>
      <c r="BH200" s="59">
        <f t="shared" si="194"/>
        <v>293.33333333333547</v>
      </c>
      <c r="BI200" s="59">
        <f ca="1">AVERAGE(OFFSET($BH$3,0,0,'Données projet'!$E$11+1,1))-AVERAGE(OFFSET($H$3,0,0,'Données projet'!$E$11+1,1))</f>
        <v>212.82470567725971</v>
      </c>
      <c r="BJ200" s="59">
        <f t="shared" si="206"/>
        <v>196.91968622092054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3.7070089538274939E-2</v>
      </c>
      <c r="BQ200" s="21">
        <f>EXP(-LN(2)/25)*BQ199+(1-EXP(-LN(2)/25))/(LN(2)/25)*Calculateur!BL200*Calculateur!BN200*VLOOKUP('Données projet'!$B$11,Paramètres!$A$1:$I$89,3,0)*0.475*44/12</f>
        <v>3.9826845008263015E-2</v>
      </c>
      <c r="BR200" s="21">
        <f>EXP(-LN(2)/2)*BR199+(1-EXP(-LN(2)/2))/(LN(2)/2)*BL200*BO200*VLOOKUP('Données projet'!$B$11,Paramètres!$A$1:$I$89,3,0)*0.475*44/12</f>
        <v>0</v>
      </c>
      <c r="BS200" s="22">
        <f t="shared" si="169"/>
        <v>7.6896934546537954E-2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25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92.664000000000456</v>
      </c>
      <c r="D201" s="11">
        <f t="shared" si="202"/>
        <v>25.206622814445883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909.87849190098939</v>
      </c>
      <c r="H201" s="67">
        <f t="shared" si="192"/>
        <v>498.62466806849403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5.6843418860808015E-13</v>
      </c>
      <c r="O201" s="13">
        <f>N201*VLOOKUP('Données projet'!$B$9,Paramètres!$A$1:$I$89,3,0)*VLOOKUP('Données projet'!$B$9,Paramètres!$A$1:$I$89,5,0)</f>
        <v>2.2907897800905631E-13</v>
      </c>
      <c r="P201" s="13">
        <f t="shared" si="203"/>
        <v>3.1248920576624499E-12</v>
      </c>
      <c r="Q201" s="20">
        <f t="shared" si="162"/>
        <v>5.8414995537945398E-12</v>
      </c>
      <c r="R201" s="59">
        <f t="shared" si="191"/>
        <v>293.33333333333917</v>
      </c>
      <c r="S201" s="59">
        <f ca="1">AVERAGE(OFFSET($R$3,0,0,'Données projet'!$E$9+1,1))-AVERAGE(OFFSET($H$3,0,0,'Données projet'!$E$9+1,1))</f>
        <v>321.12254860105566</v>
      </c>
      <c r="T201" s="59">
        <f t="shared" si="204"/>
        <v>270.52026164274571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0.47406592917874851</v>
      </c>
      <c r="AA201" s="21">
        <f>EXP(-LN(2)/25)*AA200+(1-EXP(-LN(2)/25))/(LN(2)/25)*Calculateur!V201*Calculateur!X201*VLOOKUP('Données projet'!$B$9,Paramètres!$A$1:$I$89,3,0)*0.475*44/12</f>
        <v>0.19559596859616543</v>
      </c>
      <c r="AB201" s="21">
        <f>EXP(-LN(2)/2)*AB200+(1-EXP(-LN(2)/2))/(LN(2)/2)*V201*Y201*VLOOKUP('Données projet'!$B$9,Paramètres!$A$1:$I$89,3,0)*0.475*44/12</f>
        <v>0</v>
      </c>
      <c r="AC201" s="22">
        <f t="shared" si="163"/>
        <v>0.66966189777491392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-3.4106051316484809E-13</v>
      </c>
      <c r="AJ201" s="13">
        <f>AI201*VLOOKUP('Données projet'!$B$10,Paramètres!$A$1:$I$89,3,0)*VLOOKUP('Données projet'!$B$10,Paramètres!$A$1:$I$89,5,0)</f>
        <v>-1.5961632016114892E-13</v>
      </c>
      <c r="AK201" s="13" t="e">
        <f t="shared" si="164"/>
        <v>#NUM!</v>
      </c>
      <c r="AL201" s="20" t="e">
        <f t="shared" si="165"/>
        <v>#NUM!</v>
      </c>
      <c r="AM201" s="59" t="e">
        <f t="shared" si="193"/>
        <v>#NUM!</v>
      </c>
      <c r="AN201" s="59">
        <f ca="1">AVERAGE(OFFSET($AM$3,0,0,'Données projet'!$E$10+1,1))-AVERAGE(OFFSET($H$3,0,0,'Données projet'!$E$10+1,1))</f>
        <v>267.78121291362345</v>
      </c>
      <c r="AO201" s="59">
        <f t="shared" si="205"/>
        <v>320.1780590861174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0.26139192497388758</v>
      </c>
      <c r="AV201" s="21">
        <f>EXP(-LN(2)/25)*AV200+(1-EXP(-LN(2)/25))/(LN(2)/25)*Calculateur!AQ201*Calculateur!AS201*VLOOKUP('Données projet'!$B$10,Paramètres!$A$1:$I$89,3,0)*0.475*44/12</f>
        <v>0.19033856639227312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0.45173049136616072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8.5265128291212022E-14</v>
      </c>
      <c r="BE201" s="13">
        <f>BD201*VLOOKUP('Données projet'!$B$11,Paramètres!$A$1:$I$89,3,0)*VLOOKUP('Données projet'!$B$11,Paramètres!$A$1:$I$89,5,0)</f>
        <v>7.4487616075202836E-14</v>
      </c>
      <c r="BF201" s="13">
        <f t="shared" si="167"/>
        <v>1.1580453144473142E-12</v>
      </c>
      <c r="BG201" s="20">
        <f t="shared" si="168"/>
        <v>2.1466615206600508E-12</v>
      </c>
      <c r="BH201" s="59">
        <f t="shared" si="194"/>
        <v>293.33333333333547</v>
      </c>
      <c r="BI201" s="59">
        <f ca="1">AVERAGE(OFFSET($BH$3,0,0,'Données projet'!$E$11+1,1))-AVERAGE(OFFSET($H$3,0,0,'Données projet'!$E$11+1,1))</f>
        <v>212.82470567725971</v>
      </c>
      <c r="BJ201" s="59">
        <f t="shared" si="206"/>
        <v>196.91968622092054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3.6343167692951379E-2</v>
      </c>
      <c r="BQ201" s="21">
        <f>EXP(-LN(2)/25)*BQ200+(1-EXP(-LN(2)/25))/(LN(2)/25)*Calculateur!BL201*Calculateur!BN201*VLOOKUP('Données projet'!$B$11,Paramètres!$A$1:$I$89,3,0)*0.475*44/12</f>
        <v>3.8737777837109307E-2</v>
      </c>
      <c r="BR201" s="21">
        <f>EXP(-LN(2)/2)*BR200+(1-EXP(-LN(2)/2))/(LN(2)/2)*BL201*BO201*VLOOKUP('Données projet'!$B$11,Paramètres!$A$1:$I$89,3,0)*0.475*44/12</f>
        <v>0</v>
      </c>
      <c r="BS201" s="22">
        <f t="shared" si="169"/>
        <v>7.5080945530060686E-2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25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93.13200000000046</v>
      </c>
      <c r="D202" s="11">
        <f t="shared" si="202"/>
        <v>25.319077548810565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914.35919511362908</v>
      </c>
      <c r="H202" s="67">
        <f t="shared" si="192"/>
        <v>499.63562673084584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5.6843418860808015E-13</v>
      </c>
      <c r="O202" s="13">
        <f>N202*VLOOKUP('Données projet'!$B$9,Paramètres!$A$1:$I$89,3,0)*VLOOKUP('Données projet'!$B$9,Paramètres!$A$1:$I$89,5,0)</f>
        <v>2.2907897800905631E-13</v>
      </c>
      <c r="P202" s="13">
        <f t="shared" si="203"/>
        <v>3.1248920576624499E-12</v>
      </c>
      <c r="Q202" s="20">
        <f t="shared" si="162"/>
        <v>5.8414995537945398E-12</v>
      </c>
      <c r="R202" s="59">
        <f t="shared" si="191"/>
        <v>293.33333333333917</v>
      </c>
      <c r="S202" s="59">
        <f ca="1">AVERAGE(OFFSET($R$3,0,0,'Données projet'!$E$9+1,1))-AVERAGE(OFFSET($H$3,0,0,'Données projet'!$E$9+1,1))</f>
        <v>321.12254860105566</v>
      </c>
      <c r="T202" s="59">
        <f t="shared" si="204"/>
        <v>270.52026164274571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0.46476978545921871</v>
      </c>
      <c r="AA202" s="21">
        <f>EXP(-LN(2)/25)*AA201+(1-EXP(-LN(2)/25))/(LN(2)/25)*Calculateur!V202*Calculateur!X202*VLOOKUP('Données projet'!$B$9,Paramètres!$A$1:$I$89,3,0)*0.475*44/12</f>
        <v>0.19024738654895834</v>
      </c>
      <c r="AB202" s="21">
        <f>EXP(-LN(2)/2)*AB201+(1-EXP(-LN(2)/2))/(LN(2)/2)*V202*Y202*VLOOKUP('Données projet'!$B$9,Paramètres!$A$1:$I$89,3,0)*0.475*44/12</f>
        <v>0</v>
      </c>
      <c r="AC202" s="22">
        <f t="shared" si="163"/>
        <v>0.655017172008177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-3.4106051316484809E-13</v>
      </c>
      <c r="AJ202" s="13">
        <f>AI202*VLOOKUP('Données projet'!$B$10,Paramètres!$A$1:$I$89,3,0)*VLOOKUP('Données projet'!$B$10,Paramètres!$A$1:$I$89,5,0)</f>
        <v>-1.5961632016114892E-13</v>
      </c>
      <c r="AK202" s="13" t="e">
        <f t="shared" si="164"/>
        <v>#NUM!</v>
      </c>
      <c r="AL202" s="20" t="e">
        <f t="shared" si="165"/>
        <v>#NUM!</v>
      </c>
      <c r="AM202" s="59" t="e">
        <f t="shared" si="193"/>
        <v>#NUM!</v>
      </c>
      <c r="AN202" s="59">
        <f ca="1">AVERAGE(OFFSET($AM$3,0,0,'Données projet'!$E$10+1,1))-AVERAGE(OFFSET($H$3,0,0,'Données projet'!$E$10+1,1))</f>
        <v>267.78121291362345</v>
      </c>
      <c r="AO202" s="59">
        <f t="shared" si="205"/>
        <v>320.1780590861174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0.25626618875848112</v>
      </c>
      <c r="AV202" s="21">
        <f>EXP(-LN(2)/25)*AV201+(1-EXP(-LN(2)/25))/(LN(2)/25)*Calculateur!AQ202*Calculateur!AS202*VLOOKUP('Données projet'!$B$10,Paramètres!$A$1:$I$89,3,0)*0.475*44/12</f>
        <v>0.18513374828480622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0.44139993704328734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8.5265128291212022E-14</v>
      </c>
      <c r="BE202" s="13">
        <f>BD202*VLOOKUP('Données projet'!$B$11,Paramètres!$A$1:$I$89,3,0)*VLOOKUP('Données projet'!$B$11,Paramètres!$A$1:$I$89,5,0)</f>
        <v>7.4487616075202836E-14</v>
      </c>
      <c r="BF202" s="13">
        <f t="shared" si="167"/>
        <v>1.1580453144473142E-12</v>
      </c>
      <c r="BG202" s="20">
        <f t="shared" si="168"/>
        <v>2.1466615206600508E-12</v>
      </c>
      <c r="BH202" s="59">
        <f t="shared" si="194"/>
        <v>293.33333333333547</v>
      </c>
      <c r="BI202" s="59">
        <f ca="1">AVERAGE(OFFSET($BH$3,0,0,'Données projet'!$E$11+1,1))-AVERAGE(OFFSET($H$3,0,0,'Données projet'!$E$11+1,1))</f>
        <v>212.82470567725971</v>
      </c>
      <c r="BJ202" s="59">
        <f t="shared" si="206"/>
        <v>196.91968622092054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3.5630500341636069E-2</v>
      </c>
      <c r="BQ202" s="21">
        <f>EXP(-LN(2)/25)*BQ201+(1-EXP(-LN(2)/25))/(LN(2)/25)*Calculateur!BL202*Calculateur!BN202*VLOOKUP('Données projet'!$B$11,Paramètres!$A$1:$I$89,3,0)*0.475*44/12</f>
        <v>3.7678491265022353E-2</v>
      </c>
      <c r="BR202" s="21">
        <f>EXP(-LN(2)/2)*BR201+(1-EXP(-LN(2)/2))/(LN(2)/2)*BL202*BO202*VLOOKUP('Données projet'!$B$11,Paramètres!$A$1:$I$89,3,0)*0.475*44/12</f>
        <v>0</v>
      </c>
      <c r="BS202" s="22">
        <f t="shared" si="169"/>
        <v>7.3308991606658422E-2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.75" thickBot="1" x14ac:dyDescent="0.3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93.600000000000463</v>
      </c>
      <c r="D203" s="11">
        <f t="shared" si="202"/>
        <v>25.43146652457305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918.83939071600616</v>
      </c>
      <c r="H203" s="67">
        <f t="shared" si="192"/>
        <v>500.6464708636322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5.6843418860808015E-13</v>
      </c>
      <c r="O203" s="13">
        <f>N203*VLOOKUP('Données projet'!$B$9,Paramètres!$A$1:$I$89,3,0)*VLOOKUP('Données projet'!$B$9,Paramètres!$A$1:$I$89,5,0)</f>
        <v>2.2907897800905631E-13</v>
      </c>
      <c r="P203" s="13">
        <f t="shared" si="203"/>
        <v>3.1248920576624499E-12</v>
      </c>
      <c r="Q203" s="20">
        <f t="shared" si="162"/>
        <v>5.8414995537945398E-12</v>
      </c>
      <c r="R203" s="59">
        <f t="shared" si="191"/>
        <v>293.33333333333917</v>
      </c>
      <c r="S203" s="59">
        <f ca="1">AVERAGE(OFFSET($R$3,0,0,'Données projet'!$E$9+1,1))-AVERAGE(OFFSET($H$3,0,0,'Données projet'!$E$9+1,1))</f>
        <v>321.12254860105566</v>
      </c>
      <c r="T203" s="59">
        <f t="shared" si="204"/>
        <v>270.52026164274571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0.45565593344794109</v>
      </c>
      <c r="AA203" s="21">
        <f>EXP(-LN(2)/25)*AA202+(1-EXP(-LN(2)/25))/(LN(2)/25)*Calculateur!V203*Calculateur!X203*VLOOKUP('Données projet'!$B$9,Paramètres!$A$1:$I$89,3,0)*0.475*44/12</f>
        <v>0.18504506175910182</v>
      </c>
      <c r="AB203" s="21">
        <f>EXP(-LN(2)/2)*AB202+(1-EXP(-LN(2)/2))/(LN(2)/2)*V203*Y203*VLOOKUP('Données projet'!$B$9,Paramètres!$A$1:$I$89,3,0)*0.475*44/12</f>
        <v>0</v>
      </c>
      <c r="AC203" s="22">
        <f t="shared" si="163"/>
        <v>0.64070099520704293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-3.4106051316484809E-13</v>
      </c>
      <c r="AJ203" s="13">
        <f>AI203*VLOOKUP('Données projet'!$B$10,Paramètres!$A$1:$I$89,3,0)*VLOOKUP('Données projet'!$B$10,Paramètres!$A$1:$I$89,5,0)</f>
        <v>-1.5961632016114892E-13</v>
      </c>
      <c r="AK203" s="13" t="e">
        <f t="shared" si="164"/>
        <v>#NUM!</v>
      </c>
      <c r="AL203" s="20" t="e">
        <f t="shared" si="165"/>
        <v>#NUM!</v>
      </c>
      <c r="AM203" s="59" t="e">
        <f t="shared" si="193"/>
        <v>#NUM!</v>
      </c>
      <c r="AN203" s="59">
        <f ca="1">AVERAGE(OFFSET($AM$3,0,0,'Données projet'!$E$10+1,1))-AVERAGE(OFFSET($H$3,0,0,'Données projet'!$E$10+1,1))</f>
        <v>267.78121291362345</v>
      </c>
      <c r="AO203" s="59">
        <f t="shared" si="205"/>
        <v>320.1780590861174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0.2512409651038684</v>
      </c>
      <c r="AV203" s="21">
        <f>EXP(-LN(2)/25)*AV202+(1-EXP(-LN(2)/25))/(LN(2)/25)*Calculateur!AQ203*Calculateur!AS203*VLOOKUP('Données projet'!$B$10,Paramètres!$A$1:$I$89,3,0)*0.475*44/12</f>
        <v>0.18007125620219749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0.43131222130606589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8.5265128291212022E-14</v>
      </c>
      <c r="BE203" s="13">
        <f>BD203*VLOOKUP('Données projet'!$B$11,Paramètres!$A$1:$I$89,3,0)*VLOOKUP('Données projet'!$B$11,Paramètres!$A$1:$I$89,5,0)</f>
        <v>7.4487616075202836E-14</v>
      </c>
      <c r="BF203" s="13">
        <f t="shared" si="167"/>
        <v>1.1580453144473142E-12</v>
      </c>
      <c r="BG203" s="20">
        <f t="shared" si="168"/>
        <v>2.1466615206600508E-12</v>
      </c>
      <c r="BH203" s="59">
        <f t="shared" si="194"/>
        <v>293.33333333333547</v>
      </c>
      <c r="BI203" s="59">
        <f ca="1">AVERAGE(OFFSET($BH$3,0,0,'Données projet'!$E$11+1,1))-AVERAGE(OFFSET($H$3,0,0,'Données projet'!$E$11+1,1))</f>
        <v>212.82470567725971</v>
      </c>
      <c r="BJ203" s="59">
        <f t="shared" si="206"/>
        <v>196.91968622092054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3.4931807962395894E-2</v>
      </c>
      <c r="BQ203" s="21">
        <f>EXP(-LN(2)/25)*BQ202+(1-EXP(-LN(2)/25))/(LN(2)/25)*Calculateur!BL203*Calculateur!BN203*VLOOKUP('Données projet'!$B$11,Paramètres!$A$1:$I$89,3,0)*0.475*44/12</f>
        <v>3.6648170939954573E-2</v>
      </c>
      <c r="BR203" s="21">
        <f>EXP(-LN(2)/2)*BR202+(1-EXP(-LN(2)/2))/(LN(2)/2)*BL203*BO203*VLOOKUP('Données projet'!$B$11,Paramètres!$A$1:$I$89,3,0)*0.475*44/12</f>
        <v>0</v>
      </c>
      <c r="BS203" s="22">
        <f t="shared" si="169"/>
        <v>7.1579978902350461E-2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.75" thickBot="1" x14ac:dyDescent="0.3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.75" thickBot="1" x14ac:dyDescent="0.3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1.2904530024133452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1.2816422091414759</v>
      </c>
      <c r="BA205" s="82">
        <f>EXP(LN('Données projet'!B88)/'Données projet'!A88)</f>
        <v>1.2501898326862695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RowHeight="15" x14ac:dyDescent="0.25"/>
  <cols>
    <col min="1" max="1" width="23.42578125" style="4" bestFit="1" customWidth="1"/>
    <col min="2" max="2" width="27.7109375" style="4" bestFit="1" customWidth="1"/>
    <col min="3" max="3" width="11.85546875" style="4" bestFit="1" customWidth="1"/>
    <col min="4" max="4" width="40" style="4" bestFit="1" customWidth="1"/>
    <col min="5" max="5" width="11.85546875" style="4" bestFit="1" customWidth="1"/>
    <col min="6" max="6" width="13.7109375" style="4" bestFit="1" customWidth="1"/>
    <col min="7" max="7" width="11.42578125" style="4" bestFit="1" customWidth="1"/>
    <col min="8" max="8" width="39" style="4" bestFit="1" customWidth="1"/>
    <col min="9" max="9" width="16.7109375" style="4" customWidth="1"/>
    <col min="10" max="14" width="11.42578125" style="4"/>
    <col min="15" max="15" width="23.42578125" style="4" bestFit="1" customWidth="1"/>
    <col min="16" max="16384" width="11.42578125" style="4"/>
  </cols>
  <sheetData>
    <row r="1" spans="1:16" ht="45.75" thickBot="1" x14ac:dyDescent="0.3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25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5.75" thickBot="1" x14ac:dyDescent="0.3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.75" thickBot="1" x14ac:dyDescent="0.3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25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 x14ac:dyDescent="0.25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25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.75" thickBot="1" x14ac:dyDescent="0.3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.75" thickBot="1" x14ac:dyDescent="0.3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25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5.75" thickBot="1" x14ac:dyDescent="0.3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25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25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25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25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25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25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25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25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25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25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25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25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25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25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25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25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25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25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25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25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25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25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25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25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25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25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25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25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25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25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25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25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25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25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25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25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25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25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25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25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25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25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25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25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25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25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25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25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25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25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25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25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25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25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25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25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25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25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25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25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25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25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25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25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25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25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25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25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25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25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25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25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25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25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25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25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25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.75" thickBot="1" x14ac:dyDescent="0.3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25">
      <c r="A93" s="122" t="s">
        <v>208</v>
      </c>
    </row>
    <row r="94" spans="1:14" x14ac:dyDescent="0.25">
      <c r="A94" s="122" t="s">
        <v>209</v>
      </c>
    </row>
    <row r="95" spans="1:14" x14ac:dyDescent="0.25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90" zoomScaleNormal="90" workbookViewId="0">
      <selection activeCell="A12" sqref="A12:XFD12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2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thickBot="1" x14ac:dyDescent="0.45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.75" thickBot="1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5.75" thickBot="1" x14ac:dyDescent="0.3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25">
      <c r="A6" s="145" t="str">
        <f>IF('Données projet'!$B$9="","",'Données projet'!$B$9)</f>
        <v>Thuya géant</v>
      </c>
      <c r="B6" s="146">
        <f>'Données projet'!D9</f>
        <v>2.9659</v>
      </c>
      <c r="C6" s="147">
        <f ca="1">IF(OR('Données projet'!B9="",'Données projet'!C9="",'Données projet'!C9=0%),0,Calculateur!S3)</f>
        <v>321.12254860105566</v>
      </c>
      <c r="D6" s="147">
        <f>IF(OR('Données projet'!B9="",'Données projet'!C9="",'Données projet'!C9=0%),0,Calculateur!T3)</f>
        <v>270.52026164274571</v>
      </c>
      <c r="E6" s="147">
        <f ca="1">MIN(C6,D6)</f>
        <v>270.52026164274571</v>
      </c>
      <c r="F6" s="147">
        <f ca="1">E6*B6</f>
        <v>802.33604400621948</v>
      </c>
      <c r="G6" s="147">
        <f ca="1">F6*(100%-'Données projet'!$C$24)*(100%-'Données projet'!$C$25)*(100%-'Données projet'!$C$26)*(100%-'Données projet'!$C$27)</f>
        <v>685.99731762531758</v>
      </c>
      <c r="H6" s="148">
        <f>IF(OR('Données projet'!B9="",'Données projet'!C9="",'Données projet'!C9=0%),0,AVERAGE(Calculateur!$AC$3:$AC$33)*B6)</f>
        <v>4.4762733784835245</v>
      </c>
      <c r="I6" s="149">
        <f>H6*(100%-'Données projet'!$C$24)*(100%-'Données projet'!$C$25)*(100%-'Données projet'!$C$26)*(100%-'Données projet'!$C$27)</f>
        <v>3.8272137386034131</v>
      </c>
      <c r="J6" s="150">
        <f>IF(OR('Données projet'!B9="",'Données projet'!C9="",'Données projet'!C9=0%),0,SUM(Calculateur!$V$3:$V$33)*VLOOKUP('Données projet'!$B$9,Paramètres!$A$1:$I$89,9,0)*B6)</f>
        <v>211.70594199999999</v>
      </c>
      <c r="K6" s="151">
        <f>J6*(100%-'Données projet'!$C$24)*(100%-'Données projet'!$C$25)*(100%-'Données projet'!$C$26)*(100%-'Données projet'!$C$27)</f>
        <v>181.00858041000001</v>
      </c>
      <c r="L6" s="152">
        <f ca="1">G6+I6+K6</f>
        <v>870.83311177392102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25">
      <c r="A7" s="153" t="str">
        <f>IF('Données projet'!$B$10="","",'Données projet'!$B$10)</f>
        <v>Epicéa de Sitka</v>
      </c>
      <c r="B7" s="154">
        <f>'Données projet'!D10</f>
        <v>1.05925</v>
      </c>
      <c r="C7" s="147">
        <f ca="1">IF(OR('Données projet'!B10="",'Données projet'!C10="",'Données projet'!C10=0%),0,Calculateur!AN3)</f>
        <v>267.78121291362345</v>
      </c>
      <c r="D7" s="147">
        <f>IF(OR('Données projet'!B10="",'Données projet'!C10="",'Données projet'!C10=0%),0,Calculateur!AO3)</f>
        <v>320.1780590861174</v>
      </c>
      <c r="E7" s="147">
        <f t="shared" ref="E7:E15" ca="1" si="0">MIN(C7,D7)</f>
        <v>267.78121291362345</v>
      </c>
      <c r="F7" s="147">
        <f t="shared" ref="F7:F15" ca="1" si="1">E7*B7</f>
        <v>283.64724977875562</v>
      </c>
      <c r="G7" s="147">
        <f ca="1">F7*(100%-'Données projet'!$C$24)*(100%-'Données projet'!$C$25)*(100%-'Données projet'!$C$26)*(100%-'Données projet'!$C$27)</f>
        <v>242.51839856083603</v>
      </c>
      <c r="H7" s="155">
        <f>IF(OR('Données projet'!B10="",'Données projet'!C10="",'Données projet'!C10=0%),0,AVERAGE(Calculateur!$AX$3:$AX$33)*B7)</f>
        <v>1.7678049004316561</v>
      </c>
      <c r="I7" s="149">
        <f>H7*(100%-'Données projet'!$C$24)*(100%-'Données projet'!$C$25)*(100%-'Données projet'!$C$26)*(100%-'Données projet'!$C$27)</f>
        <v>1.5114731898690659</v>
      </c>
      <c r="J7" s="150">
        <f>IF(OR('Données projet'!B10="",'Données projet'!C10="",'Données projet'!C10=0%),0,SUM(Calculateur!$AQ$3:$AQ$33)*VLOOKUP('Données projet'!$B$10,Paramètres!$A$1:$I$89,9,0)*B7)</f>
        <v>78.342129999999997</v>
      </c>
      <c r="K7" s="151">
        <f>J7*(100%-'Données projet'!$C$24)*(100%-'Données projet'!$C$25)*(100%-'Données projet'!$C$26)*(100%-'Données projet'!$C$27)</f>
        <v>66.982521149999997</v>
      </c>
      <c r="L7" s="152">
        <f t="shared" ref="L7:L15" ca="1" si="2">G7+I7+K7</f>
        <v>311.01239290070509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25">
      <c r="A8" s="153" t="str">
        <f>IF('Données projet'!$B$11="","",'Données projet'!$B$11)</f>
        <v>Chêne rouge d'Amérique</v>
      </c>
      <c r="B8" s="154">
        <f>'Données projet'!D11</f>
        <v>0.21185000000000001</v>
      </c>
      <c r="C8" s="147">
        <f ca="1">IF(OR('Données projet'!B11="",'Données projet'!C11="",'Données projet'!C11=0%),0,Calculateur!BI3)</f>
        <v>212.82470567725971</v>
      </c>
      <c r="D8" s="147">
        <f>IF(OR('Données projet'!B11="",'Données projet'!C11="",'Données projet'!C11=0%),0,Calculateur!BJ3)</f>
        <v>196.91968622092054</v>
      </c>
      <c r="E8" s="147">
        <f t="shared" ca="1" si="0"/>
        <v>196.91968622092054</v>
      </c>
      <c r="F8" s="147">
        <f t="shared" ca="1" si="1"/>
        <v>41.717435525902019</v>
      </c>
      <c r="G8" s="147">
        <f ca="1">F8*(100%-'Données projet'!$C$24)*(100%-'Données projet'!$C$25)*(100%-'Données projet'!$C$26)*(100%-'Données projet'!$C$27)</f>
        <v>35.668407374646229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3.6014500000000003</v>
      </c>
      <c r="K8" s="151">
        <f>J8*(100%-'Données projet'!$C$24)*(100%-'Données projet'!$C$25)*(100%-'Données projet'!$C$26)*(100%-'Données projet'!$C$27)</f>
        <v>3.0792397500000002</v>
      </c>
      <c r="L8" s="152">
        <f t="shared" ca="1" si="2"/>
        <v>38.747647124646228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25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25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25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25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2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2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.75" thickBot="1" x14ac:dyDescent="0.3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.75" thickBot="1" x14ac:dyDescent="0.3">
      <c r="A16" s="209"/>
      <c r="B16" s="213"/>
      <c r="C16" s="214"/>
      <c r="D16" s="23"/>
      <c r="E16" s="23"/>
      <c r="F16" s="165">
        <f t="shared" ref="F16:L16" ca="1" si="3">SUM(F6:F15)</f>
        <v>1127.700729310877</v>
      </c>
      <c r="G16" s="166">
        <f t="shared" ca="1" si="3"/>
        <v>964.18412356079989</v>
      </c>
      <c r="H16" s="167">
        <f t="shared" si="3"/>
        <v>6.2440782789151807</v>
      </c>
      <c r="I16" s="167">
        <f t="shared" si="3"/>
        <v>5.3386869284724785</v>
      </c>
      <c r="J16" s="168">
        <f t="shared" si="3"/>
        <v>293.64952199999999</v>
      </c>
      <c r="K16" s="168">
        <f t="shared" si="3"/>
        <v>251.07034131</v>
      </c>
      <c r="L16" s="169">
        <f t="shared" ca="1" si="3"/>
        <v>1220.5931517992724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25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25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2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.75" thickBot="1" x14ac:dyDescent="0.3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.75" thickBot="1" x14ac:dyDescent="0.3">
      <c r="A21" s="170" t="str">
        <f>A6</f>
        <v>Thuya géant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2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2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2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2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2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2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2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2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2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2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2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2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2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2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2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2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.75" thickBot="1" x14ac:dyDescent="0.3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.75" thickBot="1" x14ac:dyDescent="0.3">
      <c r="A39" s="170" t="str">
        <f>A7</f>
        <v>Epicéa de Sitka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2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2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2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2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2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2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2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2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2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2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2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2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2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2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2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2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.75" thickBot="1" x14ac:dyDescent="0.3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.75" thickBot="1" x14ac:dyDescent="0.3">
      <c r="A57" s="170" t="str">
        <f>A8</f>
        <v>Chêne rouge d'Amérique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2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2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2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2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2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2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2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2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2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2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2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2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2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2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2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2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2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.75" thickBot="1" x14ac:dyDescent="0.3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.75" thickBot="1" x14ac:dyDescent="0.3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2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2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2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2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2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2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2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2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2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2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2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2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2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2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2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2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.75" thickBot="1" x14ac:dyDescent="0.3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.75" thickBot="1" x14ac:dyDescent="0.3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2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2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2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2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2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2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2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2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2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2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2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2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2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2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2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2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.75" thickBot="1" x14ac:dyDescent="0.3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.75" thickBot="1" x14ac:dyDescent="0.3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2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2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2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2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2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2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2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2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2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2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2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2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2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2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2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2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.75" thickBot="1" x14ac:dyDescent="0.3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.75" thickBot="1" x14ac:dyDescent="0.3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2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2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2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2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2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2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2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2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2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2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2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2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2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2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2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2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.75" thickBot="1" x14ac:dyDescent="0.3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.75" thickBot="1" x14ac:dyDescent="0.3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2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2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2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2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2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2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2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2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2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2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2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2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2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2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2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2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.75" thickBot="1" x14ac:dyDescent="0.3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.75" thickBot="1" x14ac:dyDescent="0.3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2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2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2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2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2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2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2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2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2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2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2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2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2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2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2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2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.75" thickBot="1" x14ac:dyDescent="0.3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.75" thickBot="1" x14ac:dyDescent="0.3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2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2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2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2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2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2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2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2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2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2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2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2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2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2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2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2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2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2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2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F3" zoomScale="80" zoomScaleNormal="80" workbookViewId="0">
      <selection activeCell="T26" sqref="T26:V26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1" customWidth="1"/>
    <col min="7" max="7" width="17.5703125" style="1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thickBot="1" x14ac:dyDescent="0.45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2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25">
      <c r="A4" s="4"/>
      <c r="B4" s="4"/>
      <c r="C4" s="4"/>
      <c r="D4" s="4"/>
      <c r="E4" s="4"/>
      <c r="G4" s="4"/>
      <c r="H4" s="258" t="s">
        <v>315</v>
      </c>
      <c r="I4" s="258"/>
      <c r="K4" s="300" t="s">
        <v>253</v>
      </c>
      <c r="L4" s="301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2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.75" thickBot="1" x14ac:dyDescent="0.3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45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2" t="s">
        <v>310</v>
      </c>
      <c r="S7" s="293"/>
      <c r="T7" s="293"/>
      <c r="U7" s="293"/>
      <c r="V7" s="29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2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25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25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Thuya géant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403.44858495492713</v>
      </c>
      <c r="U10" s="178">
        <f>'Données projet'!D9</f>
        <v>2.9659</v>
      </c>
      <c r="V10" s="177">
        <f>U10*T10</f>
        <v>1196.5881581178185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25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Epicéa de Sitka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7002.7254472171408</v>
      </c>
      <c r="U11" s="178">
        <f>'Données projet'!D10</f>
        <v>1.05925</v>
      </c>
      <c r="V11" s="177">
        <f t="shared" ref="V11" si="0">U11*T11</f>
        <v>7417.6369299647567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2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Chêne rouge d'Amérique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-2207.9634313993347</v>
      </c>
      <c r="U12" s="178">
        <f>'Données projet'!D11</f>
        <v>0.21185000000000001</v>
      </c>
      <c r="V12" s="177">
        <f t="shared" ref="V12:V19" si="1">U12*T12</f>
        <v>-467.7570529419491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25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25">
      <c r="A14" s="46" t="s">
        <v>165</v>
      </c>
      <c r="B14" s="174" t="str">
        <f>IF('Données projet'!$B$9="","",'Données projet'!$B$9)</f>
        <v>Thuya géant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25">
      <c r="A15" s="4"/>
      <c r="B15" s="4"/>
      <c r="C15" s="4"/>
      <c r="D15" s="4"/>
      <c r="E15" s="4"/>
      <c r="F15" s="230"/>
      <c r="G15" s="303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2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303"/>
      <c r="H16" s="190"/>
      <c r="I16" s="191"/>
      <c r="J16" s="202"/>
      <c r="K16" s="208"/>
      <c r="L16" s="300" t="s">
        <v>254</v>
      </c>
      <c r="M16" s="301"/>
      <c r="N16" s="2">
        <v>60</v>
      </c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25">
      <c r="A17" s="49">
        <v>0</v>
      </c>
      <c r="B17" s="199" t="s">
        <v>132</v>
      </c>
      <c r="C17" s="198" t="s">
        <v>132</v>
      </c>
      <c r="D17" s="197" t="s">
        <v>132</v>
      </c>
      <c r="E17" s="193">
        <v>3667.4</v>
      </c>
      <c r="F17" s="230"/>
      <c r="G17" s="303"/>
      <c r="J17" s="202"/>
      <c r="K17" s="208"/>
      <c r="L17" s="260" t="s">
        <v>289</v>
      </c>
      <c r="M17" s="262"/>
      <c r="N17" s="175">
        <f>VLOOKUP(N16,Calculateur!$A$2:$H$153,3,0)/VLOOKUP('Scénario référence'!$G$15,Paramètres!A1:I89,3,0)/VLOOKUP('Scénario référence'!$G$15,Paramètres!A1:I89,5,0)</f>
        <v>60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25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303"/>
      <c r="J18" s="202"/>
      <c r="K18" s="208"/>
      <c r="L18" s="260" t="s">
        <v>255</v>
      </c>
      <c r="M18" s="262"/>
      <c r="N18" s="192">
        <v>40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25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303"/>
      <c r="H19" s="212" t="s">
        <v>178</v>
      </c>
      <c r="I19" s="212" t="s">
        <v>287</v>
      </c>
      <c r="J19" s="93"/>
      <c r="K19" s="173"/>
      <c r="L19" s="300" t="s">
        <v>288</v>
      </c>
      <c r="M19" s="301"/>
      <c r="N19" s="179">
        <f>N17*N18</f>
        <v>2400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25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303"/>
      <c r="H20" s="190">
        <v>0</v>
      </c>
      <c r="I20" s="191">
        <v>3166.7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25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>
        <v>1</v>
      </c>
      <c r="I21" s="191">
        <v>1216.7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25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>
        <v>2</v>
      </c>
      <c r="I22" s="191">
        <v>1216.7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25">
      <c r="A23" s="180">
        <f>'Données projet'!A36</f>
        <v>20</v>
      </c>
      <c r="B23" s="181">
        <f>'Données projet'!D36</f>
        <v>26</v>
      </c>
      <c r="C23" s="193">
        <v>15</v>
      </c>
      <c r="D23" s="182">
        <f>B23*C23</f>
        <v>390</v>
      </c>
      <c r="E23" s="193">
        <v>150</v>
      </c>
      <c r="F23" s="230"/>
      <c r="H23" s="190">
        <v>3</v>
      </c>
      <c r="I23" s="191">
        <v>1216.7</v>
      </c>
      <c r="K23" s="208"/>
      <c r="L23" s="302" t="s">
        <v>260</v>
      </c>
      <c r="M23" s="302"/>
      <c r="N23" s="302"/>
      <c r="O23" s="23"/>
      <c r="P23" s="23"/>
      <c r="Q23" s="234"/>
      <c r="R23" s="23"/>
      <c r="S23" s="36" t="s">
        <v>264</v>
      </c>
      <c r="T23" s="297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-25861.872109306067</v>
      </c>
      <c r="U23" s="297"/>
      <c r="V23" s="297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25">
      <c r="A24" s="180">
        <f>'Données projet'!A37</f>
        <v>25</v>
      </c>
      <c r="B24" s="181">
        <f>'Données projet'!D37</f>
        <v>70</v>
      </c>
      <c r="C24" s="193">
        <v>20</v>
      </c>
      <c r="D24" s="182">
        <f t="shared" ref="D24:D42" si="2">B24*C24</f>
        <v>1400</v>
      </c>
      <c r="E24" s="193">
        <v>150</v>
      </c>
      <c r="F24" s="233"/>
      <c r="H24" s="190">
        <v>4</v>
      </c>
      <c r="I24" s="191">
        <v>1216.7</v>
      </c>
      <c r="K24" s="208"/>
      <c r="O24" s="23"/>
      <c r="P24" s="23"/>
      <c r="Q24" s="234"/>
      <c r="R24" s="23"/>
      <c r="S24" s="36" t="s">
        <v>261</v>
      </c>
      <c r="T24" s="298">
        <f ca="1">'Scénario référence'!$B$8*$M$30*'Données projet'!$C$5+('Scénario référence'!B9+'Scénario référence'!B10+'Scénario référence'!F8+'Scénario référence'!F9)*$N$19/(1+M4)^N16*'Données projet'!$C$5</f>
        <v>724.92366740518742</v>
      </c>
      <c r="U24" s="298"/>
      <c r="V24" s="298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25">
      <c r="A25" s="180">
        <f>'Données projet'!A38</f>
        <v>30</v>
      </c>
      <c r="B25" s="181">
        <f>'Données projet'!D38</f>
        <v>70</v>
      </c>
      <c r="C25" s="193">
        <v>20</v>
      </c>
      <c r="D25" s="182">
        <f t="shared" si="2"/>
        <v>1400</v>
      </c>
      <c r="E25" s="193">
        <v>150</v>
      </c>
      <c r="F25" s="233"/>
      <c r="H25" s="190">
        <v>5</v>
      </c>
      <c r="I25" s="191">
        <v>616.70000000000005</v>
      </c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299">
        <f ca="1">T23-T24</f>
        <v>-26586.795776711253</v>
      </c>
      <c r="U25" s="299"/>
      <c r="V25" s="299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25">
      <c r="A26" s="180">
        <f>'Données projet'!A39</f>
        <v>35</v>
      </c>
      <c r="B26" s="181">
        <f>'Données projet'!D39</f>
        <v>70</v>
      </c>
      <c r="C26" s="193">
        <v>25</v>
      </c>
      <c r="D26" s="182">
        <f t="shared" si="2"/>
        <v>1750</v>
      </c>
      <c r="E26" s="193">
        <v>150</v>
      </c>
      <c r="F26" s="233"/>
      <c r="G26" s="229"/>
      <c r="H26" s="190"/>
      <c r="I26" s="191"/>
      <c r="K26" s="208"/>
      <c r="L26" s="286" t="s">
        <v>258</v>
      </c>
      <c r="M26" s="287"/>
      <c r="N26" s="287"/>
      <c r="O26" s="287"/>
      <c r="P26" s="288"/>
      <c r="Q26" s="234"/>
      <c r="R26" s="23"/>
      <c r="S26" s="186" t="s">
        <v>265</v>
      </c>
      <c r="T26" s="296" t="str">
        <f ca="1">IF(T25&lt;0,"Votre projet est additionnel","Votre projet n'est pas additionnel")</f>
        <v>Votre projet est additionnel</v>
      </c>
      <c r="U26" s="296"/>
      <c r="V26" s="296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25">
      <c r="A27" s="180">
        <f>'Données projet'!A40</f>
        <v>40</v>
      </c>
      <c r="B27" s="181">
        <f>'Données projet'!D40</f>
        <v>70</v>
      </c>
      <c r="C27" s="193">
        <v>30</v>
      </c>
      <c r="D27" s="182">
        <f t="shared" si="2"/>
        <v>2100</v>
      </c>
      <c r="E27" s="193">
        <v>150</v>
      </c>
      <c r="F27" s="233"/>
      <c r="G27" s="229"/>
      <c r="H27" s="190"/>
      <c r="I27" s="191"/>
      <c r="K27" s="208"/>
      <c r="L27" s="289"/>
      <c r="M27" s="290"/>
      <c r="N27" s="290"/>
      <c r="O27" s="290"/>
      <c r="P27" s="291"/>
      <c r="Q27" s="234"/>
      <c r="R27" s="23"/>
      <c r="S27" s="295" t="s">
        <v>267</v>
      </c>
      <c r="T27" s="295"/>
      <c r="U27" s="295"/>
      <c r="V27" s="295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25">
      <c r="A28" s="180">
        <f>'Données projet'!A41</f>
        <v>45</v>
      </c>
      <c r="B28" s="181">
        <f>'Données projet'!D41</f>
        <v>70</v>
      </c>
      <c r="C28" s="193">
        <v>35</v>
      </c>
      <c r="D28" s="182">
        <f t="shared" si="2"/>
        <v>2450</v>
      </c>
      <c r="E28" s="193">
        <v>150</v>
      </c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25">
      <c r="A29" s="180">
        <f>'Données projet'!A42</f>
        <v>50</v>
      </c>
      <c r="B29" s="181">
        <f>'Données projet'!D42</f>
        <v>70</v>
      </c>
      <c r="C29" s="193">
        <v>40</v>
      </c>
      <c r="D29" s="182">
        <f t="shared" si="2"/>
        <v>2800</v>
      </c>
      <c r="E29" s="193">
        <v>150</v>
      </c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25">
      <c r="A30" s="180">
        <f>'Données projet'!A43</f>
        <v>55</v>
      </c>
      <c r="B30" s="181">
        <f>'Données projet'!D43</f>
        <v>63</v>
      </c>
      <c r="C30" s="193">
        <v>40</v>
      </c>
      <c r="D30" s="182">
        <f t="shared" si="2"/>
        <v>2520</v>
      </c>
      <c r="E30" s="193">
        <v>150</v>
      </c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25">
      <c r="A31" s="180">
        <f>'Données projet'!A44</f>
        <v>60</v>
      </c>
      <c r="B31" s="181">
        <f>'Données projet'!D44</f>
        <v>56</v>
      </c>
      <c r="C31" s="193">
        <v>45</v>
      </c>
      <c r="D31" s="182">
        <f t="shared" si="2"/>
        <v>2520</v>
      </c>
      <c r="E31" s="193">
        <v>150</v>
      </c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25">
      <c r="A32" s="180">
        <f>'Données projet'!A45</f>
        <v>65</v>
      </c>
      <c r="B32" s="181">
        <f>'Données projet'!D45</f>
        <v>52</v>
      </c>
      <c r="C32" s="193">
        <v>45</v>
      </c>
      <c r="D32" s="182">
        <f t="shared" si="2"/>
        <v>2340</v>
      </c>
      <c r="E32" s="193">
        <v>150</v>
      </c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25">
      <c r="A33" s="180">
        <f>'Données projet'!A46</f>
        <v>70</v>
      </c>
      <c r="B33" s="181">
        <f>'Données projet'!D46</f>
        <v>49</v>
      </c>
      <c r="C33" s="193">
        <v>50</v>
      </c>
      <c r="D33" s="182">
        <f t="shared" si="2"/>
        <v>2450</v>
      </c>
      <c r="E33" s="193">
        <v>150</v>
      </c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25">
      <c r="A34" s="180">
        <f>'Données projet'!A47</f>
        <v>75</v>
      </c>
      <c r="B34" s="181">
        <f>'Données projet'!D47</f>
        <v>47</v>
      </c>
      <c r="C34" s="193">
        <v>50</v>
      </c>
      <c r="D34" s="182">
        <f t="shared" si="2"/>
        <v>2350</v>
      </c>
      <c r="E34" s="193">
        <v>150</v>
      </c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25">
      <c r="A35" s="180">
        <f>'Données projet'!A48</f>
        <v>80</v>
      </c>
      <c r="B35" s="181">
        <f>'Données projet'!D48</f>
        <v>840</v>
      </c>
      <c r="C35" s="193">
        <v>50</v>
      </c>
      <c r="D35" s="182">
        <f t="shared" si="2"/>
        <v>42000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25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25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25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25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25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25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2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2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2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25">
      <c r="A45" s="46" t="s">
        <v>166</v>
      </c>
      <c r="B45" s="174" t="str">
        <f>IF('Données projet'!$B$10="","",'Données projet'!$B$10)</f>
        <v>Epicéa de Sitka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2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2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25">
      <c r="A48" s="49">
        <v>0</v>
      </c>
      <c r="B48" s="199" t="s">
        <v>132</v>
      </c>
      <c r="C48" s="198" t="s">
        <v>132</v>
      </c>
      <c r="D48" s="197" t="s">
        <v>132</v>
      </c>
      <c r="E48" s="193">
        <v>2333.8000000000002</v>
      </c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25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25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25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25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25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25">
      <c r="A54" s="180">
        <f>'Données projet'!A62</f>
        <v>20</v>
      </c>
      <c r="B54" s="181">
        <f>'Données projet'!D62</f>
        <v>48</v>
      </c>
      <c r="C54" s="191">
        <v>25</v>
      </c>
      <c r="D54" s="179">
        <f>B54*C54</f>
        <v>1200</v>
      </c>
      <c r="E54" s="193">
        <v>150</v>
      </c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25">
      <c r="A55" s="180">
        <f>'Données projet'!A63</f>
        <v>24</v>
      </c>
      <c r="B55" s="181">
        <f>'Données projet'!D63</f>
        <v>58</v>
      </c>
      <c r="C55" s="191">
        <v>35</v>
      </c>
      <c r="D55" s="179">
        <f t="shared" ref="D55:D73" si="4">B55*C55</f>
        <v>2030</v>
      </c>
      <c r="E55" s="193">
        <v>150</v>
      </c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25">
      <c r="A56" s="180">
        <f>'Données projet'!A64</f>
        <v>28</v>
      </c>
      <c r="B56" s="181">
        <f>'Données projet'!D64</f>
        <v>66</v>
      </c>
      <c r="C56" s="191">
        <v>40</v>
      </c>
      <c r="D56" s="179">
        <f t="shared" si="4"/>
        <v>2640</v>
      </c>
      <c r="E56" s="193">
        <v>150</v>
      </c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25">
      <c r="A57" s="180">
        <f>'Données projet'!A65</f>
        <v>32</v>
      </c>
      <c r="B57" s="181">
        <f>'Données projet'!D65</f>
        <v>72</v>
      </c>
      <c r="C57" s="191">
        <v>50</v>
      </c>
      <c r="D57" s="179">
        <f t="shared" si="4"/>
        <v>3600</v>
      </c>
      <c r="E57" s="193">
        <v>150</v>
      </c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25">
      <c r="A58" s="180">
        <f>'Données projet'!A66</f>
        <v>36</v>
      </c>
      <c r="B58" s="181">
        <f>'Données projet'!D66</f>
        <v>59</v>
      </c>
      <c r="C58" s="191">
        <v>55</v>
      </c>
      <c r="D58" s="179">
        <f t="shared" si="4"/>
        <v>3245</v>
      </c>
      <c r="E58" s="193">
        <v>150</v>
      </c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25">
      <c r="A59" s="180">
        <f>'Données projet'!A67</f>
        <v>40</v>
      </c>
      <c r="B59" s="181">
        <f>'Données projet'!D67</f>
        <v>55</v>
      </c>
      <c r="C59" s="191">
        <v>60</v>
      </c>
      <c r="D59" s="179">
        <f t="shared" si="4"/>
        <v>3300</v>
      </c>
      <c r="E59" s="193">
        <v>150</v>
      </c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25">
      <c r="A60" s="180">
        <f>'Données projet'!A68</f>
        <v>45</v>
      </c>
      <c r="B60" s="181">
        <f>'Données projet'!D68</f>
        <v>62</v>
      </c>
      <c r="C60" s="191">
        <v>65</v>
      </c>
      <c r="D60" s="179">
        <f t="shared" si="4"/>
        <v>4030</v>
      </c>
      <c r="E60" s="193">
        <v>150</v>
      </c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25">
      <c r="A61" s="180">
        <f>'Données projet'!A69</f>
        <v>50</v>
      </c>
      <c r="B61" s="181">
        <f>'Données projet'!D69</f>
        <v>781</v>
      </c>
      <c r="C61" s="191">
        <v>65</v>
      </c>
      <c r="D61" s="179">
        <f t="shared" si="4"/>
        <v>50765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25">
      <c r="A62" s="180">
        <f>'Données projet'!A70</f>
        <v>0</v>
      </c>
      <c r="B62" s="181">
        <f>'Données projet'!D70</f>
        <v>0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25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25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25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25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25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25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25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25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25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2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2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2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2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25">
      <c r="A76" s="46" t="s">
        <v>167</v>
      </c>
      <c r="B76" s="174" t="str">
        <f>IF('Données projet'!B11="","",'Données projet'!B11)</f>
        <v>Chêne rouge d'Amérique</v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2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2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25">
      <c r="A79" s="49">
        <v>0</v>
      </c>
      <c r="B79" s="199" t="s">
        <v>132</v>
      </c>
      <c r="C79" s="198" t="s">
        <v>132</v>
      </c>
      <c r="D79" s="197" t="s">
        <v>132</v>
      </c>
      <c r="E79" s="193">
        <v>2833.9</v>
      </c>
      <c r="F79" s="231"/>
      <c r="G79" s="206"/>
      <c r="H79" s="190"/>
      <c r="I79" s="191"/>
      <c r="J79" s="4"/>
      <c r="K79" s="173"/>
      <c r="L79" s="4"/>
      <c r="M79" s="4"/>
      <c r="N79" s="4"/>
      <c r="O79" s="194">
        <f>IF(O78+1&lt;=MIN('Données projet'!$E$9:$E$18),O78+1,"STOP")</f>
        <v>46</v>
      </c>
      <c r="P79" s="185">
        <f t="shared" si="5"/>
        <v>0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25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>
        <f>IF(O79+1&lt;=MIN('Données projet'!$E$9:$E$18),O79+1,"STOP")</f>
        <v>47</v>
      </c>
      <c r="P80" s="185">
        <f t="shared" si="5"/>
        <v>0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25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>
        <f>IF(O80+1&lt;=MIN('Données projet'!$E$9:$E$18),O80+1,"STOP")</f>
        <v>48</v>
      </c>
      <c r="P81" s="185">
        <f t="shared" si="5"/>
        <v>0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25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>
        <f>IF(O81+1&lt;=MIN('Données projet'!$E$9:$E$18),O81+1,"STOP")</f>
        <v>49</v>
      </c>
      <c r="P82" s="185">
        <f t="shared" si="5"/>
        <v>0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25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>
        <f>IF(O82+1&lt;=MIN('Données projet'!$E$9:$E$18),O82+1,"STOP")</f>
        <v>50</v>
      </c>
      <c r="P83" s="185">
        <f t="shared" si="5"/>
        <v>0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25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 t="str">
        <f>IF(O83+1&lt;=MIN('Données projet'!$E$9:$E$18),O83+1,"STOP")</f>
        <v>STOP</v>
      </c>
      <c r="P84" s="185" t="e">
        <f t="shared" si="5"/>
        <v>#VALUE!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25">
      <c r="A85" s="180">
        <f>'Données projet'!A88</f>
        <v>20</v>
      </c>
      <c r="B85" s="181">
        <f>'Données projet'!D88</f>
        <v>29</v>
      </c>
      <c r="C85" s="191">
        <v>8</v>
      </c>
      <c r="D85" s="179">
        <f>B85*C85</f>
        <v>232</v>
      </c>
      <c r="E85" s="193">
        <v>150</v>
      </c>
      <c r="F85" s="232"/>
      <c r="G85" s="205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5"/>
        <v>#VALUE!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25">
      <c r="A86" s="180">
        <f>'Données projet'!A89</f>
        <v>25</v>
      </c>
      <c r="B86" s="181">
        <f>'Données projet'!D89</f>
        <v>19</v>
      </c>
      <c r="C86" s="191">
        <v>15</v>
      </c>
      <c r="D86" s="179">
        <f t="shared" ref="D86:D104" si="6">B86*C86</f>
        <v>285</v>
      </c>
      <c r="E86" s="193">
        <v>150</v>
      </c>
      <c r="F86" s="232"/>
      <c r="G86" s="205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5"/>
        <v>#VALUE!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25">
      <c r="A87" s="180">
        <f>'Données projet'!A90</f>
        <v>30</v>
      </c>
      <c r="B87" s="181">
        <f>'Données projet'!D90</f>
        <v>20</v>
      </c>
      <c r="C87" s="191">
        <v>15</v>
      </c>
      <c r="D87" s="179">
        <f t="shared" si="6"/>
        <v>300</v>
      </c>
      <c r="E87" s="193">
        <v>150</v>
      </c>
      <c r="F87" s="232"/>
      <c r="G87" s="205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5"/>
        <v>#VALUE!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25">
      <c r="A88" s="180">
        <f>'Données projet'!A91</f>
        <v>35</v>
      </c>
      <c r="B88" s="181">
        <f>'Données projet'!D91</f>
        <v>20</v>
      </c>
      <c r="C88" s="191">
        <v>15</v>
      </c>
      <c r="D88" s="179">
        <f t="shared" si="6"/>
        <v>300</v>
      </c>
      <c r="E88" s="193">
        <v>150</v>
      </c>
      <c r="F88" s="232"/>
      <c r="G88" s="205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5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25">
      <c r="A89" s="180">
        <f>'Données projet'!A92</f>
        <v>40</v>
      </c>
      <c r="B89" s="181">
        <f>'Données projet'!D92</f>
        <v>20</v>
      </c>
      <c r="C89" s="191">
        <v>15</v>
      </c>
      <c r="D89" s="179">
        <f t="shared" si="6"/>
        <v>300</v>
      </c>
      <c r="E89" s="193">
        <v>150</v>
      </c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5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25">
      <c r="A90" s="180">
        <f>'Données projet'!A93</f>
        <v>45</v>
      </c>
      <c r="B90" s="181">
        <f>'Données projet'!D93</f>
        <v>19</v>
      </c>
      <c r="C90" s="191">
        <v>25</v>
      </c>
      <c r="D90" s="179">
        <f t="shared" si="6"/>
        <v>475</v>
      </c>
      <c r="E90" s="193">
        <v>150</v>
      </c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5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25">
      <c r="A91" s="180">
        <f>'Données projet'!A94</f>
        <v>50</v>
      </c>
      <c r="B91" s="181">
        <f>'Données projet'!D94</f>
        <v>18</v>
      </c>
      <c r="C91" s="191">
        <v>30</v>
      </c>
      <c r="D91" s="179">
        <f t="shared" si="6"/>
        <v>540</v>
      </c>
      <c r="E91" s="193">
        <v>150</v>
      </c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25">
      <c r="A92" s="180">
        <f>'Données projet'!A95</f>
        <v>55</v>
      </c>
      <c r="B92" s="181">
        <f>'Données projet'!D95</f>
        <v>17</v>
      </c>
      <c r="C92" s="191">
        <v>40</v>
      </c>
      <c r="D92" s="179">
        <f t="shared" si="6"/>
        <v>680</v>
      </c>
      <c r="E92" s="193">
        <v>150</v>
      </c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25">
      <c r="A93" s="180">
        <f>'Données projet'!A96</f>
        <v>60</v>
      </c>
      <c r="B93" s="181">
        <f>'Données projet'!D96</f>
        <v>16</v>
      </c>
      <c r="C93" s="191">
        <v>45</v>
      </c>
      <c r="D93" s="179">
        <f t="shared" si="6"/>
        <v>720</v>
      </c>
      <c r="E93" s="193">
        <v>150</v>
      </c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25">
      <c r="A94" s="180">
        <f>'Données projet'!A97</f>
        <v>65</v>
      </c>
      <c r="B94" s="181">
        <f>'Données projet'!D97</f>
        <v>15</v>
      </c>
      <c r="C94" s="191">
        <v>45</v>
      </c>
      <c r="D94" s="179">
        <f t="shared" si="6"/>
        <v>675</v>
      </c>
      <c r="E94" s="193">
        <v>150</v>
      </c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25">
      <c r="A95" s="180">
        <f>'Données projet'!A98</f>
        <v>70</v>
      </c>
      <c r="B95" s="181">
        <f>'Données projet'!D98</f>
        <v>14</v>
      </c>
      <c r="C95" s="191">
        <v>50</v>
      </c>
      <c r="D95" s="179">
        <f t="shared" si="6"/>
        <v>700</v>
      </c>
      <c r="E95" s="193">
        <v>150</v>
      </c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25">
      <c r="A96" s="180">
        <f>'Données projet'!A99</f>
        <v>75</v>
      </c>
      <c r="B96" s="181">
        <f>'Données projet'!D99</f>
        <v>12</v>
      </c>
      <c r="C96" s="191">
        <v>50</v>
      </c>
      <c r="D96" s="179">
        <f t="shared" si="6"/>
        <v>600</v>
      </c>
      <c r="E96" s="193">
        <v>150</v>
      </c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25">
      <c r="A97" s="180">
        <f>'Données projet'!A100</f>
        <v>80</v>
      </c>
      <c r="B97" s="181">
        <f>'Données projet'!D100</f>
        <v>11</v>
      </c>
      <c r="C97" s="191">
        <v>55</v>
      </c>
      <c r="D97" s="179">
        <f t="shared" si="6"/>
        <v>605</v>
      </c>
      <c r="E97" s="193">
        <v>150</v>
      </c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25">
      <c r="A98" s="180">
        <f>'Données projet'!A101</f>
        <v>85</v>
      </c>
      <c r="B98" s="181">
        <f>'Données projet'!D101</f>
        <v>10</v>
      </c>
      <c r="C98" s="191">
        <v>55</v>
      </c>
      <c r="D98" s="179">
        <f t="shared" si="6"/>
        <v>550</v>
      </c>
      <c r="E98" s="193">
        <v>150</v>
      </c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25">
      <c r="A99" s="180">
        <f>'Données projet'!A102</f>
        <v>90</v>
      </c>
      <c r="B99" s="181">
        <f>'Données projet'!D102</f>
        <v>10</v>
      </c>
      <c r="C99" s="191">
        <v>60</v>
      </c>
      <c r="D99" s="179">
        <f t="shared" si="6"/>
        <v>600</v>
      </c>
      <c r="E99" s="193">
        <v>150</v>
      </c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25">
      <c r="A100" s="180">
        <f>'Données projet'!A103</f>
        <v>95</v>
      </c>
      <c r="B100" s="181">
        <f>'Données projet'!D103</f>
        <v>11</v>
      </c>
      <c r="C100" s="191">
        <v>60</v>
      </c>
      <c r="D100" s="179">
        <f t="shared" si="6"/>
        <v>660</v>
      </c>
      <c r="E100" s="193">
        <v>150</v>
      </c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25">
      <c r="A101" s="180">
        <f>'Données projet'!A104</f>
        <v>100</v>
      </c>
      <c r="B101" s="181">
        <f>'Données projet'!D104</f>
        <v>223</v>
      </c>
      <c r="C101" s="191">
        <v>60</v>
      </c>
      <c r="D101" s="179">
        <f t="shared" si="6"/>
        <v>13380</v>
      </c>
      <c r="E101" s="193">
        <v>150</v>
      </c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2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2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2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2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2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25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2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2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25">
      <c r="A110" s="49">
        <v>0</v>
      </c>
      <c r="B110" s="199" t="s">
        <v>132</v>
      </c>
      <c r="C110" s="198" t="s">
        <v>132</v>
      </c>
      <c r="D110" s="197" t="s">
        <v>132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25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25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25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25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25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25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25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25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25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25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25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25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25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25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25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25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2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2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2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2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2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2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2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2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2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2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2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25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2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2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25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25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25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25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25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25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25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25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25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25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25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25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25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25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25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25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25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2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2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2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2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2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2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2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2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2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2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2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25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2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2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25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25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25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25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25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25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25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25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25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25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25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25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25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25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2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2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2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2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2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2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2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2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2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2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2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2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2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2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25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2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2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25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25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25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25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25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25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25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25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25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25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25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25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25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25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2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2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2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2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2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2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2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2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2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2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2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2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2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2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25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2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2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25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25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25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25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25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25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25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25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25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25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25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25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25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25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2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2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2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2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2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2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2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2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2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2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2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2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2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2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25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2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2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25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25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25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25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25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25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2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2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2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2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2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2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2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2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2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2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2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2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2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2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2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2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2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2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2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2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2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2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25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2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2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25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25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25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25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25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25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2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2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2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2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2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2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2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2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2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2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2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2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2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2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2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2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2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2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2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2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2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2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2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2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2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2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2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2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2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2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2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2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2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2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2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2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2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2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2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2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2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2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2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2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2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2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2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2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2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2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2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2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2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2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2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2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2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2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2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2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2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2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2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2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2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2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2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2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2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2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2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2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2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2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2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2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2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2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2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2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2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2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2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2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2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2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2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2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2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2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2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2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2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2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2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2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2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2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2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2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2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2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2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2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2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2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2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2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2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2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2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2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2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2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2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2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2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2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2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2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2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2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2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2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2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2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2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2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2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2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2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2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2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2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2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2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2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2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2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2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2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2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2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2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2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2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2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2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2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2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2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2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2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2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2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2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2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2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2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2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2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2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2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2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2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2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2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2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2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2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2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2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2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2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2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2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2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2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2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2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2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2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2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2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2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2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2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2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2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2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2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2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2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2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2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2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2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2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2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2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2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2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2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2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2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BOUREL Clément</cp:lastModifiedBy>
  <dcterms:created xsi:type="dcterms:W3CDTF">2021-02-01T08:22:39Z</dcterms:created>
  <dcterms:modified xsi:type="dcterms:W3CDTF">2025-04-28T08:14:52Z</dcterms:modified>
</cp:coreProperties>
</file>